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updateLinks="never" codeName="ThisWorkbook"/>
  <bookViews>
    <workbookView xWindow="0" yWindow="0" windowWidth="19500" windowHeight="5700" tabRatio="898" activeTab="1"/>
  </bookViews>
  <sheets>
    <sheet name="Recherche" sheetId="121" r:id="rId1"/>
    <sheet name="Complet" sheetId="116" r:id="rId2"/>
    <sheet name="Complet Data" sheetId="106" r:id="rId3"/>
    <sheet name="1806" sheetId="119" r:id="rId4"/>
    <sheet name="1805" sheetId="111" r:id="rId5"/>
    <sheet name="1804" sheetId="112" r:id="rId6"/>
    <sheet name="1803" sheetId="113" r:id="rId7"/>
    <sheet name="1802" sheetId="114" r:id="rId8"/>
    <sheet name="1801" sheetId="115" r:id="rId9"/>
    <sheet name="1806 Data" sheetId="120" r:id="rId10"/>
    <sheet name="1805 Data" sheetId="76" r:id="rId11"/>
    <sheet name="1804 Data" sheetId="87" r:id="rId12"/>
    <sheet name="1803 Data" sheetId="88" r:id="rId13"/>
    <sheet name="1802 Data" sheetId="89" r:id="rId14"/>
    <sheet name="1801 Data" sheetId="90" r:id="rId15"/>
    <sheet name="2018 Data" sheetId="101" r:id="rId16"/>
    <sheet name="11801" sheetId="110" r:id="rId17"/>
    <sheet name="11801 Data" sheetId="91" r:id="rId18"/>
    <sheet name="Matrice" sheetId="3" r:id="rId19"/>
    <sheet name="Matrice Tel" sheetId="123" r:id="rId20"/>
  </sheets>
  <definedNames>
    <definedName name="agepro">Complet!$CT$2:$CT$61</definedName>
    <definedName name="année" localSheetId="16">'11801'!$AI$1</definedName>
    <definedName name="année" localSheetId="8">'1801'!$AI$1</definedName>
    <definedName name="année" localSheetId="7">'1802'!$AI$1</definedName>
    <definedName name="année" localSheetId="6">'1803'!$AI$1</definedName>
    <definedName name="année" localSheetId="5">'1804'!$AI$1</definedName>
    <definedName name="année" localSheetId="4">'1805'!$AI$1</definedName>
    <definedName name="année" localSheetId="3">'1806'!$AI$1</definedName>
    <definedName name="année" localSheetId="1">Complet!$AI$1</definedName>
    <definedName name="annéecomplet" localSheetId="16">'11801'!$AI$1</definedName>
    <definedName name="annéecomplet" localSheetId="8">'1801'!$AI$1</definedName>
    <definedName name="annéecomplet" localSheetId="7">'1802'!$AI$1</definedName>
    <definedName name="annéecomplet" localSheetId="6">'1803'!$AI$1</definedName>
    <definedName name="annéecomplet" localSheetId="5">'1804'!$AI$1</definedName>
    <definedName name="annéecomplet" localSheetId="4">'1805'!$AI$1</definedName>
    <definedName name="annéecomplet" localSheetId="3">'1806'!$AI$1</definedName>
    <definedName name="annéecomplet" localSheetId="1">Complet!$AI$1</definedName>
    <definedName name="aprilentre">'Matrice Tel'!$E$9</definedName>
    <definedName name="aprilpart">'Matrice Tel'!$E$7</definedName>
    <definedName name="assurance" localSheetId="16">'11801'!$K$2:$K$51</definedName>
    <definedName name="assurance" localSheetId="8">'1801'!$K$2:$K$6</definedName>
    <definedName name="assurance" localSheetId="7">'1802'!$K$2:$K$19</definedName>
    <definedName name="assurance" localSheetId="6">'1803'!$K$2:$K$18</definedName>
    <definedName name="assurance" localSheetId="5">'1804'!$K$2:$K$18</definedName>
    <definedName name="assurance" localSheetId="4">'1805'!$K$2:$K$11</definedName>
    <definedName name="assurance" localSheetId="3">'1806'!$K$2:$K$58</definedName>
    <definedName name="assurance" localSheetId="1">Complet!$K$2:$K$61</definedName>
    <definedName name="avecro">Complet!$DC$2:$DC$61</definedName>
    <definedName name="BenefMoinsAnnulat" localSheetId="17">'11801 Data'!$J$12</definedName>
    <definedName name="BenefMoinsAnnulat" localSheetId="14">'1801 Data'!$J$12</definedName>
    <definedName name="BenefMoinsAnnulat" localSheetId="13">'1802 Data'!$J$12</definedName>
    <definedName name="BenefMoinsAnnulat" localSheetId="12">'1803 Data'!$J$12</definedName>
    <definedName name="BenefMoinsAnnulat" localSheetId="11">'1804 Data'!$J$12</definedName>
    <definedName name="BenefMoinsAnnulat" localSheetId="10">'1805 Data'!$J$12</definedName>
    <definedName name="BenefMoinsAnnulat" localSheetId="9">'1806 Data'!$J$12</definedName>
    <definedName name="BenefMoinsAnnulat" localSheetId="15">'2018 Data'!$J$12</definedName>
    <definedName name="BenefMoinsAnnulat" localSheetId="2">'Complet Data'!$K$12</definedName>
    <definedName name="Campagne" localSheetId="16">'11801'!$G$2:$G$51</definedName>
    <definedName name="Campagne" localSheetId="8">'1801'!$G$2:$G$6</definedName>
    <definedName name="Campagne" localSheetId="7">'1802'!$G$2:$G$19</definedName>
    <definedName name="Campagne" localSheetId="6">'1803'!$G$2:$G$18</definedName>
    <definedName name="Campagne" localSheetId="5">'1804'!$G$2:$G$18</definedName>
    <definedName name="Campagne" localSheetId="4">'1805'!$G$2:$G$11</definedName>
    <definedName name="Campagne" localSheetId="3">'1806'!$G$2:$G$58</definedName>
    <definedName name="Campagne" localSheetId="1">Complet!$G$2:$G$61</definedName>
    <definedName name="campnet0" localSheetId="17">'11801 Data'!$J$12</definedName>
    <definedName name="campnet0" localSheetId="14">'1801 Data'!$J$12</definedName>
    <definedName name="campnet0" localSheetId="13">'1802 Data'!$J$12</definedName>
    <definedName name="campnet0" localSheetId="12">'1803 Data'!$J$12</definedName>
    <definedName name="campnet0" localSheetId="11">'1804 Data'!$J$12</definedName>
    <definedName name="campnet0" localSheetId="10">'1805 Data'!$J$12</definedName>
    <definedName name="campnet0" localSheetId="9">'1806 Data'!$J$12</definedName>
    <definedName name="campnet0" localSheetId="15">'2018 Data'!$J$12</definedName>
    <definedName name="campnet0" localSheetId="2">'Complet Data'!$K$12</definedName>
    <definedName name="capdec">Complet!$DF$2:$DF$61</definedName>
    <definedName name="contratsdoublons" localSheetId="17">'11801 Data'!$G$15</definedName>
    <definedName name="contratsdoublons" localSheetId="14">'1801 Data'!$G$15</definedName>
    <definedName name="contratsdoublons" localSheetId="13">'1802 Data'!$G$15</definedName>
    <definedName name="contratsdoublons" localSheetId="12">'1803 Data'!$G$15</definedName>
    <definedName name="contratsdoublons" localSheetId="11">'1804 Data'!$G$15</definedName>
    <definedName name="contratsdoublons" localSheetId="10">'1805 Data'!$G$15</definedName>
    <definedName name="contratsdoublons" localSheetId="9">'1806 Data'!$G$15</definedName>
    <definedName name="contratsdoublons" localSheetId="15">'2018 Data'!$G$15</definedName>
    <definedName name="contratsreprise" localSheetId="17">'11801 Data'!$G$16</definedName>
    <definedName name="contratsreprise" localSheetId="14">'1801 Data'!$G$16</definedName>
    <definedName name="contratsreprise" localSheetId="13">'1802 Data'!$G$16</definedName>
    <definedName name="contratsreprise" localSheetId="12">'1803 Data'!$G$16</definedName>
    <definedName name="contratsreprise" localSheetId="11">'1804 Data'!$G$16</definedName>
    <definedName name="contratsreprise" localSheetId="10">'1805 Data'!$G$16</definedName>
    <definedName name="contratsreprise" localSheetId="9">'1806 Data'!$G$16</definedName>
    <definedName name="contratsreprise" localSheetId="15">'2018 Data'!$G$16</definedName>
    <definedName name="ctspro">'Complet Data'!$C$25</definedName>
    <definedName name="euronéprev" localSheetId="17">'11801 Data'!$H$5</definedName>
    <definedName name="euronéprev" localSheetId="14">'1801 Data'!$H$5</definedName>
    <definedName name="euronéprev" localSheetId="13">'1802 Data'!$H$5</definedName>
    <definedName name="euronéprev" localSheetId="12">'1803 Data'!$H$5</definedName>
    <definedName name="euronéprev" localSheetId="11">'1804 Data'!$H$5</definedName>
    <definedName name="euronéprev" localSheetId="10">'1805 Data'!$H$5</definedName>
    <definedName name="euronéprev" localSheetId="9">'1806 Data'!$H$5</definedName>
    <definedName name="euronéprev" localSheetId="15">'2018 Data'!$H$5</definedName>
    <definedName name="euronéprev" localSheetId="2">'Complet Data'!$H$5</definedName>
    <definedName name="euronésanté" localSheetId="17">'11801 Data'!$G$5</definedName>
    <definedName name="euronésanté" localSheetId="14">'1801 Data'!$G$5</definedName>
    <definedName name="euronésanté" localSheetId="13">'1802 Data'!$G$5</definedName>
    <definedName name="euronésanté" localSheetId="12">'1803 Data'!$G$5</definedName>
    <definedName name="euronésanté" localSheetId="11">'1804 Data'!$G$5</definedName>
    <definedName name="euronésanté" localSheetId="10">'1805 Data'!$G$5</definedName>
    <definedName name="euronésanté" localSheetId="9">'1806 Data'!$G$5</definedName>
    <definedName name="euronésanté" localSheetId="15">'2018 Data'!$G$5</definedName>
    <definedName name="euronésanté" localSheetId="2">'Complet Data'!$G$5</definedName>
    <definedName name="f_nm">OFFSET(p_nm,0,0,COUNTA(nompren),1)</definedName>
    <definedName name="fraispro">Complet!$DE$2:$DE$61</definedName>
    <definedName name="franchise">Complet!$DD$2:$DD$61</definedName>
    <definedName name="Infoman" localSheetId="16">'11801'!$A$1</definedName>
    <definedName name="Infoman" localSheetId="8">'1801'!$A$1</definedName>
    <definedName name="Infoman" localSheetId="7">'1802'!$A$1</definedName>
    <definedName name="Infoman" localSheetId="6">'1803'!$A$1</definedName>
    <definedName name="Infoman" localSheetId="5">'1804'!$A$1</definedName>
    <definedName name="Infoman" localSheetId="4">'1805'!$A$1</definedName>
    <definedName name="Infoman" localSheetId="3">'1806'!$A$1</definedName>
    <definedName name="Infoman" localSheetId="1">Complet!$A$1</definedName>
    <definedName name="invalidité">Complet!$DG$2:$DG$61</definedName>
    <definedName name="mens" localSheetId="16">'11801'!$M$2:$M$51</definedName>
    <definedName name="mens" localSheetId="8">'1801'!$M$2:$M$6</definedName>
    <definedName name="mens" localSheetId="7">'1802'!$M$2:$M$19</definedName>
    <definedName name="mens" localSheetId="6">'1803'!$M$2:$M$18</definedName>
    <definedName name="mens" localSheetId="5">'1804'!$M$2:$M$18</definedName>
    <definedName name="mens" localSheetId="4">'1805'!$M$2:$M$11</definedName>
    <definedName name="mens" localSheetId="3">'1806'!$M$2:$M$58</definedName>
    <definedName name="mens" localSheetId="1">Complet!$M$2:$M$61</definedName>
    <definedName name="moisp2" localSheetId="17">'11801 Data'!$C$32</definedName>
    <definedName name="moisp2" localSheetId="14">'1801 Data'!$C$32</definedName>
    <definedName name="moisp2" localSheetId="13">'1802 Data'!$C$32</definedName>
    <definedName name="moisp2" localSheetId="12">'1803 Data'!$C$32</definedName>
    <definedName name="moisp2" localSheetId="11">'1804 Data'!$C$32</definedName>
    <definedName name="moisp2" localSheetId="10">'1805 Data'!$C$32</definedName>
    <definedName name="moisp2" localSheetId="9">'1806 Data'!$C$32</definedName>
    <definedName name="nbcontratsall" localSheetId="17">'11801 Data'!$G$13</definedName>
    <definedName name="nbcontratsall" localSheetId="14">'1801 Data'!$G$13</definedName>
    <definedName name="nbcontratsall" localSheetId="13">'1802 Data'!$G$13</definedName>
    <definedName name="nbcontratsall" localSheetId="12">'1803 Data'!$G$13</definedName>
    <definedName name="nbcontratsall" localSheetId="11">'1804 Data'!$G$13</definedName>
    <definedName name="nbcontratsall" localSheetId="10">'1805 Data'!$G$13</definedName>
    <definedName name="nbcontratsall" localSheetId="9">'1806 Data'!$G$13</definedName>
    <definedName name="nbcontratsall" localSheetId="15">'2018 Data'!$G$13</definedName>
    <definedName name="nbcontratsall" localSheetId="2">'Complet Data'!$G$13</definedName>
    <definedName name="nompren">Complet!$A$2:$A$61</definedName>
    <definedName name="optdos">Complet!$DJ$2:$DJ$61</definedName>
    <definedName name="optpsy">Complet!$DK$2:$DK$61</definedName>
    <definedName name="p_nm">Complet!#REF!</definedName>
    <definedName name="p_nom">Complet!#REF!</definedName>
    <definedName name="prevapriltel">'Matrice Tel'!$E$5</definedName>
    <definedName name="prevaviva">'Matrice Tel'!$J$6</definedName>
    <definedName name="prevcipres">'Matrice Tel'!$J$11</definedName>
    <definedName name="regime">Complet!$CU$2:$CU$61</definedName>
    <definedName name="renteconj">Complet!$DH$2:$DH$61</definedName>
    <definedName name="renteed">Complet!$DI$2:$DI$61</definedName>
    <definedName name="salairepro">Complet!$DB$2:$DB$61</definedName>
    <definedName name="santéindivalptis">'Matrice Tel'!$J$2</definedName>
    <definedName name="santéindivapril">'Matrice Tel'!$E$2</definedName>
    <definedName name="santéindivasaf">'Matrice Tel'!$J$18</definedName>
    <definedName name="santéindivceg">'Matrice Tel'!$J$14</definedName>
    <definedName name="santéindivneo">'Matrice Tel'!$E$12</definedName>
    <definedName name="slinterm">'Matrice Tel'!$E$18</definedName>
    <definedName name="tarif2016" localSheetId="16">'11801'!$AM$2:$AM$51</definedName>
    <definedName name="tarif2016" localSheetId="8">'1801'!$AM$2:$AM$6</definedName>
    <definedName name="tarif2016" localSheetId="7">'1802'!$AM$2:$AM$19</definedName>
    <definedName name="tarif2016" localSheetId="6">'1803'!$AM$2:$AM$18</definedName>
    <definedName name="tarif2016" localSheetId="5">'1804'!$AM$2:$AM$18</definedName>
    <definedName name="tarif2016" localSheetId="4">'1805'!$AM$2:$AM$11</definedName>
    <definedName name="tarif2016" localSheetId="3">'1806'!$AM$2:$AM$58</definedName>
    <definedName name="tarif2016" localSheetId="1">Complet!$AM$2:$AM$61</definedName>
    <definedName name="tarif2017" localSheetId="16">'11801'!$AN$2:$AN$51</definedName>
    <definedName name="tarif2017" localSheetId="8">'1801'!$AN$2:$AN$6</definedName>
    <definedName name="tarif2017" localSheetId="7">'1802'!$AN$2:$AN$19</definedName>
    <definedName name="tarif2017" localSheetId="6">'1803'!$AN$2:$AN$18</definedName>
    <definedName name="tarif2017" localSheetId="5">'1804'!$AN$2:$AN$18</definedName>
    <definedName name="tarif2017" localSheetId="4">'1805'!$AN$2:$AN$11</definedName>
    <definedName name="tarif2017" localSheetId="3">'1806'!$AN$2:$AN$58</definedName>
    <definedName name="tarif2017" localSheetId="1">Complet!$AN$2:$AN$61</definedName>
    <definedName name="tarif2019" localSheetId="16">'11801'!$AS$2:$AS$51</definedName>
    <definedName name="tarif2019" localSheetId="8">'1801'!$AS$2:$AS$6</definedName>
    <definedName name="tarif2019" localSheetId="7">'1802'!$AS$2:$AS$19</definedName>
    <definedName name="tarif2019" localSheetId="6">'1803'!$AS$2:$AS$18</definedName>
    <definedName name="tarif2019" localSheetId="5">'1804'!$AS$2:$AS$18</definedName>
    <definedName name="tarif2019" localSheetId="4">'1805'!$AS$2:$AS$11</definedName>
    <definedName name="tarif2019" localSheetId="3">'1806'!$AS$2:$AS$58</definedName>
    <definedName name="tarif2019" localSheetId="1">Complet!$AS$2:$AS$61</definedName>
    <definedName name="tarif2020" localSheetId="16">'11801'!$AV$2:$AV$51</definedName>
    <definedName name="tarif2020" localSheetId="8">'1801'!$AV$2:$AV$6</definedName>
    <definedName name="tarif2020" localSheetId="7">'1802'!$AV$2:$AV$19</definedName>
    <definedName name="tarif2020" localSheetId="6">'1803'!$AV$2:$AV$18</definedName>
    <definedName name="tarif2020" localSheetId="5">'1804'!$AV$2:$AV$18</definedName>
    <definedName name="tarif2020" localSheetId="4">'1805'!$AV$2:$AV$11</definedName>
    <definedName name="tarif2020" localSheetId="3">'1806'!$AV$2:$AV$58</definedName>
    <definedName name="tarif2020" localSheetId="1">Complet!$AV$2:$AV$61</definedName>
    <definedName name="TotalCA" localSheetId="17">'11801 Data'!$E$7</definedName>
    <definedName name="TotalCA" localSheetId="14">'1801 Data'!$E$7</definedName>
    <definedName name="TotalCA" localSheetId="13">'1802 Data'!$E$7</definedName>
    <definedName name="TotalCA" localSheetId="12">'1803 Data'!$E$7</definedName>
    <definedName name="TotalCA" localSheetId="11">'1804 Data'!$E$7</definedName>
    <definedName name="TotalCA" localSheetId="10">'1805 Data'!$E$7</definedName>
    <definedName name="TotalCA" localSheetId="9">'1806 Data'!$E$7</definedName>
    <definedName name="TotalCA" localSheetId="15">'2018 Data'!$E$7</definedName>
    <definedName name="TotalCA" localSheetId="2">'Complet Data'!$E$7</definedName>
    <definedName name="TotalPrimes" localSheetId="17">'11801 Data'!$B$3</definedName>
    <definedName name="TotalPrimes" localSheetId="14">'1801 Data'!$B$3</definedName>
    <definedName name="TotalPrimes" localSheetId="13">'1802 Data'!$B$3</definedName>
    <definedName name="TotalPrimes" localSheetId="12">'1803 Data'!$B$3</definedName>
    <definedName name="TotalPrimes" localSheetId="11">'1804 Data'!$B$3</definedName>
    <definedName name="TotalPrimes" localSheetId="10">'1805 Data'!$B$3</definedName>
    <definedName name="TotalPrimes" localSheetId="9">'1806 Data'!$B$3</definedName>
    <definedName name="TotalPrimes" localSheetId="15">'2018 Data'!$B$3</definedName>
    <definedName name="TotalPrimes" localSheetId="2">'Complet Data'!$C$4</definedName>
    <definedName name="txalp" localSheetId="17">'11801 Data'!$K$4</definedName>
    <definedName name="txalp" localSheetId="14">'1801 Data'!$K$4</definedName>
    <definedName name="txalp" localSheetId="13">'1802 Data'!$K$4</definedName>
    <definedName name="txalp" localSheetId="12">'1803 Data'!$K$4</definedName>
    <definedName name="txalp" localSheetId="11">'1804 Data'!$K$4</definedName>
    <definedName name="txalp" localSheetId="10">'1805 Data'!$K$4</definedName>
    <definedName name="txalp" localSheetId="9">'1806 Data'!$K$4</definedName>
    <definedName name="txalp" localSheetId="15">'2018 Data'!$K$4</definedName>
    <definedName name="txalp" localSheetId="2">'Complet Data'!$K$4</definedName>
    <definedName name="txapril" localSheetId="17">'11801 Data'!$F$4</definedName>
    <definedName name="txapril" localSheetId="14">'1801 Data'!$F$4</definedName>
    <definedName name="txapril" localSheetId="13">'1802 Data'!$F$4</definedName>
    <definedName name="txapril" localSheetId="12">'1803 Data'!$F$4</definedName>
    <definedName name="txapril" localSheetId="11">'1804 Data'!$F$4</definedName>
    <definedName name="txapril" localSheetId="10">'1805 Data'!$F$4</definedName>
    <definedName name="txapril" localSheetId="9">'1806 Data'!$F$4</definedName>
    <definedName name="txapril" localSheetId="15">'2018 Data'!$F$4</definedName>
    <definedName name="txapril" localSheetId="2">'Complet Data'!$F$4</definedName>
    <definedName name="txasaf" localSheetId="17">'11801 Data'!$I$4</definedName>
    <definedName name="txasaf" localSheetId="14">'1801 Data'!$I$4</definedName>
    <definedName name="txasaf" localSheetId="13">'1802 Data'!$I$4</definedName>
    <definedName name="txasaf" localSheetId="12">'1803 Data'!$I$4</definedName>
    <definedName name="txasaf" localSheetId="11">'1804 Data'!$I$4</definedName>
    <definedName name="txasaf" localSheetId="10">'1805 Data'!$I$4</definedName>
    <definedName name="txasaf" localSheetId="9">'1806 Data'!$I$4</definedName>
    <definedName name="txasaf" localSheetId="15">'2018 Data'!$I$4</definedName>
    <definedName name="txasaf" localSheetId="2">'Complet Data'!$I$4</definedName>
    <definedName name="txaviv" localSheetId="17">'11801 Data'!$L$4</definedName>
    <definedName name="txaviv" localSheetId="14">'1801 Data'!$L$4</definedName>
    <definedName name="txaviv" localSheetId="13">'1802 Data'!$L$4</definedName>
    <definedName name="txaviv" localSheetId="12">'1803 Data'!$L$4</definedName>
    <definedName name="txaviv" localSheetId="11">'1804 Data'!$L$4</definedName>
    <definedName name="txaviv" localSheetId="10">'1805 Data'!$L$4</definedName>
    <definedName name="txaviv" localSheetId="9">'1806 Data'!$L$4</definedName>
    <definedName name="txaviv" localSheetId="15">'2018 Data'!$L$4</definedName>
    <definedName name="txaviv" localSheetId="2">'Complet Data'!$L$4</definedName>
    <definedName name="txceg" localSheetId="17">'11801 Data'!$N$4</definedName>
    <definedName name="txceg" localSheetId="14">'1801 Data'!$N$4</definedName>
    <definedName name="txceg" localSheetId="13">'1802 Data'!$N$4</definedName>
    <definedName name="txceg" localSheetId="12">'1803 Data'!$N$4</definedName>
    <definedName name="txceg" localSheetId="11">'1804 Data'!$N$4</definedName>
    <definedName name="txceg" localSheetId="10">'1805 Data'!$N$4</definedName>
    <definedName name="txceg" localSheetId="9">'1806 Data'!$N$4</definedName>
    <definedName name="txceg" localSheetId="15">'2018 Data'!$N$4</definedName>
    <definedName name="txceg" localSheetId="2">'Complet Data'!$N$4</definedName>
    <definedName name="txcip" localSheetId="17">'11801 Data'!$M$4</definedName>
    <definedName name="txcip" localSheetId="14">'1801 Data'!$M$4</definedName>
    <definedName name="txcip" localSheetId="13">'1802 Data'!$M$4</definedName>
    <definedName name="txcip" localSheetId="12">'1803 Data'!$M$4</definedName>
    <definedName name="txcip" localSheetId="11">'1804 Data'!$M$4</definedName>
    <definedName name="txcip" localSheetId="10">'1805 Data'!$M$4</definedName>
    <definedName name="txcip" localSheetId="9">'1806 Data'!$M$4</definedName>
    <definedName name="txcip" localSheetId="15">'2018 Data'!$M$4</definedName>
    <definedName name="txcip" localSheetId="2">'Complet Data'!$M$4</definedName>
    <definedName name="txnéoprev" localSheetId="17">'11801 Data'!$H$4</definedName>
    <definedName name="txnéoprev" localSheetId="14">'1801 Data'!$H$4</definedName>
    <definedName name="txnéoprev" localSheetId="13">'1802 Data'!$H$4</definedName>
    <definedName name="txnéoprev" localSheetId="12">'1803 Data'!$H$4</definedName>
    <definedName name="txnéoprev" localSheetId="11">'1804 Data'!$H$4</definedName>
    <definedName name="txnéoprev" localSheetId="10">'1805 Data'!$H$4</definedName>
    <definedName name="txnéoprev" localSheetId="9">'1806 Data'!$H$4</definedName>
    <definedName name="txnéoprev" localSheetId="15">'2018 Data'!$H$4</definedName>
    <definedName name="txnéoprev" localSheetId="2">'Complet Data'!$H$4</definedName>
    <definedName name="txnéosant" localSheetId="17">'11801 Data'!$G$4</definedName>
    <definedName name="txnéosant" localSheetId="14">'1801 Data'!$G$4</definedName>
    <definedName name="txnéosant" localSheetId="13">'1802 Data'!$G$4</definedName>
    <definedName name="txnéosant" localSheetId="12">'1803 Data'!$G$4</definedName>
    <definedName name="txnéosant" localSheetId="11">'1804 Data'!$G$4</definedName>
    <definedName name="txnéosant" localSheetId="10">'1805 Data'!$G$4</definedName>
    <definedName name="txnéosant" localSheetId="9">'1806 Data'!$G$4</definedName>
    <definedName name="txnéosant" localSheetId="15">'2018 Data'!$G$4</definedName>
    <definedName name="txnéosant" localSheetId="2">'Complet Data'!$G$4</definedName>
    <definedName name="txsl" localSheetId="17">'11801 Data'!$J$4</definedName>
    <definedName name="txsl" localSheetId="14">'1801 Data'!$J$4</definedName>
    <definedName name="txsl" localSheetId="13">'1802 Data'!$J$4</definedName>
    <definedName name="txsl" localSheetId="12">'1803 Data'!$J$4</definedName>
    <definedName name="txsl" localSheetId="11">'1804 Data'!$J$4</definedName>
    <definedName name="txsl" localSheetId="10">'1805 Data'!$J$4</definedName>
    <definedName name="txsl" localSheetId="9">'1806 Data'!$J$4</definedName>
    <definedName name="txsl" localSheetId="15">'2018 Data'!$J$4</definedName>
    <definedName name="txsl" localSheetId="2">'Complet Data'!$J$4</definedName>
    <definedName name="typecomm" localSheetId="16">'11801'!$S$2:$S$51</definedName>
    <definedName name="typecomm" localSheetId="8">'1801'!$S$2:$S$6</definedName>
    <definedName name="typecomm" localSheetId="7">'1802'!$S$2:$S$19</definedName>
    <definedName name="typecomm" localSheetId="6">'1803'!$S$2:$S$18</definedName>
    <definedName name="typecomm" localSheetId="5">'1804'!$S$2:$S$18</definedName>
    <definedName name="typecomm" localSheetId="4">'1805'!$S$2:$S$11</definedName>
    <definedName name="typecomm" localSheetId="3">'1806'!$S$2:$S$58</definedName>
    <definedName name="typecomm" localSheetId="1">Complet!$S$2:$S$61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" i="116" l="1"/>
  <c r="U3" i="116"/>
  <c r="A3" i="116"/>
  <c r="T3" i="119"/>
  <c r="T4" i="119"/>
  <c r="T5" i="119"/>
  <c r="T6" i="119"/>
  <c r="T7" i="119"/>
  <c r="T8" i="119"/>
  <c r="T9" i="119"/>
  <c r="T10" i="119"/>
  <c r="T11" i="119"/>
  <c r="T12" i="119"/>
  <c r="T13" i="119"/>
  <c r="T14" i="119"/>
  <c r="T15" i="119"/>
  <c r="T16" i="119"/>
  <c r="T17" i="119"/>
  <c r="T18" i="119"/>
  <c r="T19" i="119"/>
  <c r="T20" i="119"/>
  <c r="T21" i="119"/>
  <c r="T22" i="119"/>
  <c r="T23" i="119"/>
  <c r="T24" i="119"/>
  <c r="T25" i="119"/>
  <c r="T26" i="119"/>
  <c r="T27" i="119"/>
  <c r="T28" i="119"/>
  <c r="T29" i="119"/>
  <c r="T30" i="119"/>
  <c r="T31" i="119"/>
  <c r="T32" i="119"/>
  <c r="T33" i="119"/>
  <c r="T34" i="119"/>
  <c r="T35" i="119"/>
  <c r="T36" i="119"/>
  <c r="T37" i="119"/>
  <c r="T38" i="119"/>
  <c r="T39" i="119"/>
  <c r="T40" i="119"/>
  <c r="T41" i="119"/>
  <c r="T42" i="119"/>
  <c r="T43" i="119"/>
  <c r="T44" i="119"/>
  <c r="T45" i="119"/>
  <c r="T46" i="119"/>
  <c r="T47" i="119"/>
  <c r="T48" i="119"/>
  <c r="T49" i="119"/>
  <c r="T50" i="119"/>
  <c r="T51" i="119"/>
  <c r="T52" i="119"/>
  <c r="T53" i="119"/>
  <c r="T54" i="119"/>
  <c r="T55" i="119"/>
  <c r="T56" i="119"/>
  <c r="T57" i="119"/>
  <c r="T58" i="119"/>
  <c r="T2" i="119"/>
  <c r="U4" i="116"/>
  <c r="U5" i="116"/>
  <c r="U6" i="116"/>
  <c r="T3" i="110"/>
  <c r="T4" i="110"/>
  <c r="T5" i="110"/>
  <c r="T6" i="110"/>
  <c r="T7" i="110"/>
  <c r="T8" i="110"/>
  <c r="T9" i="110"/>
  <c r="T10" i="110"/>
  <c r="T11" i="110"/>
  <c r="T12" i="110"/>
  <c r="T13" i="110"/>
  <c r="T14" i="110"/>
  <c r="T15" i="110"/>
  <c r="T16" i="110"/>
  <c r="T17" i="110"/>
  <c r="T18" i="110"/>
  <c r="T19" i="110"/>
  <c r="T20" i="110"/>
  <c r="T21" i="110"/>
  <c r="T22" i="110"/>
  <c r="T23" i="110"/>
  <c r="T24" i="110"/>
  <c r="T25" i="110"/>
  <c r="T26" i="110"/>
  <c r="T27" i="110"/>
  <c r="T28" i="110"/>
  <c r="T29" i="110"/>
  <c r="T30" i="110"/>
  <c r="T31" i="110"/>
  <c r="T32" i="110"/>
  <c r="T33" i="110"/>
  <c r="T34" i="110"/>
  <c r="T35" i="110"/>
  <c r="T36" i="110"/>
  <c r="T37" i="110"/>
  <c r="T38" i="110"/>
  <c r="T39" i="110"/>
  <c r="T40" i="110"/>
  <c r="T41" i="110"/>
  <c r="T42" i="110"/>
  <c r="T43" i="110"/>
  <c r="T44" i="110"/>
  <c r="T45" i="110"/>
  <c r="T46" i="110"/>
  <c r="T47" i="110"/>
  <c r="T48" i="110"/>
  <c r="T49" i="110"/>
  <c r="T50" i="110"/>
  <c r="T51" i="110"/>
  <c r="T2" i="110"/>
  <c r="T4" i="116"/>
  <c r="T5" i="116"/>
  <c r="T6" i="116"/>
  <c r="T7" i="116"/>
  <c r="T8" i="116"/>
  <c r="T9" i="116"/>
  <c r="T10" i="116"/>
  <c r="T11" i="116"/>
  <c r="T12" i="116"/>
  <c r="T13" i="116"/>
  <c r="T14" i="116"/>
  <c r="T15" i="116"/>
  <c r="T16" i="116"/>
  <c r="T17" i="116"/>
  <c r="T18" i="116"/>
  <c r="T19" i="116"/>
  <c r="T20" i="116"/>
  <c r="T21" i="116"/>
  <c r="T22" i="116"/>
  <c r="T23" i="116"/>
  <c r="T24" i="116"/>
  <c r="T25" i="116"/>
  <c r="T26" i="116"/>
  <c r="T27" i="116"/>
  <c r="T28" i="116"/>
  <c r="T29" i="116"/>
  <c r="T30" i="116"/>
  <c r="T31" i="116"/>
  <c r="T32" i="116"/>
  <c r="T33" i="116"/>
  <c r="T34" i="116"/>
  <c r="T35" i="116"/>
  <c r="T36" i="116"/>
  <c r="T37" i="116"/>
  <c r="T38" i="116"/>
  <c r="T39" i="116"/>
  <c r="T40" i="116"/>
  <c r="T41" i="116"/>
  <c r="T42" i="116"/>
  <c r="T43" i="116"/>
  <c r="T44" i="116"/>
  <c r="T45" i="116"/>
  <c r="T46" i="116"/>
  <c r="T47" i="116"/>
  <c r="T48" i="116"/>
  <c r="T49" i="116"/>
  <c r="T50" i="116"/>
  <c r="T51" i="116"/>
  <c r="T52" i="116"/>
  <c r="T53" i="116"/>
  <c r="T54" i="116"/>
  <c r="T55" i="116"/>
  <c r="T56" i="116"/>
  <c r="T57" i="116"/>
  <c r="T58" i="116"/>
  <c r="T59" i="116"/>
  <c r="T60" i="116"/>
  <c r="T61" i="116"/>
  <c r="I4" i="116"/>
  <c r="I5" i="116"/>
  <c r="I6" i="116"/>
  <c r="I7" i="116"/>
  <c r="I8" i="116"/>
  <c r="I9" i="116"/>
  <c r="I10" i="116"/>
  <c r="I11" i="116"/>
  <c r="I12" i="116"/>
  <c r="I13" i="116"/>
  <c r="I14" i="116"/>
  <c r="I15" i="116"/>
  <c r="I16" i="116"/>
  <c r="I17" i="116"/>
  <c r="I18" i="116"/>
  <c r="I19" i="116"/>
  <c r="I20" i="116"/>
  <c r="I21" i="116"/>
  <c r="I22" i="116"/>
  <c r="I23" i="116"/>
  <c r="I24" i="116"/>
  <c r="I25" i="116"/>
  <c r="I26" i="116"/>
  <c r="I27" i="116"/>
  <c r="I28" i="116"/>
  <c r="I29" i="116"/>
  <c r="I30" i="116"/>
  <c r="I31" i="116"/>
  <c r="I32" i="116"/>
  <c r="I33" i="116"/>
  <c r="I34" i="116"/>
  <c r="I35" i="116"/>
  <c r="I36" i="116"/>
  <c r="I37" i="116"/>
  <c r="I38" i="116"/>
  <c r="I39" i="116"/>
  <c r="I40" i="116"/>
  <c r="I41" i="116"/>
  <c r="I42" i="116"/>
  <c r="I43" i="116"/>
  <c r="I44" i="116"/>
  <c r="I45" i="116"/>
  <c r="I46" i="116"/>
  <c r="I47" i="116"/>
  <c r="I48" i="116"/>
  <c r="I49" i="116"/>
  <c r="I50" i="116"/>
  <c r="I51" i="116"/>
  <c r="I52" i="116"/>
  <c r="I53" i="116"/>
  <c r="I54" i="116"/>
  <c r="I55" i="116"/>
  <c r="I56" i="116"/>
  <c r="I57" i="116"/>
  <c r="I58" i="116"/>
  <c r="I59" i="116"/>
  <c r="I60" i="116"/>
  <c r="I61" i="116"/>
  <c r="I1" i="116"/>
  <c r="AA3" i="116"/>
  <c r="AA4" i="116"/>
  <c r="AA5" i="116"/>
  <c r="AA6" i="116"/>
  <c r="AA7" i="116"/>
  <c r="AA8" i="116"/>
  <c r="AA9" i="116"/>
  <c r="AA10" i="116"/>
  <c r="AA11" i="116"/>
  <c r="AA12" i="116"/>
  <c r="AA13" i="116"/>
  <c r="AA14" i="116"/>
  <c r="AA15" i="116"/>
  <c r="AA16" i="116"/>
  <c r="AA17" i="116"/>
  <c r="AA18" i="116"/>
  <c r="AA19" i="116"/>
  <c r="AA20" i="116"/>
  <c r="AA21" i="116"/>
  <c r="AA22" i="116"/>
  <c r="AA23" i="116"/>
  <c r="AA24" i="116"/>
  <c r="AA25" i="116"/>
  <c r="AA26" i="116"/>
  <c r="AA27" i="116"/>
  <c r="AA28" i="116"/>
  <c r="AA29" i="116"/>
  <c r="AA30" i="116"/>
  <c r="AA31" i="116"/>
  <c r="AA32" i="116"/>
  <c r="AA33" i="116"/>
  <c r="AA34" i="116"/>
  <c r="AA35" i="116"/>
  <c r="AA36" i="116"/>
  <c r="AA37" i="116"/>
  <c r="AA38" i="116"/>
  <c r="AA39" i="116"/>
  <c r="AA40" i="116"/>
  <c r="AA41" i="116"/>
  <c r="AA42" i="116"/>
  <c r="AA43" i="116"/>
  <c r="AA44" i="116"/>
  <c r="AA45" i="116"/>
  <c r="AA46" i="116"/>
  <c r="AA47" i="116"/>
  <c r="AA48" i="116"/>
  <c r="AA49" i="116"/>
  <c r="AA50" i="116"/>
  <c r="AA51" i="116"/>
  <c r="AA52" i="116"/>
  <c r="AA53" i="116"/>
  <c r="AA54" i="116"/>
  <c r="AA55" i="116"/>
  <c r="AA56" i="116"/>
  <c r="AA57" i="116"/>
  <c r="AA58" i="116"/>
  <c r="AA59" i="116"/>
  <c r="AA60" i="116"/>
  <c r="AA61" i="116"/>
  <c r="AA1" i="116"/>
  <c r="AW2" i="116"/>
  <c r="AX2" i="116"/>
  <c r="BL2" i="116"/>
  <c r="BO2" i="116"/>
  <c r="BR2" i="116"/>
  <c r="BU2" i="116"/>
  <c r="BX2" i="116"/>
  <c r="CA2" i="116"/>
  <c r="CD2" i="116"/>
  <c r="CG2" i="116"/>
  <c r="CJ2" i="116"/>
  <c r="CT2" i="116"/>
  <c r="CY2" i="116"/>
  <c r="DM2" i="116"/>
  <c r="DN2" i="116"/>
  <c r="DO2" i="116"/>
  <c r="DP2" i="116"/>
  <c r="DQ2" i="116"/>
  <c r="DR2" i="116"/>
  <c r="A2" i="116"/>
  <c r="AD3" i="116"/>
  <c r="Y3" i="116"/>
  <c r="AE3" i="116"/>
  <c r="AG3" i="116"/>
  <c r="AH3" i="116"/>
  <c r="AI3" i="116"/>
  <c r="AJ3" i="116"/>
  <c r="AK3" i="116"/>
  <c r="AL3" i="116"/>
  <c r="AM3" i="116"/>
  <c r="AN3" i="116"/>
  <c r="AO3" i="116"/>
  <c r="AP3" i="116"/>
  <c r="AQ3" i="116"/>
  <c r="AR3" i="116"/>
  <c r="AS3" i="116"/>
  <c r="AT3" i="116"/>
  <c r="AU3" i="116"/>
  <c r="AV3" i="116"/>
  <c r="AW3" i="116"/>
  <c r="AX3" i="116"/>
  <c r="BL3" i="116"/>
  <c r="BO3" i="116"/>
  <c r="BR3" i="116"/>
  <c r="BU3" i="116"/>
  <c r="BX3" i="116"/>
  <c r="CA3" i="116"/>
  <c r="CD3" i="116"/>
  <c r="CG3" i="116"/>
  <c r="CJ3" i="116"/>
  <c r="CT3" i="116"/>
  <c r="CY3" i="116"/>
  <c r="DM3" i="116"/>
  <c r="DN3" i="116"/>
  <c r="DO3" i="116"/>
  <c r="DP3" i="116"/>
  <c r="DQ3" i="116"/>
  <c r="DR3" i="116"/>
  <c r="A4" i="116"/>
  <c r="AD4" i="116"/>
  <c r="Q4" i="116"/>
  <c r="R4" i="116"/>
  <c r="V4" i="116"/>
  <c r="W4" i="116"/>
  <c r="X4" i="116"/>
  <c r="Y4" i="116"/>
  <c r="AE4" i="116"/>
  <c r="AG4" i="116"/>
  <c r="AH4" i="116"/>
  <c r="AI4" i="116"/>
  <c r="AJ4" i="116"/>
  <c r="AK4" i="116"/>
  <c r="AL4" i="116"/>
  <c r="AM4" i="116"/>
  <c r="AN4" i="116"/>
  <c r="AO4" i="116"/>
  <c r="AP4" i="116"/>
  <c r="AQ4" i="116"/>
  <c r="AR4" i="116"/>
  <c r="AS4" i="116"/>
  <c r="AT4" i="116"/>
  <c r="AU4" i="116"/>
  <c r="AV4" i="116"/>
  <c r="AW4" i="116"/>
  <c r="AX4" i="116"/>
  <c r="BL4" i="116"/>
  <c r="BO4" i="116"/>
  <c r="BR4" i="116"/>
  <c r="BU4" i="116"/>
  <c r="BX4" i="116"/>
  <c r="CA4" i="116"/>
  <c r="CD4" i="116"/>
  <c r="CG4" i="116"/>
  <c r="CJ4" i="116"/>
  <c r="CT4" i="116"/>
  <c r="CY4" i="116"/>
  <c r="DM4" i="116"/>
  <c r="DN4" i="116"/>
  <c r="DO4" i="116"/>
  <c r="DP4" i="116"/>
  <c r="DQ4" i="116"/>
  <c r="DR4" i="116"/>
  <c r="A5" i="116"/>
  <c r="AD5" i="116"/>
  <c r="Q5" i="116"/>
  <c r="R5" i="116"/>
  <c r="V5" i="116"/>
  <c r="W5" i="116"/>
  <c r="X5" i="116"/>
  <c r="Y5" i="116"/>
  <c r="AE5" i="116"/>
  <c r="AG5" i="116"/>
  <c r="AH5" i="116"/>
  <c r="AI5" i="116"/>
  <c r="AJ5" i="116"/>
  <c r="AK5" i="116"/>
  <c r="AL5" i="116"/>
  <c r="AM5" i="116"/>
  <c r="AN5" i="116"/>
  <c r="AO5" i="116"/>
  <c r="AP5" i="116"/>
  <c r="AQ5" i="116"/>
  <c r="AR5" i="116"/>
  <c r="AS5" i="116"/>
  <c r="AT5" i="116"/>
  <c r="AU5" i="116"/>
  <c r="AV5" i="116"/>
  <c r="AW5" i="116"/>
  <c r="AX5" i="116"/>
  <c r="BL5" i="116"/>
  <c r="BO5" i="116"/>
  <c r="BR5" i="116"/>
  <c r="BU5" i="116"/>
  <c r="BX5" i="116"/>
  <c r="CA5" i="116"/>
  <c r="CD5" i="116"/>
  <c r="CG5" i="116"/>
  <c r="CJ5" i="116"/>
  <c r="CT5" i="116"/>
  <c r="CY5" i="116"/>
  <c r="DM5" i="116"/>
  <c r="DN5" i="116"/>
  <c r="DO5" i="116"/>
  <c r="DP5" i="116"/>
  <c r="DQ5" i="116"/>
  <c r="DR5" i="116"/>
  <c r="A6" i="116"/>
  <c r="AD6" i="116"/>
  <c r="Q6" i="116"/>
  <c r="R6" i="116"/>
  <c r="V6" i="116"/>
  <c r="W6" i="116"/>
  <c r="X6" i="116"/>
  <c r="Y6" i="116"/>
  <c r="AE6" i="116"/>
  <c r="AG6" i="116"/>
  <c r="AH6" i="116"/>
  <c r="AI6" i="116"/>
  <c r="AJ6" i="116"/>
  <c r="AK6" i="116"/>
  <c r="AL6" i="116"/>
  <c r="AM6" i="116"/>
  <c r="AN6" i="116"/>
  <c r="AO6" i="116"/>
  <c r="AP6" i="116"/>
  <c r="AQ6" i="116"/>
  <c r="AR6" i="116"/>
  <c r="AS6" i="116"/>
  <c r="AT6" i="116"/>
  <c r="AU6" i="116"/>
  <c r="AV6" i="116"/>
  <c r="AW6" i="116"/>
  <c r="AX6" i="116"/>
  <c r="BL6" i="116"/>
  <c r="BO6" i="116"/>
  <c r="BR6" i="116"/>
  <c r="BU6" i="116"/>
  <c r="BX6" i="116"/>
  <c r="CA6" i="116"/>
  <c r="CD6" i="116"/>
  <c r="CG6" i="116"/>
  <c r="CJ6" i="116"/>
  <c r="CT6" i="116"/>
  <c r="CY6" i="116"/>
  <c r="DM6" i="116"/>
  <c r="DN6" i="116"/>
  <c r="DO6" i="116"/>
  <c r="DP6" i="116"/>
  <c r="DQ6" i="116"/>
  <c r="DR6" i="116"/>
  <c r="A7" i="116"/>
  <c r="AD7" i="116"/>
  <c r="Q7" i="116"/>
  <c r="R7" i="116"/>
  <c r="U7" i="116"/>
  <c r="V7" i="116"/>
  <c r="W7" i="116"/>
  <c r="X7" i="116"/>
  <c r="Y7" i="116"/>
  <c r="AE7" i="116"/>
  <c r="AG7" i="116"/>
  <c r="AH7" i="116"/>
  <c r="AI7" i="116"/>
  <c r="AJ7" i="116"/>
  <c r="AK7" i="116"/>
  <c r="AL7" i="116"/>
  <c r="AM7" i="116"/>
  <c r="AN7" i="116"/>
  <c r="AO7" i="116"/>
  <c r="AP7" i="116"/>
  <c r="AQ7" i="116"/>
  <c r="AR7" i="116"/>
  <c r="AS7" i="116"/>
  <c r="AT7" i="116"/>
  <c r="AU7" i="116"/>
  <c r="AV7" i="116"/>
  <c r="AW7" i="116"/>
  <c r="AX7" i="116"/>
  <c r="BL7" i="116"/>
  <c r="BO7" i="116"/>
  <c r="BR7" i="116"/>
  <c r="BU7" i="116"/>
  <c r="BX7" i="116"/>
  <c r="CA7" i="116"/>
  <c r="CD7" i="116"/>
  <c r="CG7" i="116"/>
  <c r="CJ7" i="116"/>
  <c r="CT7" i="116"/>
  <c r="CY7" i="116"/>
  <c r="DM7" i="116"/>
  <c r="DN7" i="116"/>
  <c r="DO7" i="116"/>
  <c r="DP7" i="116"/>
  <c r="DQ7" i="116"/>
  <c r="DR7" i="116"/>
  <c r="A8" i="116"/>
  <c r="AD8" i="116"/>
  <c r="Q8" i="116"/>
  <c r="R8" i="116"/>
  <c r="U8" i="116"/>
  <c r="V8" i="116"/>
  <c r="W8" i="116"/>
  <c r="X8" i="116"/>
  <c r="Y8" i="116"/>
  <c r="AE8" i="116"/>
  <c r="AG8" i="116"/>
  <c r="AH8" i="116"/>
  <c r="AI8" i="116"/>
  <c r="AJ8" i="116"/>
  <c r="AK8" i="116"/>
  <c r="AL8" i="116"/>
  <c r="AM8" i="116"/>
  <c r="AN8" i="116"/>
  <c r="AO8" i="116"/>
  <c r="AP8" i="116"/>
  <c r="AQ8" i="116"/>
  <c r="AR8" i="116"/>
  <c r="AS8" i="116"/>
  <c r="AT8" i="116"/>
  <c r="AU8" i="116"/>
  <c r="AV8" i="116"/>
  <c r="AW8" i="116"/>
  <c r="AX8" i="116"/>
  <c r="BL8" i="116"/>
  <c r="BO8" i="116"/>
  <c r="BR8" i="116"/>
  <c r="BU8" i="116"/>
  <c r="BX8" i="116"/>
  <c r="CA8" i="116"/>
  <c r="CD8" i="116"/>
  <c r="CG8" i="116"/>
  <c r="CJ8" i="116"/>
  <c r="CT8" i="116"/>
  <c r="CY8" i="116"/>
  <c r="DM8" i="116"/>
  <c r="DN8" i="116"/>
  <c r="DO8" i="116"/>
  <c r="DP8" i="116"/>
  <c r="DQ8" i="116"/>
  <c r="DR8" i="116"/>
  <c r="A9" i="116"/>
  <c r="AD9" i="116"/>
  <c r="Q9" i="116"/>
  <c r="R9" i="116"/>
  <c r="U9" i="116"/>
  <c r="V9" i="116"/>
  <c r="W9" i="116"/>
  <c r="X9" i="116"/>
  <c r="Y9" i="116"/>
  <c r="AE9" i="116"/>
  <c r="AG9" i="116"/>
  <c r="AH9" i="116"/>
  <c r="AI9" i="116"/>
  <c r="AJ9" i="116"/>
  <c r="AK9" i="116"/>
  <c r="AL9" i="116"/>
  <c r="AM9" i="116"/>
  <c r="AN9" i="116"/>
  <c r="AO9" i="116"/>
  <c r="AP9" i="116"/>
  <c r="AQ9" i="116"/>
  <c r="AR9" i="116"/>
  <c r="AS9" i="116"/>
  <c r="AT9" i="116"/>
  <c r="AU9" i="116"/>
  <c r="AV9" i="116"/>
  <c r="AW9" i="116"/>
  <c r="AX9" i="116"/>
  <c r="BL9" i="116"/>
  <c r="BO9" i="116"/>
  <c r="BR9" i="116"/>
  <c r="BU9" i="116"/>
  <c r="BX9" i="116"/>
  <c r="CA9" i="116"/>
  <c r="CD9" i="116"/>
  <c r="CG9" i="116"/>
  <c r="CJ9" i="116"/>
  <c r="CT9" i="116"/>
  <c r="CY9" i="116"/>
  <c r="DM9" i="116"/>
  <c r="DN9" i="116"/>
  <c r="DO9" i="116"/>
  <c r="DP9" i="116"/>
  <c r="DQ9" i="116"/>
  <c r="DR9" i="116"/>
  <c r="A10" i="116"/>
  <c r="AD10" i="116"/>
  <c r="Q10" i="116"/>
  <c r="R10" i="116"/>
  <c r="U10" i="116"/>
  <c r="V10" i="116"/>
  <c r="W10" i="116"/>
  <c r="X10" i="116"/>
  <c r="Y10" i="116"/>
  <c r="AE10" i="116"/>
  <c r="AG10" i="116"/>
  <c r="AH10" i="116"/>
  <c r="AI10" i="116"/>
  <c r="AJ10" i="116"/>
  <c r="AK10" i="116"/>
  <c r="AL10" i="116"/>
  <c r="AM10" i="116"/>
  <c r="AN10" i="116"/>
  <c r="AO10" i="116"/>
  <c r="AP10" i="116"/>
  <c r="AQ10" i="116"/>
  <c r="AR10" i="116"/>
  <c r="AS10" i="116"/>
  <c r="AT10" i="116"/>
  <c r="AU10" i="116"/>
  <c r="AV10" i="116"/>
  <c r="AW10" i="116"/>
  <c r="AX10" i="116"/>
  <c r="BL10" i="116"/>
  <c r="BO10" i="116"/>
  <c r="BR10" i="116"/>
  <c r="BU10" i="116"/>
  <c r="BX10" i="116"/>
  <c r="CA10" i="116"/>
  <c r="CD10" i="116"/>
  <c r="CG10" i="116"/>
  <c r="CJ10" i="116"/>
  <c r="CT10" i="116"/>
  <c r="CY10" i="116"/>
  <c r="DM10" i="116"/>
  <c r="DN10" i="116"/>
  <c r="DO10" i="116"/>
  <c r="DP10" i="116"/>
  <c r="DQ10" i="116"/>
  <c r="DR10" i="116"/>
  <c r="A11" i="116"/>
  <c r="AD11" i="116"/>
  <c r="Q11" i="116"/>
  <c r="R11" i="116"/>
  <c r="U11" i="116"/>
  <c r="V11" i="116"/>
  <c r="W11" i="116"/>
  <c r="X11" i="116"/>
  <c r="Y11" i="116"/>
  <c r="AE11" i="116"/>
  <c r="AG11" i="116"/>
  <c r="AH11" i="116"/>
  <c r="AI11" i="116"/>
  <c r="AJ11" i="116"/>
  <c r="AK11" i="116"/>
  <c r="AL11" i="116"/>
  <c r="AM11" i="116"/>
  <c r="AN11" i="116"/>
  <c r="AO11" i="116"/>
  <c r="AP11" i="116"/>
  <c r="AQ11" i="116"/>
  <c r="AR11" i="116"/>
  <c r="AS11" i="116"/>
  <c r="AT11" i="116"/>
  <c r="AU11" i="116"/>
  <c r="AV11" i="116"/>
  <c r="AW11" i="116"/>
  <c r="AX11" i="116"/>
  <c r="BL11" i="116"/>
  <c r="BO11" i="116"/>
  <c r="BR11" i="116"/>
  <c r="BU11" i="116"/>
  <c r="BX11" i="116"/>
  <c r="CA11" i="116"/>
  <c r="CD11" i="116"/>
  <c r="CG11" i="116"/>
  <c r="CJ11" i="116"/>
  <c r="CT11" i="116"/>
  <c r="CY11" i="116"/>
  <c r="DM11" i="116"/>
  <c r="DN11" i="116"/>
  <c r="DO11" i="116"/>
  <c r="DP11" i="116"/>
  <c r="DQ11" i="116"/>
  <c r="DR11" i="116"/>
  <c r="A12" i="116"/>
  <c r="AD12" i="116"/>
  <c r="Q12" i="116"/>
  <c r="R12" i="116"/>
  <c r="U12" i="116"/>
  <c r="V12" i="116"/>
  <c r="W12" i="116"/>
  <c r="X12" i="116"/>
  <c r="Y12" i="116"/>
  <c r="AE12" i="116"/>
  <c r="AG12" i="116"/>
  <c r="AH12" i="116"/>
  <c r="AI12" i="116"/>
  <c r="AJ12" i="116"/>
  <c r="AK12" i="116"/>
  <c r="AL12" i="116"/>
  <c r="AM12" i="116"/>
  <c r="AN12" i="116"/>
  <c r="AO12" i="116"/>
  <c r="AP12" i="116"/>
  <c r="AQ12" i="116"/>
  <c r="AR12" i="116"/>
  <c r="AS12" i="116"/>
  <c r="AT12" i="116"/>
  <c r="AU12" i="116"/>
  <c r="AV12" i="116"/>
  <c r="AW12" i="116"/>
  <c r="AX12" i="116"/>
  <c r="BL12" i="116"/>
  <c r="BO12" i="116"/>
  <c r="BR12" i="116"/>
  <c r="BU12" i="116"/>
  <c r="BX12" i="116"/>
  <c r="CA12" i="116"/>
  <c r="CD12" i="116"/>
  <c r="CG12" i="116"/>
  <c r="CJ12" i="116"/>
  <c r="CT12" i="116"/>
  <c r="CY12" i="116"/>
  <c r="DM12" i="116"/>
  <c r="DN12" i="116"/>
  <c r="DO12" i="116"/>
  <c r="DP12" i="116"/>
  <c r="DQ12" i="116"/>
  <c r="DR12" i="116"/>
  <c r="A13" i="116"/>
  <c r="AD13" i="116"/>
  <c r="Q13" i="116"/>
  <c r="R13" i="116"/>
  <c r="U13" i="116"/>
  <c r="V13" i="116"/>
  <c r="W13" i="116"/>
  <c r="X13" i="116"/>
  <c r="Y13" i="116"/>
  <c r="AE13" i="116"/>
  <c r="AG13" i="116"/>
  <c r="AH13" i="116"/>
  <c r="AI13" i="116"/>
  <c r="AJ13" i="116"/>
  <c r="AK13" i="116"/>
  <c r="AL13" i="116"/>
  <c r="AM13" i="116"/>
  <c r="AN13" i="116"/>
  <c r="AO13" i="116"/>
  <c r="AP13" i="116"/>
  <c r="AQ13" i="116"/>
  <c r="AR13" i="116"/>
  <c r="AS13" i="116"/>
  <c r="AT13" i="116"/>
  <c r="AU13" i="116"/>
  <c r="AV13" i="116"/>
  <c r="AW13" i="116"/>
  <c r="AX13" i="116"/>
  <c r="BL13" i="116"/>
  <c r="BO13" i="116"/>
  <c r="BR13" i="116"/>
  <c r="BU13" i="116"/>
  <c r="BX13" i="116"/>
  <c r="CA13" i="116"/>
  <c r="CD13" i="116"/>
  <c r="CG13" i="116"/>
  <c r="CJ13" i="116"/>
  <c r="CT13" i="116"/>
  <c r="CY13" i="116"/>
  <c r="DM13" i="116"/>
  <c r="DN13" i="116"/>
  <c r="DO13" i="116"/>
  <c r="DP13" i="116"/>
  <c r="DQ13" i="116"/>
  <c r="DR13" i="116"/>
  <c r="A14" i="116"/>
  <c r="AD14" i="116"/>
  <c r="Q14" i="116"/>
  <c r="R14" i="116"/>
  <c r="U14" i="116"/>
  <c r="V14" i="116"/>
  <c r="W14" i="116"/>
  <c r="X14" i="116"/>
  <c r="Y14" i="116"/>
  <c r="AE14" i="116"/>
  <c r="AG14" i="116"/>
  <c r="AH14" i="116"/>
  <c r="AI14" i="116"/>
  <c r="AJ14" i="116"/>
  <c r="AK14" i="116"/>
  <c r="AL14" i="116"/>
  <c r="AM14" i="116"/>
  <c r="AN14" i="116"/>
  <c r="AO14" i="116"/>
  <c r="AP14" i="116"/>
  <c r="AQ14" i="116"/>
  <c r="AR14" i="116"/>
  <c r="AS14" i="116"/>
  <c r="AT14" i="116"/>
  <c r="AU14" i="116"/>
  <c r="AV14" i="116"/>
  <c r="AW14" i="116"/>
  <c r="AX14" i="116"/>
  <c r="BL14" i="116"/>
  <c r="BO14" i="116"/>
  <c r="BR14" i="116"/>
  <c r="BU14" i="116"/>
  <c r="BX14" i="116"/>
  <c r="CA14" i="116"/>
  <c r="CD14" i="116"/>
  <c r="CG14" i="116"/>
  <c r="CJ14" i="116"/>
  <c r="CT14" i="116"/>
  <c r="CY14" i="116"/>
  <c r="DM14" i="116"/>
  <c r="DN14" i="116"/>
  <c r="DO14" i="116"/>
  <c r="DP14" i="116"/>
  <c r="DQ14" i="116"/>
  <c r="DR14" i="116"/>
  <c r="A15" i="116"/>
  <c r="AD15" i="116"/>
  <c r="Q15" i="116"/>
  <c r="R15" i="116"/>
  <c r="U15" i="116"/>
  <c r="V15" i="116"/>
  <c r="W15" i="116"/>
  <c r="X15" i="116"/>
  <c r="Y15" i="116"/>
  <c r="AE15" i="116"/>
  <c r="AG15" i="116"/>
  <c r="AH15" i="116"/>
  <c r="AI15" i="116"/>
  <c r="AJ15" i="116"/>
  <c r="AK15" i="116"/>
  <c r="AL15" i="116"/>
  <c r="AM15" i="116"/>
  <c r="AN15" i="116"/>
  <c r="AO15" i="116"/>
  <c r="AP15" i="116"/>
  <c r="AQ15" i="116"/>
  <c r="AR15" i="116"/>
  <c r="AS15" i="116"/>
  <c r="AT15" i="116"/>
  <c r="AU15" i="116"/>
  <c r="AV15" i="116"/>
  <c r="AW15" i="116"/>
  <c r="AX15" i="116"/>
  <c r="BL15" i="116"/>
  <c r="BO15" i="116"/>
  <c r="BR15" i="116"/>
  <c r="BU15" i="116"/>
  <c r="BX15" i="116"/>
  <c r="CA15" i="116"/>
  <c r="CD15" i="116"/>
  <c r="CG15" i="116"/>
  <c r="CJ15" i="116"/>
  <c r="CT15" i="116"/>
  <c r="CY15" i="116"/>
  <c r="DM15" i="116"/>
  <c r="DN15" i="116"/>
  <c r="DO15" i="116"/>
  <c r="DP15" i="116"/>
  <c r="DQ15" i="116"/>
  <c r="DR15" i="116"/>
  <c r="A16" i="116"/>
  <c r="AD16" i="116"/>
  <c r="Q16" i="116"/>
  <c r="R16" i="116"/>
  <c r="U16" i="116"/>
  <c r="V16" i="116"/>
  <c r="W16" i="116"/>
  <c r="X16" i="116"/>
  <c r="Y16" i="116"/>
  <c r="AE16" i="116"/>
  <c r="AG16" i="116"/>
  <c r="AH16" i="116"/>
  <c r="AI16" i="116"/>
  <c r="AJ16" i="116"/>
  <c r="AK16" i="116"/>
  <c r="AL16" i="116"/>
  <c r="AM16" i="116"/>
  <c r="AN16" i="116"/>
  <c r="AO16" i="116"/>
  <c r="AP16" i="116"/>
  <c r="AQ16" i="116"/>
  <c r="AR16" i="116"/>
  <c r="AS16" i="116"/>
  <c r="AT16" i="116"/>
  <c r="AU16" i="116"/>
  <c r="AV16" i="116"/>
  <c r="AW16" i="116"/>
  <c r="AX16" i="116"/>
  <c r="BL16" i="116"/>
  <c r="BO16" i="116"/>
  <c r="BR16" i="116"/>
  <c r="BU16" i="116"/>
  <c r="BX16" i="116"/>
  <c r="CA16" i="116"/>
  <c r="CD16" i="116"/>
  <c r="CG16" i="116"/>
  <c r="CJ16" i="116"/>
  <c r="CT16" i="116"/>
  <c r="CY16" i="116"/>
  <c r="DM16" i="116"/>
  <c r="DN16" i="116"/>
  <c r="DO16" i="116"/>
  <c r="DP16" i="116"/>
  <c r="DQ16" i="116"/>
  <c r="DR16" i="116"/>
  <c r="A17" i="116"/>
  <c r="AD17" i="116"/>
  <c r="Q17" i="116"/>
  <c r="R17" i="116"/>
  <c r="U17" i="116"/>
  <c r="V17" i="116"/>
  <c r="W17" i="116"/>
  <c r="X17" i="116"/>
  <c r="Y17" i="116"/>
  <c r="AE17" i="116"/>
  <c r="AG17" i="116"/>
  <c r="AH17" i="116"/>
  <c r="AI17" i="116"/>
  <c r="AJ17" i="116"/>
  <c r="AK17" i="116"/>
  <c r="AL17" i="116"/>
  <c r="AM17" i="116"/>
  <c r="AN17" i="116"/>
  <c r="AO17" i="116"/>
  <c r="AP17" i="116"/>
  <c r="AQ17" i="116"/>
  <c r="AR17" i="116"/>
  <c r="AS17" i="116"/>
  <c r="AT17" i="116"/>
  <c r="AU17" i="116"/>
  <c r="AV17" i="116"/>
  <c r="AW17" i="116"/>
  <c r="AX17" i="116"/>
  <c r="BL17" i="116"/>
  <c r="BO17" i="116"/>
  <c r="BR17" i="116"/>
  <c r="BU17" i="116"/>
  <c r="BX17" i="116"/>
  <c r="CA17" i="116"/>
  <c r="CD17" i="116"/>
  <c r="CG17" i="116"/>
  <c r="CJ17" i="116"/>
  <c r="CT17" i="116"/>
  <c r="CY17" i="116"/>
  <c r="DM17" i="116"/>
  <c r="DN17" i="116"/>
  <c r="DO17" i="116"/>
  <c r="DP17" i="116"/>
  <c r="DQ17" i="116"/>
  <c r="DR17" i="116"/>
  <c r="A18" i="116"/>
  <c r="AD18" i="116"/>
  <c r="Q18" i="116"/>
  <c r="R18" i="116"/>
  <c r="U18" i="116"/>
  <c r="V18" i="116"/>
  <c r="W18" i="116"/>
  <c r="X18" i="116"/>
  <c r="Y18" i="116"/>
  <c r="AE18" i="116"/>
  <c r="AG18" i="116"/>
  <c r="AH18" i="116"/>
  <c r="AI18" i="116"/>
  <c r="AJ18" i="116"/>
  <c r="AK18" i="116"/>
  <c r="AL18" i="116"/>
  <c r="AM18" i="116"/>
  <c r="AN18" i="116"/>
  <c r="AO18" i="116"/>
  <c r="AP18" i="116"/>
  <c r="AQ18" i="116"/>
  <c r="AR18" i="116"/>
  <c r="AS18" i="116"/>
  <c r="AT18" i="116"/>
  <c r="AU18" i="116"/>
  <c r="AV18" i="116"/>
  <c r="AW18" i="116"/>
  <c r="AX18" i="116"/>
  <c r="BL18" i="116"/>
  <c r="BO18" i="116"/>
  <c r="BR18" i="116"/>
  <c r="BU18" i="116"/>
  <c r="BX18" i="116"/>
  <c r="CA18" i="116"/>
  <c r="CD18" i="116"/>
  <c r="CG18" i="116"/>
  <c r="CJ18" i="116"/>
  <c r="CT18" i="116"/>
  <c r="CY18" i="116"/>
  <c r="DM18" i="116"/>
  <c r="DN18" i="116"/>
  <c r="DO18" i="116"/>
  <c r="DP18" i="116"/>
  <c r="DQ18" i="116"/>
  <c r="DR18" i="116"/>
  <c r="A19" i="116"/>
  <c r="AD19" i="116"/>
  <c r="Q19" i="116"/>
  <c r="R19" i="116"/>
  <c r="U19" i="116"/>
  <c r="V19" i="116"/>
  <c r="W19" i="116"/>
  <c r="X19" i="116"/>
  <c r="Y19" i="116"/>
  <c r="AE19" i="116"/>
  <c r="AG19" i="116"/>
  <c r="AH19" i="116"/>
  <c r="AI19" i="116"/>
  <c r="AJ19" i="116"/>
  <c r="AK19" i="116"/>
  <c r="AL19" i="116"/>
  <c r="AM19" i="116"/>
  <c r="AN19" i="116"/>
  <c r="AO19" i="116"/>
  <c r="AP19" i="116"/>
  <c r="AQ19" i="116"/>
  <c r="AR19" i="116"/>
  <c r="AS19" i="116"/>
  <c r="AT19" i="116"/>
  <c r="AU19" i="116"/>
  <c r="AV19" i="116"/>
  <c r="AW19" i="116"/>
  <c r="AX19" i="116"/>
  <c r="BL19" i="116"/>
  <c r="BO19" i="116"/>
  <c r="BR19" i="116"/>
  <c r="BU19" i="116"/>
  <c r="BX19" i="116"/>
  <c r="CA19" i="116"/>
  <c r="CD19" i="116"/>
  <c r="CG19" i="116"/>
  <c r="CJ19" i="116"/>
  <c r="CT19" i="116"/>
  <c r="CY19" i="116"/>
  <c r="DM19" i="116"/>
  <c r="DN19" i="116"/>
  <c r="DO19" i="116"/>
  <c r="DP19" i="116"/>
  <c r="DQ19" i="116"/>
  <c r="DR19" i="116"/>
  <c r="A20" i="116"/>
  <c r="AD20" i="116"/>
  <c r="Q20" i="116"/>
  <c r="R20" i="116"/>
  <c r="U20" i="116"/>
  <c r="V20" i="116"/>
  <c r="W20" i="116"/>
  <c r="X20" i="116"/>
  <c r="Y20" i="116"/>
  <c r="AE20" i="116"/>
  <c r="AG20" i="116"/>
  <c r="AH20" i="116"/>
  <c r="AI20" i="116"/>
  <c r="AJ20" i="116"/>
  <c r="AK20" i="116"/>
  <c r="AL20" i="116"/>
  <c r="AM20" i="116"/>
  <c r="AN20" i="116"/>
  <c r="AO20" i="116"/>
  <c r="AP20" i="116"/>
  <c r="AQ20" i="116"/>
  <c r="AR20" i="116"/>
  <c r="AS20" i="116"/>
  <c r="AT20" i="116"/>
  <c r="AU20" i="116"/>
  <c r="AV20" i="116"/>
  <c r="AW20" i="116"/>
  <c r="AX20" i="116"/>
  <c r="BL20" i="116"/>
  <c r="BO20" i="116"/>
  <c r="BR20" i="116"/>
  <c r="BU20" i="116"/>
  <c r="BX20" i="116"/>
  <c r="CA20" i="116"/>
  <c r="CD20" i="116"/>
  <c r="CG20" i="116"/>
  <c r="CJ20" i="116"/>
  <c r="CT20" i="116"/>
  <c r="CY20" i="116"/>
  <c r="DM20" i="116"/>
  <c r="DN20" i="116"/>
  <c r="DO20" i="116"/>
  <c r="DP20" i="116"/>
  <c r="DQ20" i="116"/>
  <c r="DR20" i="116"/>
  <c r="A21" i="116"/>
  <c r="AD21" i="116"/>
  <c r="Q21" i="116"/>
  <c r="R21" i="116"/>
  <c r="U21" i="116"/>
  <c r="V21" i="116"/>
  <c r="W21" i="116"/>
  <c r="X21" i="116"/>
  <c r="Y21" i="116"/>
  <c r="AE21" i="116"/>
  <c r="AG21" i="116"/>
  <c r="AH21" i="116"/>
  <c r="AI21" i="116"/>
  <c r="AJ21" i="116"/>
  <c r="AK21" i="116"/>
  <c r="AL21" i="116"/>
  <c r="AM21" i="116"/>
  <c r="AN21" i="116"/>
  <c r="AO21" i="116"/>
  <c r="AP21" i="116"/>
  <c r="AQ21" i="116"/>
  <c r="AR21" i="116"/>
  <c r="AS21" i="116"/>
  <c r="AT21" i="116"/>
  <c r="AU21" i="116"/>
  <c r="AV21" i="116"/>
  <c r="AW21" i="116"/>
  <c r="AX21" i="116"/>
  <c r="BL21" i="116"/>
  <c r="BO21" i="116"/>
  <c r="BR21" i="116"/>
  <c r="BU21" i="116"/>
  <c r="BX21" i="116"/>
  <c r="CA21" i="116"/>
  <c r="CD21" i="116"/>
  <c r="CG21" i="116"/>
  <c r="CJ21" i="116"/>
  <c r="CT21" i="116"/>
  <c r="CY21" i="116"/>
  <c r="DM21" i="116"/>
  <c r="DN21" i="116"/>
  <c r="DO21" i="116"/>
  <c r="DP21" i="116"/>
  <c r="DQ21" i="116"/>
  <c r="DR21" i="116"/>
  <c r="A22" i="116"/>
  <c r="AD22" i="116"/>
  <c r="Q22" i="116"/>
  <c r="R22" i="116"/>
  <c r="U22" i="116"/>
  <c r="V22" i="116"/>
  <c r="W22" i="116"/>
  <c r="X22" i="116"/>
  <c r="Y22" i="116"/>
  <c r="AE22" i="116"/>
  <c r="AG22" i="116"/>
  <c r="AH22" i="116"/>
  <c r="AI22" i="116"/>
  <c r="AJ22" i="116"/>
  <c r="AK22" i="116"/>
  <c r="AL22" i="116"/>
  <c r="AM22" i="116"/>
  <c r="AN22" i="116"/>
  <c r="AO22" i="116"/>
  <c r="AP22" i="116"/>
  <c r="AQ22" i="116"/>
  <c r="AR22" i="116"/>
  <c r="AS22" i="116"/>
  <c r="AT22" i="116"/>
  <c r="AU22" i="116"/>
  <c r="AV22" i="116"/>
  <c r="AW22" i="116"/>
  <c r="AX22" i="116"/>
  <c r="BL22" i="116"/>
  <c r="BO22" i="116"/>
  <c r="BR22" i="116"/>
  <c r="BU22" i="116"/>
  <c r="BX22" i="116"/>
  <c r="CA22" i="116"/>
  <c r="CD22" i="116"/>
  <c r="CG22" i="116"/>
  <c r="CJ22" i="116"/>
  <c r="CT22" i="116"/>
  <c r="CY22" i="116"/>
  <c r="DM22" i="116"/>
  <c r="DN22" i="116"/>
  <c r="DO22" i="116"/>
  <c r="DP22" i="116"/>
  <c r="DQ22" i="116"/>
  <c r="DR22" i="116"/>
  <c r="A23" i="116"/>
  <c r="AD23" i="116"/>
  <c r="Q23" i="116"/>
  <c r="R23" i="116"/>
  <c r="U23" i="116"/>
  <c r="V23" i="116"/>
  <c r="W23" i="116"/>
  <c r="X23" i="116"/>
  <c r="Y23" i="116"/>
  <c r="AE23" i="116"/>
  <c r="AG23" i="116"/>
  <c r="AH23" i="116"/>
  <c r="AI23" i="116"/>
  <c r="AJ23" i="116"/>
  <c r="AK23" i="116"/>
  <c r="AL23" i="116"/>
  <c r="AM23" i="116"/>
  <c r="AN23" i="116"/>
  <c r="AO23" i="116"/>
  <c r="AP23" i="116"/>
  <c r="AQ23" i="116"/>
  <c r="AR23" i="116"/>
  <c r="AS23" i="116"/>
  <c r="AT23" i="116"/>
  <c r="AU23" i="116"/>
  <c r="AV23" i="116"/>
  <c r="AW23" i="116"/>
  <c r="AX23" i="116"/>
  <c r="BL23" i="116"/>
  <c r="BO23" i="116"/>
  <c r="BR23" i="116"/>
  <c r="BU23" i="116"/>
  <c r="BX23" i="116"/>
  <c r="CA23" i="116"/>
  <c r="CD23" i="116"/>
  <c r="CG23" i="116"/>
  <c r="CJ23" i="116"/>
  <c r="CT23" i="116"/>
  <c r="CY23" i="116"/>
  <c r="DM23" i="116"/>
  <c r="DN23" i="116"/>
  <c r="DO23" i="116"/>
  <c r="DP23" i="116"/>
  <c r="DQ23" i="116"/>
  <c r="DR23" i="116"/>
  <c r="A24" i="116"/>
  <c r="AD24" i="116"/>
  <c r="Q24" i="116"/>
  <c r="R24" i="116"/>
  <c r="U24" i="116"/>
  <c r="V24" i="116"/>
  <c r="W24" i="116"/>
  <c r="X24" i="116"/>
  <c r="Y24" i="116"/>
  <c r="AE24" i="116"/>
  <c r="AG24" i="116"/>
  <c r="AH24" i="116"/>
  <c r="AI24" i="116"/>
  <c r="AJ24" i="116"/>
  <c r="AK24" i="116"/>
  <c r="AL24" i="116"/>
  <c r="AM24" i="116"/>
  <c r="AN24" i="116"/>
  <c r="AO24" i="116"/>
  <c r="AP24" i="116"/>
  <c r="AQ24" i="116"/>
  <c r="AR24" i="116"/>
  <c r="AS24" i="116"/>
  <c r="AT24" i="116"/>
  <c r="AU24" i="116"/>
  <c r="AV24" i="116"/>
  <c r="AW24" i="116"/>
  <c r="AX24" i="116"/>
  <c r="BL24" i="116"/>
  <c r="BO24" i="116"/>
  <c r="BR24" i="116"/>
  <c r="BU24" i="116"/>
  <c r="BX24" i="116"/>
  <c r="CA24" i="116"/>
  <c r="CD24" i="116"/>
  <c r="CG24" i="116"/>
  <c r="CJ24" i="116"/>
  <c r="CT24" i="116"/>
  <c r="CY24" i="116"/>
  <c r="DM24" i="116"/>
  <c r="DN24" i="116"/>
  <c r="DO24" i="116"/>
  <c r="DP24" i="116"/>
  <c r="DQ24" i="116"/>
  <c r="DR24" i="116"/>
  <c r="A25" i="116"/>
  <c r="AD25" i="116"/>
  <c r="Q25" i="116"/>
  <c r="R25" i="116"/>
  <c r="U25" i="116"/>
  <c r="V25" i="116"/>
  <c r="W25" i="116"/>
  <c r="X25" i="116"/>
  <c r="Y25" i="116"/>
  <c r="AE25" i="116"/>
  <c r="AG25" i="116"/>
  <c r="AH25" i="116"/>
  <c r="AI25" i="116"/>
  <c r="AJ25" i="116"/>
  <c r="AK25" i="116"/>
  <c r="AL25" i="116"/>
  <c r="AM25" i="116"/>
  <c r="AN25" i="116"/>
  <c r="AO25" i="116"/>
  <c r="AP25" i="116"/>
  <c r="AQ25" i="116"/>
  <c r="AR25" i="116"/>
  <c r="AS25" i="116"/>
  <c r="AT25" i="116"/>
  <c r="AU25" i="116"/>
  <c r="AV25" i="116"/>
  <c r="AW25" i="116"/>
  <c r="AX25" i="116"/>
  <c r="BL25" i="116"/>
  <c r="BO25" i="116"/>
  <c r="BR25" i="116"/>
  <c r="BU25" i="116"/>
  <c r="BX25" i="116"/>
  <c r="CA25" i="116"/>
  <c r="CD25" i="116"/>
  <c r="CG25" i="116"/>
  <c r="CJ25" i="116"/>
  <c r="CT25" i="116"/>
  <c r="CY25" i="116"/>
  <c r="DM25" i="116"/>
  <c r="DN25" i="116"/>
  <c r="DO25" i="116"/>
  <c r="DP25" i="116"/>
  <c r="DQ25" i="116"/>
  <c r="DR25" i="116"/>
  <c r="A26" i="116"/>
  <c r="AD26" i="116"/>
  <c r="Q26" i="116"/>
  <c r="R26" i="116"/>
  <c r="U26" i="116"/>
  <c r="V26" i="116"/>
  <c r="W26" i="116"/>
  <c r="X26" i="116"/>
  <c r="Y26" i="116"/>
  <c r="AE26" i="116"/>
  <c r="AG26" i="116"/>
  <c r="AH26" i="116"/>
  <c r="AI26" i="116"/>
  <c r="AJ26" i="116"/>
  <c r="AK26" i="116"/>
  <c r="AL26" i="116"/>
  <c r="AM26" i="116"/>
  <c r="AN26" i="116"/>
  <c r="AO26" i="116"/>
  <c r="AP26" i="116"/>
  <c r="AQ26" i="116"/>
  <c r="AR26" i="116"/>
  <c r="AS26" i="116"/>
  <c r="AT26" i="116"/>
  <c r="AU26" i="116"/>
  <c r="AV26" i="116"/>
  <c r="AW26" i="116"/>
  <c r="AX26" i="116"/>
  <c r="BL26" i="116"/>
  <c r="BO26" i="116"/>
  <c r="BR26" i="116"/>
  <c r="BU26" i="116"/>
  <c r="BX26" i="116"/>
  <c r="CA26" i="116"/>
  <c r="CD26" i="116"/>
  <c r="CG26" i="116"/>
  <c r="CJ26" i="116"/>
  <c r="CT26" i="116"/>
  <c r="CY26" i="116"/>
  <c r="DM26" i="116"/>
  <c r="DN26" i="116"/>
  <c r="DO26" i="116"/>
  <c r="DP26" i="116"/>
  <c r="DQ26" i="116"/>
  <c r="DR26" i="116"/>
  <c r="A27" i="116"/>
  <c r="AD27" i="116"/>
  <c r="Q27" i="116"/>
  <c r="R27" i="116"/>
  <c r="U27" i="116"/>
  <c r="V27" i="116"/>
  <c r="W27" i="116"/>
  <c r="X27" i="116"/>
  <c r="Y27" i="116"/>
  <c r="AE27" i="116"/>
  <c r="AG27" i="116"/>
  <c r="AH27" i="116"/>
  <c r="AI27" i="116"/>
  <c r="AJ27" i="116"/>
  <c r="AK27" i="116"/>
  <c r="AL27" i="116"/>
  <c r="AM27" i="116"/>
  <c r="AN27" i="116"/>
  <c r="AO27" i="116"/>
  <c r="AP27" i="116"/>
  <c r="AQ27" i="116"/>
  <c r="AR27" i="116"/>
  <c r="AS27" i="116"/>
  <c r="AT27" i="116"/>
  <c r="AU27" i="116"/>
  <c r="AV27" i="116"/>
  <c r="AW27" i="116"/>
  <c r="AX27" i="116"/>
  <c r="BL27" i="116"/>
  <c r="BO27" i="116"/>
  <c r="BR27" i="116"/>
  <c r="BU27" i="116"/>
  <c r="BX27" i="116"/>
  <c r="CA27" i="116"/>
  <c r="CD27" i="116"/>
  <c r="CG27" i="116"/>
  <c r="CJ27" i="116"/>
  <c r="CT27" i="116"/>
  <c r="CY27" i="116"/>
  <c r="DM27" i="116"/>
  <c r="DN27" i="116"/>
  <c r="DO27" i="116"/>
  <c r="DP27" i="116"/>
  <c r="DQ27" i="116"/>
  <c r="DR27" i="116"/>
  <c r="A28" i="116"/>
  <c r="AD28" i="116"/>
  <c r="Q28" i="116"/>
  <c r="R28" i="116"/>
  <c r="U28" i="116"/>
  <c r="V28" i="116"/>
  <c r="W28" i="116"/>
  <c r="X28" i="116"/>
  <c r="Y28" i="116"/>
  <c r="AE28" i="116"/>
  <c r="AG28" i="116"/>
  <c r="AH28" i="116"/>
  <c r="AI28" i="116"/>
  <c r="AJ28" i="116"/>
  <c r="AK28" i="116"/>
  <c r="AL28" i="116"/>
  <c r="AM28" i="116"/>
  <c r="AN28" i="116"/>
  <c r="AO28" i="116"/>
  <c r="AP28" i="116"/>
  <c r="AQ28" i="116"/>
  <c r="AR28" i="116"/>
  <c r="AS28" i="116"/>
  <c r="AT28" i="116"/>
  <c r="AU28" i="116"/>
  <c r="AV28" i="116"/>
  <c r="AW28" i="116"/>
  <c r="AX28" i="116"/>
  <c r="BL28" i="116"/>
  <c r="BO28" i="116"/>
  <c r="BR28" i="116"/>
  <c r="BU28" i="116"/>
  <c r="BX28" i="116"/>
  <c r="CA28" i="116"/>
  <c r="CD28" i="116"/>
  <c r="CG28" i="116"/>
  <c r="CJ28" i="116"/>
  <c r="CT28" i="116"/>
  <c r="CY28" i="116"/>
  <c r="DM28" i="116"/>
  <c r="DN28" i="116"/>
  <c r="DO28" i="116"/>
  <c r="DP28" i="116"/>
  <c r="DQ28" i="116"/>
  <c r="DR28" i="116"/>
  <c r="A29" i="116"/>
  <c r="AD29" i="116"/>
  <c r="Q29" i="116"/>
  <c r="R29" i="116"/>
  <c r="U29" i="116"/>
  <c r="V29" i="116"/>
  <c r="W29" i="116"/>
  <c r="X29" i="116"/>
  <c r="Y29" i="116"/>
  <c r="AE29" i="116"/>
  <c r="AG29" i="116"/>
  <c r="AH29" i="116"/>
  <c r="AI29" i="116"/>
  <c r="AJ29" i="116"/>
  <c r="AK29" i="116"/>
  <c r="AL29" i="116"/>
  <c r="AM29" i="116"/>
  <c r="AN29" i="116"/>
  <c r="AO29" i="116"/>
  <c r="AP29" i="116"/>
  <c r="AQ29" i="116"/>
  <c r="AR29" i="116"/>
  <c r="AS29" i="116"/>
  <c r="AT29" i="116"/>
  <c r="AU29" i="116"/>
  <c r="AV29" i="116"/>
  <c r="AW29" i="116"/>
  <c r="AX29" i="116"/>
  <c r="BL29" i="116"/>
  <c r="BO29" i="116"/>
  <c r="BR29" i="116"/>
  <c r="BU29" i="116"/>
  <c r="BX29" i="116"/>
  <c r="CA29" i="116"/>
  <c r="CD29" i="116"/>
  <c r="CG29" i="116"/>
  <c r="CJ29" i="116"/>
  <c r="CT29" i="116"/>
  <c r="CY29" i="116"/>
  <c r="DM29" i="116"/>
  <c r="DN29" i="116"/>
  <c r="DO29" i="116"/>
  <c r="DP29" i="116"/>
  <c r="DQ29" i="116"/>
  <c r="DR29" i="116"/>
  <c r="A30" i="116"/>
  <c r="AD30" i="116"/>
  <c r="Q30" i="116"/>
  <c r="R30" i="116"/>
  <c r="U30" i="116"/>
  <c r="V30" i="116"/>
  <c r="W30" i="116"/>
  <c r="X30" i="116"/>
  <c r="Y30" i="116"/>
  <c r="AE30" i="116"/>
  <c r="AG30" i="116"/>
  <c r="AH30" i="116"/>
  <c r="AI30" i="116"/>
  <c r="AJ30" i="116"/>
  <c r="AK30" i="116"/>
  <c r="AL30" i="116"/>
  <c r="AM30" i="116"/>
  <c r="AN30" i="116"/>
  <c r="AO30" i="116"/>
  <c r="AP30" i="116"/>
  <c r="AQ30" i="116"/>
  <c r="AR30" i="116"/>
  <c r="AS30" i="116"/>
  <c r="AT30" i="116"/>
  <c r="AU30" i="116"/>
  <c r="AV30" i="116"/>
  <c r="AW30" i="116"/>
  <c r="AX30" i="116"/>
  <c r="BL30" i="116"/>
  <c r="BO30" i="116"/>
  <c r="BR30" i="116"/>
  <c r="BU30" i="116"/>
  <c r="BX30" i="116"/>
  <c r="CA30" i="116"/>
  <c r="CD30" i="116"/>
  <c r="CG30" i="116"/>
  <c r="CJ30" i="116"/>
  <c r="CT30" i="116"/>
  <c r="CY30" i="116"/>
  <c r="DM30" i="116"/>
  <c r="DN30" i="116"/>
  <c r="DO30" i="116"/>
  <c r="DP30" i="116"/>
  <c r="DQ30" i="116"/>
  <c r="DR30" i="116"/>
  <c r="A31" i="116"/>
  <c r="AD31" i="116"/>
  <c r="Q31" i="116"/>
  <c r="R31" i="116"/>
  <c r="U31" i="116"/>
  <c r="V31" i="116"/>
  <c r="W31" i="116"/>
  <c r="X31" i="116"/>
  <c r="Y31" i="116"/>
  <c r="AE31" i="116"/>
  <c r="AG31" i="116"/>
  <c r="AH31" i="116"/>
  <c r="AI31" i="116"/>
  <c r="AJ31" i="116"/>
  <c r="AK31" i="116"/>
  <c r="AL31" i="116"/>
  <c r="AM31" i="116"/>
  <c r="AN31" i="116"/>
  <c r="AO31" i="116"/>
  <c r="AP31" i="116"/>
  <c r="AQ31" i="116"/>
  <c r="AR31" i="116"/>
  <c r="AS31" i="116"/>
  <c r="AT31" i="116"/>
  <c r="AU31" i="116"/>
  <c r="AV31" i="116"/>
  <c r="AW31" i="116"/>
  <c r="AX31" i="116"/>
  <c r="BL31" i="116"/>
  <c r="BO31" i="116"/>
  <c r="BR31" i="116"/>
  <c r="BU31" i="116"/>
  <c r="BX31" i="116"/>
  <c r="CA31" i="116"/>
  <c r="CD31" i="116"/>
  <c r="CG31" i="116"/>
  <c r="CJ31" i="116"/>
  <c r="CT31" i="116"/>
  <c r="CY31" i="116"/>
  <c r="DM31" i="116"/>
  <c r="DN31" i="116"/>
  <c r="DO31" i="116"/>
  <c r="DP31" i="116"/>
  <c r="DQ31" i="116"/>
  <c r="DR31" i="116"/>
  <c r="A32" i="116"/>
  <c r="AD32" i="116"/>
  <c r="Q32" i="116"/>
  <c r="R32" i="116"/>
  <c r="U32" i="116"/>
  <c r="V32" i="116"/>
  <c r="W32" i="116"/>
  <c r="X32" i="116"/>
  <c r="Y32" i="116"/>
  <c r="AE32" i="116"/>
  <c r="AG32" i="116"/>
  <c r="AH32" i="116"/>
  <c r="AI32" i="116"/>
  <c r="AJ32" i="116"/>
  <c r="AK32" i="116"/>
  <c r="AL32" i="116"/>
  <c r="AM32" i="116"/>
  <c r="AN32" i="116"/>
  <c r="AO32" i="116"/>
  <c r="AP32" i="116"/>
  <c r="AQ32" i="116"/>
  <c r="AR32" i="116"/>
  <c r="AS32" i="116"/>
  <c r="AT32" i="116"/>
  <c r="AU32" i="116"/>
  <c r="AV32" i="116"/>
  <c r="AW32" i="116"/>
  <c r="AX32" i="116"/>
  <c r="BL32" i="116"/>
  <c r="BO32" i="116"/>
  <c r="BR32" i="116"/>
  <c r="BU32" i="116"/>
  <c r="BX32" i="116"/>
  <c r="CA32" i="116"/>
  <c r="CD32" i="116"/>
  <c r="CG32" i="116"/>
  <c r="CJ32" i="116"/>
  <c r="CT32" i="116"/>
  <c r="CY32" i="116"/>
  <c r="DM32" i="116"/>
  <c r="DN32" i="116"/>
  <c r="DO32" i="116"/>
  <c r="DP32" i="116"/>
  <c r="DQ32" i="116"/>
  <c r="DR32" i="116"/>
  <c r="A33" i="116"/>
  <c r="AD33" i="116"/>
  <c r="Q33" i="116"/>
  <c r="R33" i="116"/>
  <c r="U33" i="116"/>
  <c r="V33" i="116"/>
  <c r="W33" i="116"/>
  <c r="X33" i="116"/>
  <c r="Y33" i="116"/>
  <c r="AE33" i="116"/>
  <c r="AG33" i="116"/>
  <c r="AH33" i="116"/>
  <c r="AI33" i="116"/>
  <c r="AJ33" i="116"/>
  <c r="AK33" i="116"/>
  <c r="AL33" i="116"/>
  <c r="AM33" i="116"/>
  <c r="AN33" i="116"/>
  <c r="AO33" i="116"/>
  <c r="AP33" i="116"/>
  <c r="AQ33" i="116"/>
  <c r="AR33" i="116"/>
  <c r="AS33" i="116"/>
  <c r="AT33" i="116"/>
  <c r="AU33" i="116"/>
  <c r="AV33" i="116"/>
  <c r="AW33" i="116"/>
  <c r="AX33" i="116"/>
  <c r="BL33" i="116"/>
  <c r="BO33" i="116"/>
  <c r="BR33" i="116"/>
  <c r="BU33" i="116"/>
  <c r="BX33" i="116"/>
  <c r="CA33" i="116"/>
  <c r="CD33" i="116"/>
  <c r="CG33" i="116"/>
  <c r="CJ33" i="116"/>
  <c r="CT33" i="116"/>
  <c r="CY33" i="116"/>
  <c r="DM33" i="116"/>
  <c r="DN33" i="116"/>
  <c r="DO33" i="116"/>
  <c r="DP33" i="116"/>
  <c r="DQ33" i="116"/>
  <c r="DR33" i="116"/>
  <c r="A34" i="116"/>
  <c r="AD34" i="116"/>
  <c r="Q34" i="116"/>
  <c r="R34" i="116"/>
  <c r="U34" i="116"/>
  <c r="V34" i="116"/>
  <c r="W34" i="116"/>
  <c r="X34" i="116"/>
  <c r="Y34" i="116"/>
  <c r="AE34" i="116"/>
  <c r="AG34" i="116"/>
  <c r="AH34" i="116"/>
  <c r="AI34" i="116"/>
  <c r="AJ34" i="116"/>
  <c r="AK34" i="116"/>
  <c r="AL34" i="116"/>
  <c r="AM34" i="116"/>
  <c r="AN34" i="116"/>
  <c r="AO34" i="116"/>
  <c r="AP34" i="116"/>
  <c r="AQ34" i="116"/>
  <c r="AR34" i="116"/>
  <c r="AS34" i="116"/>
  <c r="AT34" i="116"/>
  <c r="AU34" i="116"/>
  <c r="AV34" i="116"/>
  <c r="AW34" i="116"/>
  <c r="AX34" i="116"/>
  <c r="BL34" i="116"/>
  <c r="BO34" i="116"/>
  <c r="BR34" i="116"/>
  <c r="BU34" i="116"/>
  <c r="BX34" i="116"/>
  <c r="CA34" i="116"/>
  <c r="CD34" i="116"/>
  <c r="CG34" i="116"/>
  <c r="CJ34" i="116"/>
  <c r="CT34" i="116"/>
  <c r="CY34" i="116"/>
  <c r="DM34" i="116"/>
  <c r="DN34" i="116"/>
  <c r="DO34" i="116"/>
  <c r="DP34" i="116"/>
  <c r="DQ34" i="116"/>
  <c r="DR34" i="116"/>
  <c r="A35" i="116"/>
  <c r="AD35" i="116"/>
  <c r="Q35" i="116"/>
  <c r="R35" i="116"/>
  <c r="U35" i="116"/>
  <c r="V35" i="116"/>
  <c r="W35" i="116"/>
  <c r="X35" i="116"/>
  <c r="Y35" i="116"/>
  <c r="AE35" i="116"/>
  <c r="AG35" i="116"/>
  <c r="AH35" i="116"/>
  <c r="AI35" i="116"/>
  <c r="AJ35" i="116"/>
  <c r="AK35" i="116"/>
  <c r="AL35" i="116"/>
  <c r="AM35" i="116"/>
  <c r="AN35" i="116"/>
  <c r="AO35" i="116"/>
  <c r="AP35" i="116"/>
  <c r="AQ35" i="116"/>
  <c r="AR35" i="116"/>
  <c r="AS35" i="116"/>
  <c r="AT35" i="116"/>
  <c r="AU35" i="116"/>
  <c r="AV35" i="116"/>
  <c r="AW35" i="116"/>
  <c r="AX35" i="116"/>
  <c r="BL35" i="116"/>
  <c r="BO35" i="116"/>
  <c r="BR35" i="116"/>
  <c r="BU35" i="116"/>
  <c r="BX35" i="116"/>
  <c r="CA35" i="116"/>
  <c r="CD35" i="116"/>
  <c r="CG35" i="116"/>
  <c r="CJ35" i="116"/>
  <c r="CT35" i="116"/>
  <c r="CY35" i="116"/>
  <c r="DM35" i="116"/>
  <c r="DN35" i="116"/>
  <c r="DO35" i="116"/>
  <c r="DP35" i="116"/>
  <c r="DQ35" i="116"/>
  <c r="DR35" i="116"/>
  <c r="A36" i="116"/>
  <c r="AD36" i="116"/>
  <c r="Q36" i="116"/>
  <c r="R36" i="116"/>
  <c r="U36" i="116"/>
  <c r="V36" i="116"/>
  <c r="W36" i="116"/>
  <c r="X36" i="116"/>
  <c r="Y36" i="116"/>
  <c r="AE36" i="116"/>
  <c r="AG36" i="116"/>
  <c r="AH36" i="116"/>
  <c r="AI36" i="116"/>
  <c r="AJ36" i="116"/>
  <c r="AK36" i="116"/>
  <c r="AL36" i="116"/>
  <c r="AM36" i="116"/>
  <c r="AN36" i="116"/>
  <c r="AO36" i="116"/>
  <c r="AP36" i="116"/>
  <c r="AQ36" i="116"/>
  <c r="AR36" i="116"/>
  <c r="AS36" i="116"/>
  <c r="AT36" i="116"/>
  <c r="AU36" i="116"/>
  <c r="AV36" i="116"/>
  <c r="AW36" i="116"/>
  <c r="AX36" i="116"/>
  <c r="BL36" i="116"/>
  <c r="BO36" i="116"/>
  <c r="BR36" i="116"/>
  <c r="BU36" i="116"/>
  <c r="BX36" i="116"/>
  <c r="CA36" i="116"/>
  <c r="CD36" i="116"/>
  <c r="CG36" i="116"/>
  <c r="CJ36" i="116"/>
  <c r="CT36" i="116"/>
  <c r="CY36" i="116"/>
  <c r="DM36" i="116"/>
  <c r="DN36" i="116"/>
  <c r="DO36" i="116"/>
  <c r="DP36" i="116"/>
  <c r="DQ36" i="116"/>
  <c r="DR36" i="116"/>
  <c r="A37" i="116"/>
  <c r="AD37" i="116"/>
  <c r="Q37" i="116"/>
  <c r="R37" i="116"/>
  <c r="U37" i="116"/>
  <c r="V37" i="116"/>
  <c r="W37" i="116"/>
  <c r="X37" i="116"/>
  <c r="Y37" i="116"/>
  <c r="AE37" i="116"/>
  <c r="AG37" i="116"/>
  <c r="AH37" i="116"/>
  <c r="AI37" i="116"/>
  <c r="AJ37" i="116"/>
  <c r="AK37" i="116"/>
  <c r="AL37" i="116"/>
  <c r="AM37" i="116"/>
  <c r="AN37" i="116"/>
  <c r="AO37" i="116"/>
  <c r="AP37" i="116"/>
  <c r="AQ37" i="116"/>
  <c r="AR37" i="116"/>
  <c r="AS37" i="116"/>
  <c r="AT37" i="116"/>
  <c r="AU37" i="116"/>
  <c r="AV37" i="116"/>
  <c r="AW37" i="116"/>
  <c r="AX37" i="116"/>
  <c r="BL37" i="116"/>
  <c r="BO37" i="116"/>
  <c r="BR37" i="116"/>
  <c r="BU37" i="116"/>
  <c r="BX37" i="116"/>
  <c r="CA37" i="116"/>
  <c r="CD37" i="116"/>
  <c r="CG37" i="116"/>
  <c r="CJ37" i="116"/>
  <c r="CT37" i="116"/>
  <c r="CY37" i="116"/>
  <c r="DM37" i="116"/>
  <c r="DN37" i="116"/>
  <c r="DO37" i="116"/>
  <c r="DP37" i="116"/>
  <c r="DQ37" i="116"/>
  <c r="DR37" i="116"/>
  <c r="A38" i="116"/>
  <c r="AD38" i="116"/>
  <c r="Q38" i="116"/>
  <c r="R38" i="116"/>
  <c r="U38" i="116"/>
  <c r="V38" i="116"/>
  <c r="W38" i="116"/>
  <c r="X38" i="116"/>
  <c r="Y38" i="116"/>
  <c r="AE38" i="116"/>
  <c r="AG38" i="116"/>
  <c r="AH38" i="116"/>
  <c r="AI38" i="116"/>
  <c r="AJ38" i="116"/>
  <c r="AK38" i="116"/>
  <c r="AL38" i="116"/>
  <c r="AM38" i="116"/>
  <c r="AN38" i="116"/>
  <c r="AO38" i="116"/>
  <c r="AP38" i="116"/>
  <c r="AQ38" i="116"/>
  <c r="AR38" i="116"/>
  <c r="AS38" i="116"/>
  <c r="AT38" i="116"/>
  <c r="AU38" i="116"/>
  <c r="AV38" i="116"/>
  <c r="AW38" i="116"/>
  <c r="AX38" i="116"/>
  <c r="BL38" i="116"/>
  <c r="BO38" i="116"/>
  <c r="BR38" i="116"/>
  <c r="BU38" i="116"/>
  <c r="BX38" i="116"/>
  <c r="CA38" i="116"/>
  <c r="CD38" i="116"/>
  <c r="CG38" i="116"/>
  <c r="CJ38" i="116"/>
  <c r="CT38" i="116"/>
  <c r="CY38" i="116"/>
  <c r="DM38" i="116"/>
  <c r="DN38" i="116"/>
  <c r="DO38" i="116"/>
  <c r="DP38" i="116"/>
  <c r="DQ38" i="116"/>
  <c r="DR38" i="116"/>
  <c r="A39" i="116"/>
  <c r="AD39" i="116"/>
  <c r="Q39" i="116"/>
  <c r="R39" i="116"/>
  <c r="U39" i="116"/>
  <c r="V39" i="116"/>
  <c r="W39" i="116"/>
  <c r="X39" i="116"/>
  <c r="Y39" i="116"/>
  <c r="AE39" i="116"/>
  <c r="AG39" i="116"/>
  <c r="AH39" i="116"/>
  <c r="AI39" i="116"/>
  <c r="AJ39" i="116"/>
  <c r="AK39" i="116"/>
  <c r="AL39" i="116"/>
  <c r="AM39" i="116"/>
  <c r="AN39" i="116"/>
  <c r="AO39" i="116"/>
  <c r="AP39" i="116"/>
  <c r="AQ39" i="116"/>
  <c r="AR39" i="116"/>
  <c r="AS39" i="116"/>
  <c r="AT39" i="116"/>
  <c r="AU39" i="116"/>
  <c r="AV39" i="116"/>
  <c r="AW39" i="116"/>
  <c r="AX39" i="116"/>
  <c r="BL39" i="116"/>
  <c r="BO39" i="116"/>
  <c r="BR39" i="116"/>
  <c r="BU39" i="116"/>
  <c r="BX39" i="116"/>
  <c r="CA39" i="116"/>
  <c r="CD39" i="116"/>
  <c r="CG39" i="116"/>
  <c r="CJ39" i="116"/>
  <c r="CT39" i="116"/>
  <c r="CY39" i="116"/>
  <c r="DM39" i="116"/>
  <c r="DN39" i="116"/>
  <c r="DO39" i="116"/>
  <c r="DP39" i="116"/>
  <c r="DQ39" i="116"/>
  <c r="DR39" i="116"/>
  <c r="A40" i="116"/>
  <c r="AD40" i="116"/>
  <c r="Q40" i="116"/>
  <c r="R40" i="116"/>
  <c r="U40" i="116"/>
  <c r="V40" i="116"/>
  <c r="W40" i="116"/>
  <c r="X40" i="116"/>
  <c r="Y40" i="116"/>
  <c r="AE40" i="116"/>
  <c r="AG40" i="116"/>
  <c r="AH40" i="116"/>
  <c r="AI40" i="116"/>
  <c r="AJ40" i="116"/>
  <c r="AK40" i="116"/>
  <c r="AL40" i="116"/>
  <c r="AM40" i="116"/>
  <c r="AN40" i="116"/>
  <c r="AO40" i="116"/>
  <c r="AP40" i="116"/>
  <c r="AQ40" i="116"/>
  <c r="AR40" i="116"/>
  <c r="AS40" i="116"/>
  <c r="AT40" i="116"/>
  <c r="AU40" i="116"/>
  <c r="AV40" i="116"/>
  <c r="AW40" i="116"/>
  <c r="AX40" i="116"/>
  <c r="BL40" i="116"/>
  <c r="BO40" i="116"/>
  <c r="BR40" i="116"/>
  <c r="BU40" i="116"/>
  <c r="BX40" i="116"/>
  <c r="CA40" i="116"/>
  <c r="CD40" i="116"/>
  <c r="CG40" i="116"/>
  <c r="CJ40" i="116"/>
  <c r="CT40" i="116"/>
  <c r="CY40" i="116"/>
  <c r="DM40" i="116"/>
  <c r="DN40" i="116"/>
  <c r="DO40" i="116"/>
  <c r="DP40" i="116"/>
  <c r="DQ40" i="116"/>
  <c r="DR40" i="116"/>
  <c r="A41" i="116"/>
  <c r="AD41" i="116"/>
  <c r="Q41" i="116"/>
  <c r="R41" i="116"/>
  <c r="U41" i="116"/>
  <c r="V41" i="116"/>
  <c r="W41" i="116"/>
  <c r="X41" i="116"/>
  <c r="Y41" i="116"/>
  <c r="AE41" i="116"/>
  <c r="AG41" i="116"/>
  <c r="AH41" i="116"/>
  <c r="AI41" i="116"/>
  <c r="AJ41" i="116"/>
  <c r="AK41" i="116"/>
  <c r="AL41" i="116"/>
  <c r="AM41" i="116"/>
  <c r="AN41" i="116"/>
  <c r="AO41" i="116"/>
  <c r="AP41" i="116"/>
  <c r="AQ41" i="116"/>
  <c r="AR41" i="116"/>
  <c r="AS41" i="116"/>
  <c r="AT41" i="116"/>
  <c r="AU41" i="116"/>
  <c r="AV41" i="116"/>
  <c r="AW41" i="116"/>
  <c r="AX41" i="116"/>
  <c r="BL41" i="116"/>
  <c r="BO41" i="116"/>
  <c r="BR41" i="116"/>
  <c r="BU41" i="116"/>
  <c r="BX41" i="116"/>
  <c r="CA41" i="116"/>
  <c r="CD41" i="116"/>
  <c r="CG41" i="116"/>
  <c r="CJ41" i="116"/>
  <c r="CT41" i="116"/>
  <c r="CY41" i="116"/>
  <c r="DM41" i="116"/>
  <c r="DN41" i="116"/>
  <c r="DO41" i="116"/>
  <c r="DP41" i="116"/>
  <c r="DQ41" i="116"/>
  <c r="DR41" i="116"/>
  <c r="A42" i="116"/>
  <c r="AD42" i="116"/>
  <c r="Q42" i="116"/>
  <c r="R42" i="116"/>
  <c r="U42" i="116"/>
  <c r="V42" i="116"/>
  <c r="W42" i="116"/>
  <c r="X42" i="116"/>
  <c r="Y42" i="116"/>
  <c r="AE42" i="116"/>
  <c r="AG42" i="116"/>
  <c r="AH42" i="116"/>
  <c r="AI42" i="116"/>
  <c r="AJ42" i="116"/>
  <c r="AK42" i="116"/>
  <c r="AL42" i="116"/>
  <c r="AM42" i="116"/>
  <c r="AN42" i="116"/>
  <c r="AO42" i="116"/>
  <c r="AP42" i="116"/>
  <c r="AQ42" i="116"/>
  <c r="AR42" i="116"/>
  <c r="AS42" i="116"/>
  <c r="AT42" i="116"/>
  <c r="AU42" i="116"/>
  <c r="AV42" i="116"/>
  <c r="AW42" i="116"/>
  <c r="AX42" i="116"/>
  <c r="BL42" i="116"/>
  <c r="BO42" i="116"/>
  <c r="BR42" i="116"/>
  <c r="BU42" i="116"/>
  <c r="BX42" i="116"/>
  <c r="CA42" i="116"/>
  <c r="CD42" i="116"/>
  <c r="CG42" i="116"/>
  <c r="CJ42" i="116"/>
  <c r="CT42" i="116"/>
  <c r="CY42" i="116"/>
  <c r="DM42" i="116"/>
  <c r="DN42" i="116"/>
  <c r="DO42" i="116"/>
  <c r="DP42" i="116"/>
  <c r="DQ42" i="116"/>
  <c r="DR42" i="116"/>
  <c r="A43" i="116"/>
  <c r="AD43" i="116"/>
  <c r="Q43" i="116"/>
  <c r="R43" i="116"/>
  <c r="U43" i="116"/>
  <c r="V43" i="116"/>
  <c r="W43" i="116"/>
  <c r="X43" i="116"/>
  <c r="Y43" i="116"/>
  <c r="AE43" i="116"/>
  <c r="AG43" i="116"/>
  <c r="AH43" i="116"/>
  <c r="AI43" i="116"/>
  <c r="AJ43" i="116"/>
  <c r="AK43" i="116"/>
  <c r="AL43" i="116"/>
  <c r="AM43" i="116"/>
  <c r="AN43" i="116"/>
  <c r="AO43" i="116"/>
  <c r="AP43" i="116"/>
  <c r="AQ43" i="116"/>
  <c r="AR43" i="116"/>
  <c r="AS43" i="116"/>
  <c r="AT43" i="116"/>
  <c r="AU43" i="116"/>
  <c r="AV43" i="116"/>
  <c r="AW43" i="116"/>
  <c r="AX43" i="116"/>
  <c r="BL43" i="116"/>
  <c r="BO43" i="116"/>
  <c r="BR43" i="116"/>
  <c r="BU43" i="116"/>
  <c r="BX43" i="116"/>
  <c r="CA43" i="116"/>
  <c r="CD43" i="116"/>
  <c r="CG43" i="116"/>
  <c r="CJ43" i="116"/>
  <c r="CT43" i="116"/>
  <c r="CY43" i="116"/>
  <c r="DM43" i="116"/>
  <c r="DN43" i="116"/>
  <c r="DO43" i="116"/>
  <c r="DP43" i="116"/>
  <c r="DQ43" i="116"/>
  <c r="DR43" i="116"/>
  <c r="A44" i="116"/>
  <c r="AD44" i="116"/>
  <c r="Q44" i="116"/>
  <c r="R44" i="116"/>
  <c r="U44" i="116"/>
  <c r="V44" i="116"/>
  <c r="W44" i="116"/>
  <c r="X44" i="116"/>
  <c r="Y44" i="116"/>
  <c r="AE44" i="116"/>
  <c r="AG44" i="116"/>
  <c r="AH44" i="116"/>
  <c r="AI44" i="116"/>
  <c r="AJ44" i="116"/>
  <c r="AK44" i="116"/>
  <c r="AL44" i="116"/>
  <c r="AM44" i="116"/>
  <c r="AN44" i="116"/>
  <c r="AO44" i="116"/>
  <c r="AP44" i="116"/>
  <c r="AQ44" i="116"/>
  <c r="AR44" i="116"/>
  <c r="AS44" i="116"/>
  <c r="AT44" i="116"/>
  <c r="AU44" i="116"/>
  <c r="AV44" i="116"/>
  <c r="AW44" i="116"/>
  <c r="AX44" i="116"/>
  <c r="BL44" i="116"/>
  <c r="BO44" i="116"/>
  <c r="BR44" i="116"/>
  <c r="BU44" i="116"/>
  <c r="BX44" i="116"/>
  <c r="CA44" i="116"/>
  <c r="CD44" i="116"/>
  <c r="CG44" i="116"/>
  <c r="CJ44" i="116"/>
  <c r="CT44" i="116"/>
  <c r="CY44" i="116"/>
  <c r="DM44" i="116"/>
  <c r="DN44" i="116"/>
  <c r="DO44" i="116"/>
  <c r="DP44" i="116"/>
  <c r="DQ44" i="116"/>
  <c r="DR44" i="116"/>
  <c r="A45" i="116"/>
  <c r="AD45" i="116"/>
  <c r="Q45" i="116"/>
  <c r="R45" i="116"/>
  <c r="U45" i="116"/>
  <c r="V45" i="116"/>
  <c r="W45" i="116"/>
  <c r="X45" i="116"/>
  <c r="Y45" i="116"/>
  <c r="AE45" i="116"/>
  <c r="AG45" i="116"/>
  <c r="AH45" i="116"/>
  <c r="AI45" i="116"/>
  <c r="AJ45" i="116"/>
  <c r="AK45" i="116"/>
  <c r="AL45" i="116"/>
  <c r="AM45" i="116"/>
  <c r="AN45" i="116"/>
  <c r="AO45" i="116"/>
  <c r="AP45" i="116"/>
  <c r="AQ45" i="116"/>
  <c r="AR45" i="116"/>
  <c r="AS45" i="116"/>
  <c r="AT45" i="116"/>
  <c r="AU45" i="116"/>
  <c r="AV45" i="116"/>
  <c r="AW45" i="116"/>
  <c r="AX45" i="116"/>
  <c r="BL45" i="116"/>
  <c r="BO45" i="116"/>
  <c r="BR45" i="116"/>
  <c r="BU45" i="116"/>
  <c r="BX45" i="116"/>
  <c r="CA45" i="116"/>
  <c r="CD45" i="116"/>
  <c r="CG45" i="116"/>
  <c r="CJ45" i="116"/>
  <c r="CT45" i="116"/>
  <c r="CY45" i="116"/>
  <c r="DM45" i="116"/>
  <c r="DN45" i="116"/>
  <c r="DO45" i="116"/>
  <c r="DP45" i="116"/>
  <c r="DQ45" i="116"/>
  <c r="DR45" i="116"/>
  <c r="A46" i="116"/>
  <c r="AD46" i="116"/>
  <c r="Q46" i="116"/>
  <c r="R46" i="116"/>
  <c r="U46" i="116"/>
  <c r="V46" i="116"/>
  <c r="W46" i="116"/>
  <c r="X46" i="116"/>
  <c r="Y46" i="116"/>
  <c r="AE46" i="116"/>
  <c r="AG46" i="116"/>
  <c r="AH46" i="116"/>
  <c r="AI46" i="116"/>
  <c r="AJ46" i="116"/>
  <c r="AK46" i="116"/>
  <c r="AL46" i="116"/>
  <c r="AM46" i="116"/>
  <c r="AN46" i="116"/>
  <c r="AO46" i="116"/>
  <c r="AP46" i="116"/>
  <c r="AQ46" i="116"/>
  <c r="AR46" i="116"/>
  <c r="AS46" i="116"/>
  <c r="AT46" i="116"/>
  <c r="AU46" i="116"/>
  <c r="AV46" i="116"/>
  <c r="AW46" i="116"/>
  <c r="AX46" i="116"/>
  <c r="BL46" i="116"/>
  <c r="BO46" i="116"/>
  <c r="BR46" i="116"/>
  <c r="BU46" i="116"/>
  <c r="BX46" i="116"/>
  <c r="CA46" i="116"/>
  <c r="CD46" i="116"/>
  <c r="CG46" i="116"/>
  <c r="CJ46" i="116"/>
  <c r="CT46" i="116"/>
  <c r="CY46" i="116"/>
  <c r="DM46" i="116"/>
  <c r="DN46" i="116"/>
  <c r="DO46" i="116"/>
  <c r="DP46" i="116"/>
  <c r="DQ46" i="116"/>
  <c r="DR46" i="116"/>
  <c r="A47" i="116"/>
  <c r="AD47" i="116"/>
  <c r="Q47" i="116"/>
  <c r="R47" i="116"/>
  <c r="U47" i="116"/>
  <c r="V47" i="116"/>
  <c r="W47" i="116"/>
  <c r="X47" i="116"/>
  <c r="Y47" i="116"/>
  <c r="AE47" i="116"/>
  <c r="AG47" i="116"/>
  <c r="AH47" i="116"/>
  <c r="AI47" i="116"/>
  <c r="AJ47" i="116"/>
  <c r="AK47" i="116"/>
  <c r="AL47" i="116"/>
  <c r="AM47" i="116"/>
  <c r="AN47" i="116"/>
  <c r="AO47" i="116"/>
  <c r="AP47" i="116"/>
  <c r="AQ47" i="116"/>
  <c r="AR47" i="116"/>
  <c r="AS47" i="116"/>
  <c r="AT47" i="116"/>
  <c r="AU47" i="116"/>
  <c r="AV47" i="116"/>
  <c r="AW47" i="116"/>
  <c r="AX47" i="116"/>
  <c r="BL47" i="116"/>
  <c r="BO47" i="116"/>
  <c r="BR47" i="116"/>
  <c r="BU47" i="116"/>
  <c r="BX47" i="116"/>
  <c r="CA47" i="116"/>
  <c r="CD47" i="116"/>
  <c r="CG47" i="116"/>
  <c r="CJ47" i="116"/>
  <c r="CT47" i="116"/>
  <c r="CY47" i="116"/>
  <c r="DM47" i="116"/>
  <c r="DN47" i="116"/>
  <c r="DO47" i="116"/>
  <c r="DP47" i="116"/>
  <c r="DQ47" i="116"/>
  <c r="DR47" i="116"/>
  <c r="A48" i="116"/>
  <c r="AD48" i="116"/>
  <c r="Q48" i="116"/>
  <c r="R48" i="116"/>
  <c r="U48" i="116"/>
  <c r="V48" i="116"/>
  <c r="W48" i="116"/>
  <c r="X48" i="116"/>
  <c r="Y48" i="116"/>
  <c r="AE48" i="116"/>
  <c r="AG48" i="116"/>
  <c r="AH48" i="116"/>
  <c r="AI48" i="116"/>
  <c r="AJ48" i="116"/>
  <c r="AK48" i="116"/>
  <c r="AL48" i="116"/>
  <c r="AM48" i="116"/>
  <c r="AN48" i="116"/>
  <c r="AO48" i="116"/>
  <c r="AP48" i="116"/>
  <c r="AQ48" i="116"/>
  <c r="AR48" i="116"/>
  <c r="AS48" i="116"/>
  <c r="AT48" i="116"/>
  <c r="AU48" i="116"/>
  <c r="AV48" i="116"/>
  <c r="AW48" i="116"/>
  <c r="AX48" i="116"/>
  <c r="BL48" i="116"/>
  <c r="BO48" i="116"/>
  <c r="BR48" i="116"/>
  <c r="BU48" i="116"/>
  <c r="BX48" i="116"/>
  <c r="CA48" i="116"/>
  <c r="CD48" i="116"/>
  <c r="CG48" i="116"/>
  <c r="CJ48" i="116"/>
  <c r="CT48" i="116"/>
  <c r="CY48" i="116"/>
  <c r="DM48" i="116"/>
  <c r="DN48" i="116"/>
  <c r="DO48" i="116"/>
  <c r="DP48" i="116"/>
  <c r="DQ48" i="116"/>
  <c r="DR48" i="116"/>
  <c r="A49" i="116"/>
  <c r="AD49" i="116"/>
  <c r="Q49" i="116"/>
  <c r="R49" i="116"/>
  <c r="U49" i="116"/>
  <c r="V49" i="116"/>
  <c r="W49" i="116"/>
  <c r="X49" i="116"/>
  <c r="Y49" i="116"/>
  <c r="AE49" i="116"/>
  <c r="AG49" i="116"/>
  <c r="AH49" i="116"/>
  <c r="AI49" i="116"/>
  <c r="AJ49" i="116"/>
  <c r="AK49" i="116"/>
  <c r="AL49" i="116"/>
  <c r="AM49" i="116"/>
  <c r="AN49" i="116"/>
  <c r="AO49" i="116"/>
  <c r="AP49" i="116"/>
  <c r="AQ49" i="116"/>
  <c r="AR49" i="116"/>
  <c r="AS49" i="116"/>
  <c r="AT49" i="116"/>
  <c r="AU49" i="116"/>
  <c r="AV49" i="116"/>
  <c r="AW49" i="116"/>
  <c r="AX49" i="116"/>
  <c r="BL49" i="116"/>
  <c r="BO49" i="116"/>
  <c r="BR49" i="116"/>
  <c r="BU49" i="116"/>
  <c r="BX49" i="116"/>
  <c r="CA49" i="116"/>
  <c r="CD49" i="116"/>
  <c r="CG49" i="116"/>
  <c r="CJ49" i="116"/>
  <c r="CT49" i="116"/>
  <c r="CY49" i="116"/>
  <c r="DM49" i="116"/>
  <c r="DN49" i="116"/>
  <c r="DO49" i="116"/>
  <c r="DP49" i="116"/>
  <c r="DQ49" i="116"/>
  <c r="DR49" i="116"/>
  <c r="A50" i="116"/>
  <c r="AD50" i="116"/>
  <c r="Q50" i="116"/>
  <c r="R50" i="116"/>
  <c r="U50" i="116"/>
  <c r="V50" i="116"/>
  <c r="W50" i="116"/>
  <c r="X50" i="116"/>
  <c r="Y50" i="116"/>
  <c r="AE50" i="116"/>
  <c r="AG50" i="116"/>
  <c r="AH50" i="116"/>
  <c r="AI50" i="116"/>
  <c r="AJ50" i="116"/>
  <c r="AK50" i="116"/>
  <c r="AL50" i="116"/>
  <c r="AM50" i="116"/>
  <c r="AN50" i="116"/>
  <c r="AO50" i="116"/>
  <c r="AP50" i="116"/>
  <c r="AQ50" i="116"/>
  <c r="AR50" i="116"/>
  <c r="AS50" i="116"/>
  <c r="AT50" i="116"/>
  <c r="AU50" i="116"/>
  <c r="AV50" i="116"/>
  <c r="AW50" i="116"/>
  <c r="AX50" i="116"/>
  <c r="BL50" i="116"/>
  <c r="BO50" i="116"/>
  <c r="BR50" i="116"/>
  <c r="BU50" i="116"/>
  <c r="BX50" i="116"/>
  <c r="CA50" i="116"/>
  <c r="CD50" i="116"/>
  <c r="CG50" i="116"/>
  <c r="CJ50" i="116"/>
  <c r="CT50" i="116"/>
  <c r="CY50" i="116"/>
  <c r="DM50" i="116"/>
  <c r="DN50" i="116"/>
  <c r="DO50" i="116"/>
  <c r="DP50" i="116"/>
  <c r="DQ50" i="116"/>
  <c r="DR50" i="116"/>
  <c r="A51" i="116"/>
  <c r="AD51" i="116"/>
  <c r="Q51" i="116"/>
  <c r="R51" i="116"/>
  <c r="U51" i="116"/>
  <c r="V51" i="116"/>
  <c r="W51" i="116"/>
  <c r="X51" i="116"/>
  <c r="Y51" i="116"/>
  <c r="AE51" i="116"/>
  <c r="AG51" i="116"/>
  <c r="AH51" i="116"/>
  <c r="AI51" i="116"/>
  <c r="AJ51" i="116"/>
  <c r="AK51" i="116"/>
  <c r="AL51" i="116"/>
  <c r="AM51" i="116"/>
  <c r="AN51" i="116"/>
  <c r="AO51" i="116"/>
  <c r="AP51" i="116"/>
  <c r="AQ51" i="116"/>
  <c r="AR51" i="116"/>
  <c r="AS51" i="116"/>
  <c r="AT51" i="116"/>
  <c r="AU51" i="116"/>
  <c r="AV51" i="116"/>
  <c r="AW51" i="116"/>
  <c r="AX51" i="116"/>
  <c r="BL51" i="116"/>
  <c r="BO51" i="116"/>
  <c r="BR51" i="116"/>
  <c r="BU51" i="116"/>
  <c r="BX51" i="116"/>
  <c r="CA51" i="116"/>
  <c r="CD51" i="116"/>
  <c r="CG51" i="116"/>
  <c r="CJ51" i="116"/>
  <c r="CT51" i="116"/>
  <c r="CY51" i="116"/>
  <c r="DM51" i="116"/>
  <c r="DN51" i="116"/>
  <c r="DO51" i="116"/>
  <c r="DP51" i="116"/>
  <c r="DQ51" i="116"/>
  <c r="DR51" i="116"/>
  <c r="A52" i="116"/>
  <c r="AD52" i="116"/>
  <c r="Q52" i="116"/>
  <c r="R52" i="116"/>
  <c r="U52" i="116"/>
  <c r="V52" i="116"/>
  <c r="W52" i="116"/>
  <c r="X52" i="116"/>
  <c r="Y52" i="116"/>
  <c r="AE52" i="116"/>
  <c r="AG52" i="116"/>
  <c r="AH52" i="116"/>
  <c r="AI52" i="116"/>
  <c r="AJ52" i="116"/>
  <c r="AK52" i="116"/>
  <c r="AL52" i="116"/>
  <c r="AM52" i="116"/>
  <c r="AN52" i="116"/>
  <c r="AO52" i="116"/>
  <c r="AP52" i="116"/>
  <c r="AQ52" i="116"/>
  <c r="AR52" i="116"/>
  <c r="AS52" i="116"/>
  <c r="AT52" i="116"/>
  <c r="AU52" i="116"/>
  <c r="AV52" i="116"/>
  <c r="AW52" i="116"/>
  <c r="AX52" i="116"/>
  <c r="BL52" i="116"/>
  <c r="BO52" i="116"/>
  <c r="BR52" i="116"/>
  <c r="BU52" i="116"/>
  <c r="BX52" i="116"/>
  <c r="CA52" i="116"/>
  <c r="CD52" i="116"/>
  <c r="CG52" i="116"/>
  <c r="CJ52" i="116"/>
  <c r="CT52" i="116"/>
  <c r="CY52" i="116"/>
  <c r="DM52" i="116"/>
  <c r="DN52" i="116"/>
  <c r="DO52" i="116"/>
  <c r="DP52" i="116"/>
  <c r="DQ52" i="116"/>
  <c r="DR52" i="116"/>
  <c r="A53" i="116"/>
  <c r="AD53" i="116"/>
  <c r="Q53" i="116"/>
  <c r="R53" i="116"/>
  <c r="U53" i="116"/>
  <c r="V53" i="116"/>
  <c r="W53" i="116"/>
  <c r="X53" i="116"/>
  <c r="Y53" i="116"/>
  <c r="AE53" i="116"/>
  <c r="AG53" i="116"/>
  <c r="AH53" i="116"/>
  <c r="AI53" i="116"/>
  <c r="AJ53" i="116"/>
  <c r="AK53" i="116"/>
  <c r="AL53" i="116"/>
  <c r="AM53" i="116"/>
  <c r="AN53" i="116"/>
  <c r="AO53" i="116"/>
  <c r="AP53" i="116"/>
  <c r="AQ53" i="116"/>
  <c r="AR53" i="116"/>
  <c r="AS53" i="116"/>
  <c r="AT53" i="116"/>
  <c r="AU53" i="116"/>
  <c r="AV53" i="116"/>
  <c r="AW53" i="116"/>
  <c r="AX53" i="116"/>
  <c r="BL53" i="116"/>
  <c r="BO53" i="116"/>
  <c r="BR53" i="116"/>
  <c r="BU53" i="116"/>
  <c r="BX53" i="116"/>
  <c r="CA53" i="116"/>
  <c r="CD53" i="116"/>
  <c r="CG53" i="116"/>
  <c r="CJ53" i="116"/>
  <c r="CT53" i="116"/>
  <c r="CY53" i="116"/>
  <c r="DM53" i="116"/>
  <c r="DN53" i="116"/>
  <c r="DO53" i="116"/>
  <c r="DP53" i="116"/>
  <c r="DQ53" i="116"/>
  <c r="DR53" i="116"/>
  <c r="A54" i="116"/>
  <c r="AD54" i="116"/>
  <c r="Q54" i="116"/>
  <c r="R54" i="116"/>
  <c r="U54" i="116"/>
  <c r="V54" i="116"/>
  <c r="W54" i="116"/>
  <c r="X54" i="116"/>
  <c r="Y54" i="116"/>
  <c r="AE54" i="116"/>
  <c r="AG54" i="116"/>
  <c r="AH54" i="116"/>
  <c r="AI54" i="116"/>
  <c r="AJ54" i="116"/>
  <c r="AK54" i="116"/>
  <c r="AL54" i="116"/>
  <c r="AM54" i="116"/>
  <c r="AN54" i="116"/>
  <c r="AO54" i="116"/>
  <c r="AP54" i="116"/>
  <c r="AQ54" i="116"/>
  <c r="AR54" i="116"/>
  <c r="AS54" i="116"/>
  <c r="AT54" i="116"/>
  <c r="AU54" i="116"/>
  <c r="AV54" i="116"/>
  <c r="AW54" i="116"/>
  <c r="AX54" i="116"/>
  <c r="BL54" i="116"/>
  <c r="BO54" i="116"/>
  <c r="BR54" i="116"/>
  <c r="BU54" i="116"/>
  <c r="BX54" i="116"/>
  <c r="CA54" i="116"/>
  <c r="CD54" i="116"/>
  <c r="CG54" i="116"/>
  <c r="CJ54" i="116"/>
  <c r="CT54" i="116"/>
  <c r="CY54" i="116"/>
  <c r="DM54" i="116"/>
  <c r="DN54" i="116"/>
  <c r="DO54" i="116"/>
  <c r="DP54" i="116"/>
  <c r="DQ54" i="116"/>
  <c r="DR54" i="116"/>
  <c r="A55" i="116"/>
  <c r="AD55" i="116"/>
  <c r="Q55" i="116"/>
  <c r="R55" i="116"/>
  <c r="U55" i="116"/>
  <c r="V55" i="116"/>
  <c r="W55" i="116"/>
  <c r="X55" i="116"/>
  <c r="Y55" i="116"/>
  <c r="AE55" i="116"/>
  <c r="AG55" i="116"/>
  <c r="AH55" i="116"/>
  <c r="AI55" i="116"/>
  <c r="AJ55" i="116"/>
  <c r="AK55" i="116"/>
  <c r="AL55" i="116"/>
  <c r="AM55" i="116"/>
  <c r="AN55" i="116"/>
  <c r="AO55" i="116"/>
  <c r="AP55" i="116"/>
  <c r="AQ55" i="116"/>
  <c r="AR55" i="116"/>
  <c r="AS55" i="116"/>
  <c r="AT55" i="116"/>
  <c r="AU55" i="116"/>
  <c r="AV55" i="116"/>
  <c r="AW55" i="116"/>
  <c r="AX55" i="116"/>
  <c r="BL55" i="116"/>
  <c r="BO55" i="116"/>
  <c r="BR55" i="116"/>
  <c r="BU55" i="116"/>
  <c r="BX55" i="116"/>
  <c r="CA55" i="116"/>
  <c r="CD55" i="116"/>
  <c r="CG55" i="116"/>
  <c r="CJ55" i="116"/>
  <c r="CT55" i="116"/>
  <c r="CY55" i="116"/>
  <c r="DM55" i="116"/>
  <c r="DN55" i="116"/>
  <c r="DO55" i="116"/>
  <c r="DP55" i="116"/>
  <c r="DQ55" i="116"/>
  <c r="DR55" i="116"/>
  <c r="A56" i="116"/>
  <c r="AD56" i="116"/>
  <c r="Q56" i="116"/>
  <c r="R56" i="116"/>
  <c r="U56" i="116"/>
  <c r="V56" i="116"/>
  <c r="W56" i="116"/>
  <c r="X56" i="116"/>
  <c r="Y56" i="116"/>
  <c r="AE56" i="116"/>
  <c r="AG56" i="116"/>
  <c r="AH56" i="116"/>
  <c r="AI56" i="116"/>
  <c r="AJ56" i="116"/>
  <c r="AK56" i="116"/>
  <c r="AL56" i="116"/>
  <c r="AM56" i="116"/>
  <c r="AN56" i="116"/>
  <c r="AO56" i="116"/>
  <c r="AP56" i="116"/>
  <c r="AQ56" i="116"/>
  <c r="AR56" i="116"/>
  <c r="AS56" i="116"/>
  <c r="AT56" i="116"/>
  <c r="AU56" i="116"/>
  <c r="AV56" i="116"/>
  <c r="AW56" i="116"/>
  <c r="AX56" i="116"/>
  <c r="BL56" i="116"/>
  <c r="BO56" i="116"/>
  <c r="BR56" i="116"/>
  <c r="BU56" i="116"/>
  <c r="BX56" i="116"/>
  <c r="CA56" i="116"/>
  <c r="CD56" i="116"/>
  <c r="CG56" i="116"/>
  <c r="CJ56" i="116"/>
  <c r="CT56" i="116"/>
  <c r="CY56" i="116"/>
  <c r="DM56" i="116"/>
  <c r="DN56" i="116"/>
  <c r="DO56" i="116"/>
  <c r="DP56" i="116"/>
  <c r="DQ56" i="116"/>
  <c r="DR56" i="116"/>
  <c r="A57" i="116"/>
  <c r="AD57" i="116"/>
  <c r="Q57" i="116"/>
  <c r="R57" i="116"/>
  <c r="U57" i="116"/>
  <c r="V57" i="116"/>
  <c r="W57" i="116"/>
  <c r="X57" i="116"/>
  <c r="Y57" i="116"/>
  <c r="AE57" i="116"/>
  <c r="AG57" i="116"/>
  <c r="AH57" i="116"/>
  <c r="AI57" i="116"/>
  <c r="AJ57" i="116"/>
  <c r="AK57" i="116"/>
  <c r="AL57" i="116"/>
  <c r="AM57" i="116"/>
  <c r="AN57" i="116"/>
  <c r="AO57" i="116"/>
  <c r="AP57" i="116"/>
  <c r="AQ57" i="116"/>
  <c r="AR57" i="116"/>
  <c r="AS57" i="116"/>
  <c r="AT57" i="116"/>
  <c r="AU57" i="116"/>
  <c r="AV57" i="116"/>
  <c r="AW57" i="116"/>
  <c r="AX57" i="116"/>
  <c r="BL57" i="116"/>
  <c r="BO57" i="116"/>
  <c r="BR57" i="116"/>
  <c r="BU57" i="116"/>
  <c r="BX57" i="116"/>
  <c r="CA57" i="116"/>
  <c r="CD57" i="116"/>
  <c r="CG57" i="116"/>
  <c r="CJ57" i="116"/>
  <c r="CT57" i="116"/>
  <c r="CY57" i="116"/>
  <c r="DM57" i="116"/>
  <c r="DN57" i="116"/>
  <c r="DO57" i="116"/>
  <c r="DP57" i="116"/>
  <c r="DQ57" i="116"/>
  <c r="DR57" i="116"/>
  <c r="A58" i="116"/>
  <c r="AD58" i="116"/>
  <c r="Q58" i="116"/>
  <c r="R58" i="116"/>
  <c r="U58" i="116"/>
  <c r="V58" i="116"/>
  <c r="W58" i="116"/>
  <c r="X58" i="116"/>
  <c r="Y58" i="116"/>
  <c r="AE58" i="116"/>
  <c r="AG58" i="116"/>
  <c r="AH58" i="116"/>
  <c r="AI58" i="116"/>
  <c r="AJ58" i="116"/>
  <c r="AK58" i="116"/>
  <c r="AL58" i="116"/>
  <c r="AM58" i="116"/>
  <c r="AN58" i="116"/>
  <c r="AO58" i="116"/>
  <c r="AP58" i="116"/>
  <c r="AQ58" i="116"/>
  <c r="AR58" i="116"/>
  <c r="AS58" i="116"/>
  <c r="AT58" i="116"/>
  <c r="AU58" i="116"/>
  <c r="AV58" i="116"/>
  <c r="AW58" i="116"/>
  <c r="AX58" i="116"/>
  <c r="BL58" i="116"/>
  <c r="BO58" i="116"/>
  <c r="BR58" i="116"/>
  <c r="BU58" i="116"/>
  <c r="BX58" i="116"/>
  <c r="CA58" i="116"/>
  <c r="CD58" i="116"/>
  <c r="CG58" i="116"/>
  <c r="CJ58" i="116"/>
  <c r="CT58" i="116"/>
  <c r="CY58" i="116"/>
  <c r="DM58" i="116"/>
  <c r="DN58" i="116"/>
  <c r="DO58" i="116"/>
  <c r="DP58" i="116"/>
  <c r="DQ58" i="116"/>
  <c r="DR58" i="116"/>
  <c r="A59" i="116"/>
  <c r="AD59" i="116"/>
  <c r="Q59" i="116"/>
  <c r="R59" i="116"/>
  <c r="U59" i="116"/>
  <c r="V59" i="116"/>
  <c r="W59" i="116"/>
  <c r="X59" i="116"/>
  <c r="Y59" i="116"/>
  <c r="AE59" i="116"/>
  <c r="AG59" i="116"/>
  <c r="AH59" i="116"/>
  <c r="AI59" i="116"/>
  <c r="AJ59" i="116"/>
  <c r="AK59" i="116"/>
  <c r="AL59" i="116"/>
  <c r="AM59" i="116"/>
  <c r="AN59" i="116"/>
  <c r="AO59" i="116"/>
  <c r="AP59" i="116"/>
  <c r="AQ59" i="116"/>
  <c r="AR59" i="116"/>
  <c r="AS59" i="116"/>
  <c r="AT59" i="116"/>
  <c r="AU59" i="116"/>
  <c r="AV59" i="116"/>
  <c r="AW59" i="116"/>
  <c r="AX59" i="116"/>
  <c r="BL59" i="116"/>
  <c r="BO59" i="116"/>
  <c r="BR59" i="116"/>
  <c r="BU59" i="116"/>
  <c r="BX59" i="116"/>
  <c r="CA59" i="116"/>
  <c r="CD59" i="116"/>
  <c r="CG59" i="116"/>
  <c r="CJ59" i="116"/>
  <c r="CT59" i="116"/>
  <c r="CY59" i="116"/>
  <c r="DM59" i="116"/>
  <c r="DN59" i="116"/>
  <c r="DO59" i="116"/>
  <c r="DP59" i="116"/>
  <c r="DQ59" i="116"/>
  <c r="DR59" i="116"/>
  <c r="A60" i="116"/>
  <c r="AD60" i="116"/>
  <c r="Q60" i="116"/>
  <c r="R60" i="116"/>
  <c r="U60" i="116"/>
  <c r="V60" i="116"/>
  <c r="W60" i="116"/>
  <c r="X60" i="116"/>
  <c r="Y60" i="116"/>
  <c r="AE60" i="116"/>
  <c r="AG60" i="116"/>
  <c r="AH60" i="116"/>
  <c r="AI60" i="116"/>
  <c r="AJ60" i="116"/>
  <c r="AK60" i="116"/>
  <c r="AL60" i="116"/>
  <c r="AM60" i="116"/>
  <c r="AN60" i="116"/>
  <c r="AO60" i="116"/>
  <c r="AP60" i="116"/>
  <c r="AQ60" i="116"/>
  <c r="AR60" i="116"/>
  <c r="AS60" i="116"/>
  <c r="AT60" i="116"/>
  <c r="AU60" i="116"/>
  <c r="AV60" i="116"/>
  <c r="AW60" i="116"/>
  <c r="AX60" i="116"/>
  <c r="BL60" i="116"/>
  <c r="BO60" i="116"/>
  <c r="BR60" i="116"/>
  <c r="BU60" i="116"/>
  <c r="BX60" i="116"/>
  <c r="CA60" i="116"/>
  <c r="CD60" i="116"/>
  <c r="CG60" i="116"/>
  <c r="CJ60" i="116"/>
  <c r="CT60" i="116"/>
  <c r="CY60" i="116"/>
  <c r="DM60" i="116"/>
  <c r="DN60" i="116"/>
  <c r="DO60" i="116"/>
  <c r="DP60" i="116"/>
  <c r="DQ60" i="116"/>
  <c r="DR60" i="116"/>
  <c r="A61" i="116"/>
  <c r="AD61" i="116"/>
  <c r="Q61" i="116"/>
  <c r="R61" i="116"/>
  <c r="U61" i="116"/>
  <c r="V61" i="116"/>
  <c r="W61" i="116"/>
  <c r="X61" i="116"/>
  <c r="Y61" i="116"/>
  <c r="AE61" i="116"/>
  <c r="AG61" i="116"/>
  <c r="AH61" i="116"/>
  <c r="AI61" i="116"/>
  <c r="AJ61" i="116"/>
  <c r="AK61" i="116"/>
  <c r="AL61" i="116"/>
  <c r="AM61" i="116"/>
  <c r="AN61" i="116"/>
  <c r="AO61" i="116"/>
  <c r="AP61" i="116"/>
  <c r="AQ61" i="116"/>
  <c r="AR61" i="116"/>
  <c r="AS61" i="116"/>
  <c r="AT61" i="116"/>
  <c r="AU61" i="116"/>
  <c r="AV61" i="116"/>
  <c r="AW61" i="116"/>
  <c r="AX61" i="116"/>
  <c r="BL61" i="116"/>
  <c r="BO61" i="116"/>
  <c r="BR61" i="116"/>
  <c r="BU61" i="116"/>
  <c r="BX61" i="116"/>
  <c r="CA61" i="116"/>
  <c r="CD61" i="116"/>
  <c r="CG61" i="116"/>
  <c r="CJ61" i="116"/>
  <c r="CT61" i="116"/>
  <c r="CY61" i="116"/>
  <c r="DM61" i="116"/>
  <c r="DN61" i="116"/>
  <c r="DO61" i="116"/>
  <c r="DP61" i="116"/>
  <c r="DQ61" i="116"/>
  <c r="DR61" i="116"/>
  <c r="C2" i="121"/>
  <c r="F2" i="121"/>
  <c r="AO5" i="119"/>
  <c r="AP5" i="119"/>
  <c r="AQ5" i="119"/>
  <c r="AR5" i="119"/>
  <c r="AD6" i="111"/>
  <c r="AD7" i="111"/>
  <c r="B37" i="121"/>
  <c r="B38" i="121"/>
  <c r="A3" i="119"/>
  <c r="A4" i="119"/>
  <c r="A5" i="119"/>
  <c r="A6" i="119"/>
  <c r="A7" i="119"/>
  <c r="A8" i="119"/>
  <c r="A9" i="119"/>
  <c r="A10" i="119"/>
  <c r="A11" i="119"/>
  <c r="A12" i="119"/>
  <c r="A13" i="119"/>
  <c r="A14" i="119"/>
  <c r="A15" i="119"/>
  <c r="A16" i="119"/>
  <c r="A17" i="119"/>
  <c r="A18" i="119"/>
  <c r="A19" i="119"/>
  <c r="A20" i="119"/>
  <c r="A21" i="119"/>
  <c r="A22" i="119"/>
  <c r="A23" i="119"/>
  <c r="A24" i="119"/>
  <c r="A25" i="119"/>
  <c r="A26" i="119"/>
  <c r="A27" i="119"/>
  <c r="A28" i="119"/>
  <c r="A29" i="119"/>
  <c r="A30" i="119"/>
  <c r="A31" i="119"/>
  <c r="A32" i="119"/>
  <c r="A33" i="119"/>
  <c r="A34" i="119"/>
  <c r="A35" i="119"/>
  <c r="A36" i="119"/>
  <c r="A37" i="119"/>
  <c r="A38" i="119"/>
  <c r="A39" i="119"/>
  <c r="A40" i="119"/>
  <c r="A41" i="119"/>
  <c r="A42" i="119"/>
  <c r="A43" i="119"/>
  <c r="A44" i="119"/>
  <c r="A45" i="119"/>
  <c r="A46" i="119"/>
  <c r="A47" i="119"/>
  <c r="A48" i="119"/>
  <c r="A49" i="119"/>
  <c r="A50" i="119"/>
  <c r="A51" i="119"/>
  <c r="A52" i="119"/>
  <c r="A53" i="119"/>
  <c r="A54" i="119"/>
  <c r="A55" i="119"/>
  <c r="A56" i="119"/>
  <c r="A57" i="119"/>
  <c r="A58" i="119"/>
  <c r="A3" i="111"/>
  <c r="A4" i="111"/>
  <c r="A5" i="111"/>
  <c r="A6" i="111"/>
  <c r="A7" i="111"/>
  <c r="A8" i="111"/>
  <c r="A9" i="111"/>
  <c r="A10" i="111"/>
  <c r="A11" i="111"/>
  <c r="A3" i="112"/>
  <c r="A4" i="112"/>
  <c r="A5" i="112"/>
  <c r="A6" i="112"/>
  <c r="A7" i="112"/>
  <c r="A8" i="112"/>
  <c r="A9" i="112"/>
  <c r="A10" i="112"/>
  <c r="A11" i="112"/>
  <c r="A12" i="112"/>
  <c r="A13" i="112"/>
  <c r="A14" i="112"/>
  <c r="A15" i="112"/>
  <c r="A16" i="112"/>
  <c r="A17" i="112"/>
  <c r="A18" i="112"/>
  <c r="A3" i="113"/>
  <c r="A4" i="113"/>
  <c r="A5" i="113"/>
  <c r="A6" i="113"/>
  <c r="A7" i="113"/>
  <c r="A8" i="113"/>
  <c r="A9" i="113"/>
  <c r="A10" i="113"/>
  <c r="A11" i="113"/>
  <c r="A12" i="113"/>
  <c r="A13" i="113"/>
  <c r="A14" i="113"/>
  <c r="A15" i="113"/>
  <c r="A16" i="113"/>
  <c r="A17" i="113"/>
  <c r="A18" i="113"/>
  <c r="A3" i="114"/>
  <c r="A4" i="114"/>
  <c r="A5" i="114"/>
  <c r="A6" i="114"/>
  <c r="A7" i="114"/>
  <c r="A8" i="114"/>
  <c r="A9" i="114"/>
  <c r="A10" i="114"/>
  <c r="A11" i="114"/>
  <c r="A12" i="114"/>
  <c r="A13" i="114"/>
  <c r="A14" i="114"/>
  <c r="A15" i="114"/>
  <c r="A16" i="114"/>
  <c r="A17" i="114"/>
  <c r="A18" i="114"/>
  <c r="A19" i="114"/>
  <c r="A3" i="115"/>
  <c r="A4" i="115"/>
  <c r="A5" i="115"/>
  <c r="A6" i="115"/>
  <c r="A3" i="110"/>
  <c r="A4" i="110"/>
  <c r="A5" i="110"/>
  <c r="A6" i="110"/>
  <c r="A7" i="110"/>
  <c r="A8" i="110"/>
  <c r="A9" i="110"/>
  <c r="A10" i="110"/>
  <c r="A11" i="110"/>
  <c r="A12" i="110"/>
  <c r="A13" i="110"/>
  <c r="A14" i="110"/>
  <c r="A15" i="110"/>
  <c r="A16" i="110"/>
  <c r="A17" i="110"/>
  <c r="A18" i="110"/>
  <c r="A19" i="110"/>
  <c r="A20" i="110"/>
  <c r="A21" i="110"/>
  <c r="A22" i="110"/>
  <c r="A23" i="110"/>
  <c r="A24" i="110"/>
  <c r="A25" i="110"/>
  <c r="A26" i="110"/>
  <c r="A27" i="110"/>
  <c r="A28" i="110"/>
  <c r="A29" i="110"/>
  <c r="A30" i="110"/>
  <c r="A31" i="110"/>
  <c r="A32" i="110"/>
  <c r="A33" i="110"/>
  <c r="A34" i="110"/>
  <c r="A35" i="110"/>
  <c r="A36" i="110"/>
  <c r="A37" i="110"/>
  <c r="A38" i="110"/>
  <c r="A39" i="110"/>
  <c r="A40" i="110"/>
  <c r="A41" i="110"/>
  <c r="A42" i="110"/>
  <c r="A43" i="110"/>
  <c r="A44" i="110"/>
  <c r="A45" i="110"/>
  <c r="A46" i="110"/>
  <c r="A47" i="110"/>
  <c r="A48" i="110"/>
  <c r="A49" i="110"/>
  <c r="A50" i="110"/>
  <c r="A51" i="110"/>
  <c r="A2" i="110"/>
  <c r="A2" i="115"/>
  <c r="A2" i="114"/>
  <c r="A2" i="113"/>
  <c r="A2" i="112"/>
  <c r="A2" i="111"/>
  <c r="A2" i="119"/>
  <c r="AN2" i="111"/>
  <c r="AQ2" i="111"/>
  <c r="AM2" i="111"/>
  <c r="AO2" i="111"/>
  <c r="AR2" i="111"/>
  <c r="AN3" i="111"/>
  <c r="AQ3" i="111"/>
  <c r="AM3" i="111"/>
  <c r="AO3" i="111"/>
  <c r="AR3" i="111"/>
  <c r="AN4" i="111"/>
  <c r="AQ4" i="111"/>
  <c r="AM4" i="111"/>
  <c r="AO4" i="111"/>
  <c r="AR4" i="111"/>
  <c r="AN5" i="111"/>
  <c r="AQ5" i="111"/>
  <c r="AM5" i="111"/>
  <c r="AO5" i="111"/>
  <c r="AR5" i="111"/>
  <c r="AN6" i="111"/>
  <c r="AQ6" i="111"/>
  <c r="AM6" i="111"/>
  <c r="AO6" i="111"/>
  <c r="AR6" i="111"/>
  <c r="AN7" i="111"/>
  <c r="AQ7" i="111"/>
  <c r="AM7" i="111"/>
  <c r="AO7" i="111"/>
  <c r="AR7" i="111"/>
  <c r="AN8" i="111"/>
  <c r="AQ8" i="111"/>
  <c r="AM8" i="111"/>
  <c r="AO8" i="111"/>
  <c r="AR8" i="111"/>
  <c r="AN9" i="111"/>
  <c r="AQ9" i="111"/>
  <c r="AM9" i="111"/>
  <c r="AO9" i="111"/>
  <c r="AR9" i="111"/>
  <c r="I7" i="119"/>
  <c r="AD7" i="119"/>
  <c r="Q7" i="119"/>
  <c r="R7" i="119"/>
  <c r="U7" i="119"/>
  <c r="V7" i="119"/>
  <c r="W7" i="119"/>
  <c r="X7" i="119"/>
  <c r="Y7" i="119"/>
  <c r="AA7" i="119"/>
  <c r="AE7" i="119"/>
  <c r="AG7" i="119"/>
  <c r="AH7" i="119"/>
  <c r="AI7" i="119"/>
  <c r="AJ7" i="119"/>
  <c r="AK7" i="119"/>
  <c r="AL7" i="119"/>
  <c r="AM7" i="119"/>
  <c r="AN7" i="119"/>
  <c r="AO7" i="119"/>
  <c r="AP7" i="119"/>
  <c r="AQ7" i="119"/>
  <c r="AR7" i="119"/>
  <c r="AS7" i="119"/>
  <c r="AT7" i="119"/>
  <c r="AU7" i="119"/>
  <c r="AV7" i="119"/>
  <c r="AW7" i="119"/>
  <c r="AX7" i="119"/>
  <c r="BL7" i="119"/>
  <c r="BO7" i="119"/>
  <c r="BR7" i="119"/>
  <c r="BU7" i="119"/>
  <c r="BX7" i="119"/>
  <c r="CA7" i="119"/>
  <c r="CD7" i="119"/>
  <c r="CG7" i="119"/>
  <c r="CJ7" i="119"/>
  <c r="CT7" i="119"/>
  <c r="CY7" i="119"/>
  <c r="DM7" i="119"/>
  <c r="DN7" i="119"/>
  <c r="I8" i="119"/>
  <c r="AD8" i="119"/>
  <c r="Q8" i="119"/>
  <c r="R8" i="119"/>
  <c r="U8" i="119"/>
  <c r="V8" i="119"/>
  <c r="W8" i="119"/>
  <c r="X8" i="119"/>
  <c r="Y8" i="119"/>
  <c r="AA8" i="119"/>
  <c r="AE8" i="119"/>
  <c r="AG8" i="119"/>
  <c r="AH8" i="119"/>
  <c r="AI8" i="119"/>
  <c r="AJ8" i="119"/>
  <c r="AK8" i="119"/>
  <c r="AL8" i="119"/>
  <c r="AM8" i="119"/>
  <c r="AN8" i="119"/>
  <c r="AO8" i="119"/>
  <c r="AP8" i="119"/>
  <c r="AQ8" i="119"/>
  <c r="AR8" i="119"/>
  <c r="AS8" i="119"/>
  <c r="AT8" i="119"/>
  <c r="AU8" i="119"/>
  <c r="AV8" i="119"/>
  <c r="AW8" i="119"/>
  <c r="AX8" i="119"/>
  <c r="BL8" i="119"/>
  <c r="BO8" i="119"/>
  <c r="BR8" i="119"/>
  <c r="BU8" i="119"/>
  <c r="BX8" i="119"/>
  <c r="CA8" i="119"/>
  <c r="CD8" i="119"/>
  <c r="CG8" i="119"/>
  <c r="CJ8" i="119"/>
  <c r="CT8" i="119"/>
  <c r="CY8" i="119"/>
  <c r="DM8" i="119"/>
  <c r="DN8" i="119"/>
  <c r="I9" i="119"/>
  <c r="AD9" i="119"/>
  <c r="Q9" i="119"/>
  <c r="R9" i="119"/>
  <c r="U9" i="119"/>
  <c r="V9" i="119"/>
  <c r="W9" i="119"/>
  <c r="X9" i="119"/>
  <c r="Y9" i="119"/>
  <c r="AA9" i="119"/>
  <c r="AE9" i="119"/>
  <c r="AG9" i="119"/>
  <c r="AH9" i="119"/>
  <c r="AI9" i="119"/>
  <c r="AJ9" i="119"/>
  <c r="AK9" i="119"/>
  <c r="AL9" i="119"/>
  <c r="AM9" i="119"/>
  <c r="AN9" i="119"/>
  <c r="AO9" i="119"/>
  <c r="AP9" i="119"/>
  <c r="AQ9" i="119"/>
  <c r="AR9" i="119"/>
  <c r="AS9" i="119"/>
  <c r="AT9" i="119"/>
  <c r="AU9" i="119"/>
  <c r="AV9" i="119"/>
  <c r="AW9" i="119"/>
  <c r="AX9" i="119"/>
  <c r="BL9" i="119"/>
  <c r="BO9" i="119"/>
  <c r="BR9" i="119"/>
  <c r="BU9" i="119"/>
  <c r="BX9" i="119"/>
  <c r="CA9" i="119"/>
  <c r="CD9" i="119"/>
  <c r="CG9" i="119"/>
  <c r="CJ9" i="119"/>
  <c r="CT9" i="119"/>
  <c r="CY9" i="119"/>
  <c r="DM9" i="119"/>
  <c r="DN9" i="119"/>
  <c r="I10" i="119"/>
  <c r="AD10" i="119"/>
  <c r="Q10" i="119"/>
  <c r="R10" i="119"/>
  <c r="U10" i="119"/>
  <c r="V10" i="119"/>
  <c r="W10" i="119"/>
  <c r="X10" i="119"/>
  <c r="Y10" i="119"/>
  <c r="AA10" i="119"/>
  <c r="AE10" i="119"/>
  <c r="AG10" i="119"/>
  <c r="AH10" i="119"/>
  <c r="AI10" i="119"/>
  <c r="AJ10" i="119"/>
  <c r="AK10" i="119"/>
  <c r="AL10" i="119"/>
  <c r="AM10" i="119"/>
  <c r="AN10" i="119"/>
  <c r="AO10" i="119"/>
  <c r="AP10" i="119"/>
  <c r="AQ10" i="119"/>
  <c r="AR10" i="119"/>
  <c r="AS10" i="119"/>
  <c r="AT10" i="119"/>
  <c r="AU10" i="119"/>
  <c r="AV10" i="119"/>
  <c r="AW10" i="119"/>
  <c r="AX10" i="119"/>
  <c r="BL10" i="119"/>
  <c r="BO10" i="119"/>
  <c r="BR10" i="119"/>
  <c r="BU10" i="119"/>
  <c r="BX10" i="119"/>
  <c r="CA10" i="119"/>
  <c r="CD10" i="119"/>
  <c r="CG10" i="119"/>
  <c r="CJ10" i="119"/>
  <c r="CT10" i="119"/>
  <c r="CY10" i="119"/>
  <c r="DM10" i="119"/>
  <c r="DN10" i="119"/>
  <c r="I11" i="119"/>
  <c r="AD11" i="119"/>
  <c r="Q11" i="119"/>
  <c r="R11" i="119"/>
  <c r="U11" i="119"/>
  <c r="V11" i="119"/>
  <c r="W11" i="119"/>
  <c r="X11" i="119"/>
  <c r="Y11" i="119"/>
  <c r="AA11" i="119"/>
  <c r="AE11" i="119"/>
  <c r="AG11" i="119"/>
  <c r="AH11" i="119"/>
  <c r="AI11" i="119"/>
  <c r="AJ11" i="119"/>
  <c r="AK11" i="119"/>
  <c r="AL11" i="119"/>
  <c r="AM11" i="119"/>
  <c r="AN11" i="119"/>
  <c r="AO11" i="119"/>
  <c r="AP11" i="119"/>
  <c r="AQ11" i="119"/>
  <c r="AR11" i="119"/>
  <c r="AS11" i="119"/>
  <c r="AT11" i="119"/>
  <c r="AU11" i="119"/>
  <c r="AV11" i="119"/>
  <c r="AW11" i="119"/>
  <c r="AX11" i="119"/>
  <c r="BL11" i="119"/>
  <c r="BO11" i="119"/>
  <c r="BR11" i="119"/>
  <c r="BU11" i="119"/>
  <c r="BX11" i="119"/>
  <c r="CA11" i="119"/>
  <c r="CD11" i="119"/>
  <c r="CG11" i="119"/>
  <c r="CJ11" i="119"/>
  <c r="CT11" i="119"/>
  <c r="CY11" i="119"/>
  <c r="DM11" i="119"/>
  <c r="DN11" i="119"/>
  <c r="I12" i="119"/>
  <c r="AD12" i="119"/>
  <c r="Q12" i="119"/>
  <c r="R12" i="119"/>
  <c r="U12" i="119"/>
  <c r="V12" i="119"/>
  <c r="W12" i="119"/>
  <c r="X12" i="119"/>
  <c r="Y12" i="119"/>
  <c r="AA12" i="119"/>
  <c r="AE12" i="119"/>
  <c r="AG12" i="119"/>
  <c r="AH12" i="119"/>
  <c r="AI12" i="119"/>
  <c r="AJ12" i="119"/>
  <c r="AK12" i="119"/>
  <c r="AL12" i="119"/>
  <c r="AM12" i="119"/>
  <c r="AN12" i="119"/>
  <c r="AO12" i="119"/>
  <c r="AP12" i="119"/>
  <c r="AQ12" i="119"/>
  <c r="AR12" i="119"/>
  <c r="AS12" i="119"/>
  <c r="AT12" i="119"/>
  <c r="AU12" i="119"/>
  <c r="AV12" i="119"/>
  <c r="AW12" i="119"/>
  <c r="AX12" i="119"/>
  <c r="BL12" i="119"/>
  <c r="BO12" i="119"/>
  <c r="BR12" i="119"/>
  <c r="BU12" i="119"/>
  <c r="BX12" i="119"/>
  <c r="CA12" i="119"/>
  <c r="CD12" i="119"/>
  <c r="CG12" i="119"/>
  <c r="CJ12" i="119"/>
  <c r="CT12" i="119"/>
  <c r="CY12" i="119"/>
  <c r="DM12" i="119"/>
  <c r="DN12" i="119"/>
  <c r="I13" i="119"/>
  <c r="AD13" i="119"/>
  <c r="Q13" i="119"/>
  <c r="R13" i="119"/>
  <c r="U13" i="119"/>
  <c r="V13" i="119"/>
  <c r="W13" i="119"/>
  <c r="X13" i="119"/>
  <c r="Y13" i="119"/>
  <c r="AA13" i="119"/>
  <c r="AE13" i="119"/>
  <c r="AG13" i="119"/>
  <c r="AH13" i="119"/>
  <c r="AI13" i="119"/>
  <c r="AJ13" i="119"/>
  <c r="AK13" i="119"/>
  <c r="AL13" i="119"/>
  <c r="AM13" i="119"/>
  <c r="AN13" i="119"/>
  <c r="AO13" i="119"/>
  <c r="AP13" i="119"/>
  <c r="AQ13" i="119"/>
  <c r="AR13" i="119"/>
  <c r="AS13" i="119"/>
  <c r="AT13" i="119"/>
  <c r="AU13" i="119"/>
  <c r="AV13" i="119"/>
  <c r="AW13" i="119"/>
  <c r="AX13" i="119"/>
  <c r="BL13" i="119"/>
  <c r="BO13" i="119"/>
  <c r="BR13" i="119"/>
  <c r="BU13" i="119"/>
  <c r="BX13" i="119"/>
  <c r="CA13" i="119"/>
  <c r="CD13" i="119"/>
  <c r="CG13" i="119"/>
  <c r="CJ13" i="119"/>
  <c r="CT13" i="119"/>
  <c r="CY13" i="119"/>
  <c r="DM13" i="119"/>
  <c r="DN13" i="119"/>
  <c r="I14" i="119"/>
  <c r="AD14" i="119"/>
  <c r="Q14" i="119"/>
  <c r="R14" i="119"/>
  <c r="U14" i="119"/>
  <c r="V14" i="119"/>
  <c r="W14" i="119"/>
  <c r="X14" i="119"/>
  <c r="Y14" i="119"/>
  <c r="AA14" i="119"/>
  <c r="AE14" i="119"/>
  <c r="AG14" i="119"/>
  <c r="AH14" i="119"/>
  <c r="AI14" i="119"/>
  <c r="AJ14" i="119"/>
  <c r="AK14" i="119"/>
  <c r="AL14" i="119"/>
  <c r="AM14" i="119"/>
  <c r="AN14" i="119"/>
  <c r="AO14" i="119"/>
  <c r="AP14" i="119"/>
  <c r="AQ14" i="119"/>
  <c r="AR14" i="119"/>
  <c r="AS14" i="119"/>
  <c r="AT14" i="119"/>
  <c r="AU14" i="119"/>
  <c r="AV14" i="119"/>
  <c r="AW14" i="119"/>
  <c r="AX14" i="119"/>
  <c r="BL14" i="119"/>
  <c r="BO14" i="119"/>
  <c r="BR14" i="119"/>
  <c r="BU14" i="119"/>
  <c r="BX14" i="119"/>
  <c r="CA14" i="119"/>
  <c r="CD14" i="119"/>
  <c r="CG14" i="119"/>
  <c r="CJ14" i="119"/>
  <c r="CT14" i="119"/>
  <c r="CY14" i="119"/>
  <c r="DM14" i="119"/>
  <c r="DN14" i="119"/>
  <c r="I15" i="119"/>
  <c r="AD15" i="119"/>
  <c r="Q15" i="119"/>
  <c r="R15" i="119"/>
  <c r="U15" i="119"/>
  <c r="V15" i="119"/>
  <c r="W15" i="119"/>
  <c r="X15" i="119"/>
  <c r="Y15" i="119"/>
  <c r="AA15" i="119"/>
  <c r="AE15" i="119"/>
  <c r="AG15" i="119"/>
  <c r="AH15" i="119"/>
  <c r="AI15" i="119"/>
  <c r="AJ15" i="119"/>
  <c r="AK15" i="119"/>
  <c r="AL15" i="119"/>
  <c r="AM15" i="119"/>
  <c r="AN15" i="119"/>
  <c r="AO15" i="119"/>
  <c r="AP15" i="119"/>
  <c r="AQ15" i="119"/>
  <c r="AR15" i="119"/>
  <c r="AS15" i="119"/>
  <c r="AT15" i="119"/>
  <c r="AU15" i="119"/>
  <c r="AV15" i="119"/>
  <c r="AW15" i="119"/>
  <c r="AX15" i="119"/>
  <c r="BL15" i="119"/>
  <c r="BO15" i="119"/>
  <c r="BR15" i="119"/>
  <c r="BU15" i="119"/>
  <c r="BX15" i="119"/>
  <c r="CA15" i="119"/>
  <c r="CD15" i="119"/>
  <c r="CG15" i="119"/>
  <c r="CJ15" i="119"/>
  <c r="CT15" i="119"/>
  <c r="CY15" i="119"/>
  <c r="DM15" i="119"/>
  <c r="DN15" i="119"/>
  <c r="I16" i="119"/>
  <c r="AD16" i="119"/>
  <c r="Q16" i="119"/>
  <c r="R16" i="119"/>
  <c r="U16" i="119"/>
  <c r="V16" i="119"/>
  <c r="W16" i="119"/>
  <c r="X16" i="119"/>
  <c r="Y16" i="119"/>
  <c r="AA16" i="119"/>
  <c r="AE16" i="119"/>
  <c r="AG16" i="119"/>
  <c r="AH16" i="119"/>
  <c r="AI16" i="119"/>
  <c r="AJ16" i="119"/>
  <c r="AK16" i="119"/>
  <c r="AL16" i="119"/>
  <c r="AM16" i="119"/>
  <c r="AN16" i="119"/>
  <c r="AO16" i="119"/>
  <c r="AP16" i="119"/>
  <c r="AQ16" i="119"/>
  <c r="AR16" i="119"/>
  <c r="AS16" i="119"/>
  <c r="AT16" i="119"/>
  <c r="AU16" i="119"/>
  <c r="AV16" i="119"/>
  <c r="AW16" i="119"/>
  <c r="AX16" i="119"/>
  <c r="BL16" i="119"/>
  <c r="BO16" i="119"/>
  <c r="BR16" i="119"/>
  <c r="BU16" i="119"/>
  <c r="BX16" i="119"/>
  <c r="CA16" i="119"/>
  <c r="CD16" i="119"/>
  <c r="CG16" i="119"/>
  <c r="CJ16" i="119"/>
  <c r="CT16" i="119"/>
  <c r="CY16" i="119"/>
  <c r="DM16" i="119"/>
  <c r="DN16" i="119"/>
  <c r="I17" i="119"/>
  <c r="AD17" i="119"/>
  <c r="Q17" i="119"/>
  <c r="R17" i="119"/>
  <c r="U17" i="119"/>
  <c r="V17" i="119"/>
  <c r="W17" i="119"/>
  <c r="X17" i="119"/>
  <c r="Y17" i="119"/>
  <c r="AA17" i="119"/>
  <c r="AE17" i="119"/>
  <c r="AG17" i="119"/>
  <c r="AH17" i="119"/>
  <c r="AI17" i="119"/>
  <c r="AJ17" i="119"/>
  <c r="AK17" i="119"/>
  <c r="AL17" i="119"/>
  <c r="AM17" i="119"/>
  <c r="AN17" i="119"/>
  <c r="AO17" i="119"/>
  <c r="AP17" i="119"/>
  <c r="AQ17" i="119"/>
  <c r="AR17" i="119"/>
  <c r="AS17" i="119"/>
  <c r="AT17" i="119"/>
  <c r="AU17" i="119"/>
  <c r="AV17" i="119"/>
  <c r="AW17" i="119"/>
  <c r="AX17" i="119"/>
  <c r="BL17" i="119"/>
  <c r="BO17" i="119"/>
  <c r="BR17" i="119"/>
  <c r="BU17" i="119"/>
  <c r="BX17" i="119"/>
  <c r="CA17" i="119"/>
  <c r="CD17" i="119"/>
  <c r="CG17" i="119"/>
  <c r="CJ17" i="119"/>
  <c r="CT17" i="119"/>
  <c r="CY17" i="119"/>
  <c r="DM17" i="119"/>
  <c r="DN17" i="119"/>
  <c r="I18" i="119"/>
  <c r="AD18" i="119"/>
  <c r="Q18" i="119"/>
  <c r="R18" i="119"/>
  <c r="U18" i="119"/>
  <c r="V18" i="119"/>
  <c r="W18" i="119"/>
  <c r="X18" i="119"/>
  <c r="Y18" i="119"/>
  <c r="AA18" i="119"/>
  <c r="AE18" i="119"/>
  <c r="AG18" i="119"/>
  <c r="AH18" i="119"/>
  <c r="AI18" i="119"/>
  <c r="AJ18" i="119"/>
  <c r="AK18" i="119"/>
  <c r="AL18" i="119"/>
  <c r="AM18" i="119"/>
  <c r="AN18" i="119"/>
  <c r="AO18" i="119"/>
  <c r="AP18" i="119"/>
  <c r="AQ18" i="119"/>
  <c r="AR18" i="119"/>
  <c r="AS18" i="119"/>
  <c r="AT18" i="119"/>
  <c r="AU18" i="119"/>
  <c r="AV18" i="119"/>
  <c r="AW18" i="119"/>
  <c r="AX18" i="119"/>
  <c r="BL18" i="119"/>
  <c r="BO18" i="119"/>
  <c r="BR18" i="119"/>
  <c r="BU18" i="119"/>
  <c r="BX18" i="119"/>
  <c r="CA18" i="119"/>
  <c r="CD18" i="119"/>
  <c r="CG18" i="119"/>
  <c r="CJ18" i="119"/>
  <c r="CT18" i="119"/>
  <c r="CY18" i="119"/>
  <c r="DM18" i="119"/>
  <c r="DN18" i="119"/>
  <c r="I19" i="119"/>
  <c r="AD19" i="119"/>
  <c r="Q19" i="119"/>
  <c r="R19" i="119"/>
  <c r="U19" i="119"/>
  <c r="V19" i="119"/>
  <c r="W19" i="119"/>
  <c r="X19" i="119"/>
  <c r="Y19" i="119"/>
  <c r="AA19" i="119"/>
  <c r="AE19" i="119"/>
  <c r="AG19" i="119"/>
  <c r="AH19" i="119"/>
  <c r="AI19" i="119"/>
  <c r="AJ19" i="119"/>
  <c r="AK19" i="119"/>
  <c r="AL19" i="119"/>
  <c r="AM19" i="119"/>
  <c r="AN19" i="119"/>
  <c r="AO19" i="119"/>
  <c r="AP19" i="119"/>
  <c r="AQ19" i="119"/>
  <c r="AR19" i="119"/>
  <c r="AS19" i="119"/>
  <c r="AT19" i="119"/>
  <c r="AU19" i="119"/>
  <c r="AV19" i="119"/>
  <c r="AW19" i="119"/>
  <c r="AX19" i="119"/>
  <c r="BL19" i="119"/>
  <c r="BO19" i="119"/>
  <c r="BR19" i="119"/>
  <c r="BU19" i="119"/>
  <c r="BX19" i="119"/>
  <c r="CA19" i="119"/>
  <c r="CD19" i="119"/>
  <c r="CG19" i="119"/>
  <c r="CJ19" i="119"/>
  <c r="CT19" i="119"/>
  <c r="CY19" i="119"/>
  <c r="DM19" i="119"/>
  <c r="DN19" i="119"/>
  <c r="I20" i="119"/>
  <c r="AD20" i="119"/>
  <c r="Q20" i="119"/>
  <c r="R20" i="119"/>
  <c r="U20" i="119"/>
  <c r="V20" i="119"/>
  <c r="W20" i="119"/>
  <c r="X20" i="119"/>
  <c r="Y20" i="119"/>
  <c r="AA20" i="119"/>
  <c r="AE20" i="119"/>
  <c r="AG20" i="119"/>
  <c r="AH20" i="119"/>
  <c r="AI20" i="119"/>
  <c r="AJ20" i="119"/>
  <c r="AK20" i="119"/>
  <c r="AL20" i="119"/>
  <c r="AM20" i="119"/>
  <c r="AN20" i="119"/>
  <c r="AO20" i="119"/>
  <c r="AP20" i="119"/>
  <c r="AQ20" i="119"/>
  <c r="AR20" i="119"/>
  <c r="AS20" i="119"/>
  <c r="AT20" i="119"/>
  <c r="AU20" i="119"/>
  <c r="AV20" i="119"/>
  <c r="AW20" i="119"/>
  <c r="AX20" i="119"/>
  <c r="BL20" i="119"/>
  <c r="BO20" i="119"/>
  <c r="BR20" i="119"/>
  <c r="BU20" i="119"/>
  <c r="BX20" i="119"/>
  <c r="CA20" i="119"/>
  <c r="CD20" i="119"/>
  <c r="CG20" i="119"/>
  <c r="CJ20" i="119"/>
  <c r="CT20" i="119"/>
  <c r="CY20" i="119"/>
  <c r="DM20" i="119"/>
  <c r="DN20" i="119"/>
  <c r="I21" i="119"/>
  <c r="AD21" i="119"/>
  <c r="Q21" i="119"/>
  <c r="R21" i="119"/>
  <c r="U21" i="119"/>
  <c r="V21" i="119"/>
  <c r="W21" i="119"/>
  <c r="X21" i="119"/>
  <c r="Y21" i="119"/>
  <c r="AA21" i="119"/>
  <c r="AE21" i="119"/>
  <c r="AG21" i="119"/>
  <c r="AH21" i="119"/>
  <c r="AI21" i="119"/>
  <c r="AJ21" i="119"/>
  <c r="AK21" i="119"/>
  <c r="AL21" i="119"/>
  <c r="AM21" i="119"/>
  <c r="AN21" i="119"/>
  <c r="AO21" i="119"/>
  <c r="AP21" i="119"/>
  <c r="AQ21" i="119"/>
  <c r="AR21" i="119"/>
  <c r="AS21" i="119"/>
  <c r="AT21" i="119"/>
  <c r="AU21" i="119"/>
  <c r="AV21" i="119"/>
  <c r="AW21" i="119"/>
  <c r="AX21" i="119"/>
  <c r="BL21" i="119"/>
  <c r="BO21" i="119"/>
  <c r="BR21" i="119"/>
  <c r="BU21" i="119"/>
  <c r="BX21" i="119"/>
  <c r="CA21" i="119"/>
  <c r="CD21" i="119"/>
  <c r="CG21" i="119"/>
  <c r="CJ21" i="119"/>
  <c r="CT21" i="119"/>
  <c r="CY21" i="119"/>
  <c r="DM21" i="119"/>
  <c r="DN21" i="119"/>
  <c r="I22" i="119"/>
  <c r="AD22" i="119"/>
  <c r="Q22" i="119"/>
  <c r="R22" i="119"/>
  <c r="U22" i="119"/>
  <c r="V22" i="119"/>
  <c r="W22" i="119"/>
  <c r="X22" i="119"/>
  <c r="Y22" i="119"/>
  <c r="AA22" i="119"/>
  <c r="AE22" i="119"/>
  <c r="AG22" i="119"/>
  <c r="AH22" i="119"/>
  <c r="AI22" i="119"/>
  <c r="AJ22" i="119"/>
  <c r="AK22" i="119"/>
  <c r="AL22" i="119"/>
  <c r="AM22" i="119"/>
  <c r="AN22" i="119"/>
  <c r="AO22" i="119"/>
  <c r="AP22" i="119"/>
  <c r="AQ22" i="119"/>
  <c r="AR22" i="119"/>
  <c r="AS22" i="119"/>
  <c r="AT22" i="119"/>
  <c r="AU22" i="119"/>
  <c r="AV22" i="119"/>
  <c r="AW22" i="119"/>
  <c r="AX22" i="119"/>
  <c r="BL22" i="119"/>
  <c r="BO22" i="119"/>
  <c r="BR22" i="119"/>
  <c r="BU22" i="119"/>
  <c r="BX22" i="119"/>
  <c r="CA22" i="119"/>
  <c r="CD22" i="119"/>
  <c r="CG22" i="119"/>
  <c r="CJ22" i="119"/>
  <c r="CT22" i="119"/>
  <c r="CY22" i="119"/>
  <c r="DM22" i="119"/>
  <c r="DN22" i="119"/>
  <c r="I23" i="119"/>
  <c r="AD23" i="119"/>
  <c r="Q23" i="119"/>
  <c r="R23" i="119"/>
  <c r="U23" i="119"/>
  <c r="V23" i="119"/>
  <c r="W23" i="119"/>
  <c r="X23" i="119"/>
  <c r="Y23" i="119"/>
  <c r="AA23" i="119"/>
  <c r="AE23" i="119"/>
  <c r="AG23" i="119"/>
  <c r="AH23" i="119"/>
  <c r="AI23" i="119"/>
  <c r="AJ23" i="119"/>
  <c r="AK23" i="119"/>
  <c r="AL23" i="119"/>
  <c r="AM23" i="119"/>
  <c r="AN23" i="119"/>
  <c r="AO23" i="119"/>
  <c r="AP23" i="119"/>
  <c r="AQ23" i="119"/>
  <c r="AR23" i="119"/>
  <c r="AS23" i="119"/>
  <c r="AT23" i="119"/>
  <c r="AU23" i="119"/>
  <c r="AV23" i="119"/>
  <c r="AW23" i="119"/>
  <c r="AX23" i="119"/>
  <c r="BL23" i="119"/>
  <c r="BO23" i="119"/>
  <c r="BR23" i="119"/>
  <c r="BU23" i="119"/>
  <c r="BX23" i="119"/>
  <c r="CA23" i="119"/>
  <c r="CD23" i="119"/>
  <c r="CG23" i="119"/>
  <c r="CJ23" i="119"/>
  <c r="CT23" i="119"/>
  <c r="CY23" i="119"/>
  <c r="DM23" i="119"/>
  <c r="DN23" i="119"/>
  <c r="I24" i="119"/>
  <c r="AD24" i="119"/>
  <c r="Q24" i="119"/>
  <c r="R24" i="119"/>
  <c r="U24" i="119"/>
  <c r="V24" i="119"/>
  <c r="W24" i="119"/>
  <c r="X24" i="119"/>
  <c r="Y24" i="119"/>
  <c r="AA24" i="119"/>
  <c r="AE24" i="119"/>
  <c r="AG24" i="119"/>
  <c r="AH24" i="119"/>
  <c r="AI24" i="119"/>
  <c r="AJ24" i="119"/>
  <c r="AK24" i="119"/>
  <c r="AL24" i="119"/>
  <c r="AM24" i="119"/>
  <c r="AN24" i="119"/>
  <c r="AO24" i="119"/>
  <c r="AP24" i="119"/>
  <c r="AQ24" i="119"/>
  <c r="AR24" i="119"/>
  <c r="AS24" i="119"/>
  <c r="AT24" i="119"/>
  <c r="AU24" i="119"/>
  <c r="AV24" i="119"/>
  <c r="AW24" i="119"/>
  <c r="AX24" i="119"/>
  <c r="BL24" i="119"/>
  <c r="BO24" i="119"/>
  <c r="BR24" i="119"/>
  <c r="BU24" i="119"/>
  <c r="BX24" i="119"/>
  <c r="CA24" i="119"/>
  <c r="CD24" i="119"/>
  <c r="CG24" i="119"/>
  <c r="CJ24" i="119"/>
  <c r="CT24" i="119"/>
  <c r="CY24" i="119"/>
  <c r="DM24" i="119"/>
  <c r="DN24" i="119"/>
  <c r="I25" i="119"/>
  <c r="AD25" i="119"/>
  <c r="Q25" i="119"/>
  <c r="R25" i="119"/>
  <c r="U25" i="119"/>
  <c r="V25" i="119"/>
  <c r="W25" i="119"/>
  <c r="X25" i="119"/>
  <c r="Y25" i="119"/>
  <c r="AA25" i="119"/>
  <c r="AE25" i="119"/>
  <c r="AG25" i="119"/>
  <c r="AH25" i="119"/>
  <c r="AI25" i="119"/>
  <c r="AJ25" i="119"/>
  <c r="AK25" i="119"/>
  <c r="AL25" i="119"/>
  <c r="AM25" i="119"/>
  <c r="AN25" i="119"/>
  <c r="AO25" i="119"/>
  <c r="AP25" i="119"/>
  <c r="AQ25" i="119"/>
  <c r="AR25" i="119"/>
  <c r="AS25" i="119"/>
  <c r="AT25" i="119"/>
  <c r="AU25" i="119"/>
  <c r="AV25" i="119"/>
  <c r="AW25" i="119"/>
  <c r="AX25" i="119"/>
  <c r="BL25" i="119"/>
  <c r="BO25" i="119"/>
  <c r="BR25" i="119"/>
  <c r="BU25" i="119"/>
  <c r="BX25" i="119"/>
  <c r="CA25" i="119"/>
  <c r="CD25" i="119"/>
  <c r="CG25" i="119"/>
  <c r="CJ25" i="119"/>
  <c r="CT25" i="119"/>
  <c r="CY25" i="119"/>
  <c r="DM25" i="119"/>
  <c r="DN25" i="119"/>
  <c r="I26" i="119"/>
  <c r="AD26" i="119"/>
  <c r="Q26" i="119"/>
  <c r="R26" i="119"/>
  <c r="U26" i="119"/>
  <c r="V26" i="119"/>
  <c r="W26" i="119"/>
  <c r="X26" i="119"/>
  <c r="Y26" i="119"/>
  <c r="AA26" i="119"/>
  <c r="AE26" i="119"/>
  <c r="AG26" i="119"/>
  <c r="AH26" i="119"/>
  <c r="AI26" i="119"/>
  <c r="AJ26" i="119"/>
  <c r="AK26" i="119"/>
  <c r="AL26" i="119"/>
  <c r="AM26" i="119"/>
  <c r="AN26" i="119"/>
  <c r="AO26" i="119"/>
  <c r="AP26" i="119"/>
  <c r="AQ26" i="119"/>
  <c r="AR26" i="119"/>
  <c r="AS26" i="119"/>
  <c r="AT26" i="119"/>
  <c r="AU26" i="119"/>
  <c r="AV26" i="119"/>
  <c r="AW26" i="119"/>
  <c r="AX26" i="119"/>
  <c r="BL26" i="119"/>
  <c r="BO26" i="119"/>
  <c r="BR26" i="119"/>
  <c r="BU26" i="119"/>
  <c r="BX26" i="119"/>
  <c r="CA26" i="119"/>
  <c r="CD26" i="119"/>
  <c r="CG26" i="119"/>
  <c r="CJ26" i="119"/>
  <c r="CT26" i="119"/>
  <c r="CY26" i="119"/>
  <c r="DM26" i="119"/>
  <c r="DN26" i="119"/>
  <c r="I27" i="119"/>
  <c r="AD27" i="119"/>
  <c r="Q27" i="119"/>
  <c r="R27" i="119"/>
  <c r="U27" i="119"/>
  <c r="V27" i="119"/>
  <c r="W27" i="119"/>
  <c r="X27" i="119"/>
  <c r="Y27" i="119"/>
  <c r="AA27" i="119"/>
  <c r="AE27" i="119"/>
  <c r="AG27" i="119"/>
  <c r="AH27" i="119"/>
  <c r="AI27" i="119"/>
  <c r="AJ27" i="119"/>
  <c r="AK27" i="119"/>
  <c r="AL27" i="119"/>
  <c r="AM27" i="119"/>
  <c r="AN27" i="119"/>
  <c r="AO27" i="119"/>
  <c r="AP27" i="119"/>
  <c r="AQ27" i="119"/>
  <c r="AR27" i="119"/>
  <c r="AS27" i="119"/>
  <c r="AT27" i="119"/>
  <c r="AU27" i="119"/>
  <c r="AV27" i="119"/>
  <c r="AW27" i="119"/>
  <c r="AX27" i="119"/>
  <c r="BL27" i="119"/>
  <c r="BO27" i="119"/>
  <c r="BR27" i="119"/>
  <c r="BU27" i="119"/>
  <c r="BX27" i="119"/>
  <c r="CA27" i="119"/>
  <c r="CD27" i="119"/>
  <c r="CG27" i="119"/>
  <c r="CJ27" i="119"/>
  <c r="CT27" i="119"/>
  <c r="CY27" i="119"/>
  <c r="DM27" i="119"/>
  <c r="DN27" i="119"/>
  <c r="I28" i="119"/>
  <c r="AD28" i="119"/>
  <c r="Q28" i="119"/>
  <c r="R28" i="119"/>
  <c r="U28" i="119"/>
  <c r="V28" i="119"/>
  <c r="W28" i="119"/>
  <c r="X28" i="119"/>
  <c r="Y28" i="119"/>
  <c r="AA28" i="119"/>
  <c r="AE28" i="119"/>
  <c r="AG28" i="119"/>
  <c r="AH28" i="119"/>
  <c r="AI28" i="119"/>
  <c r="AJ28" i="119"/>
  <c r="AK28" i="119"/>
  <c r="AL28" i="119"/>
  <c r="AM28" i="119"/>
  <c r="AN28" i="119"/>
  <c r="AO28" i="119"/>
  <c r="AP28" i="119"/>
  <c r="AQ28" i="119"/>
  <c r="AR28" i="119"/>
  <c r="AS28" i="119"/>
  <c r="AT28" i="119"/>
  <c r="AU28" i="119"/>
  <c r="AV28" i="119"/>
  <c r="AW28" i="119"/>
  <c r="AX28" i="119"/>
  <c r="BL28" i="119"/>
  <c r="BO28" i="119"/>
  <c r="BR28" i="119"/>
  <c r="BU28" i="119"/>
  <c r="BX28" i="119"/>
  <c r="CA28" i="119"/>
  <c r="CD28" i="119"/>
  <c r="CG28" i="119"/>
  <c r="CJ28" i="119"/>
  <c r="CT28" i="119"/>
  <c r="CY28" i="119"/>
  <c r="DM28" i="119"/>
  <c r="DN28" i="119"/>
  <c r="I29" i="119"/>
  <c r="AD29" i="119"/>
  <c r="Q29" i="119"/>
  <c r="R29" i="119"/>
  <c r="U29" i="119"/>
  <c r="V29" i="119"/>
  <c r="W29" i="119"/>
  <c r="X29" i="119"/>
  <c r="Y29" i="119"/>
  <c r="AA29" i="119"/>
  <c r="AE29" i="119"/>
  <c r="AG29" i="119"/>
  <c r="AH29" i="119"/>
  <c r="AI29" i="119"/>
  <c r="AJ29" i="119"/>
  <c r="AK29" i="119"/>
  <c r="AL29" i="119"/>
  <c r="AM29" i="119"/>
  <c r="AN29" i="119"/>
  <c r="AO29" i="119"/>
  <c r="AP29" i="119"/>
  <c r="AQ29" i="119"/>
  <c r="AR29" i="119"/>
  <c r="AS29" i="119"/>
  <c r="AT29" i="119"/>
  <c r="AU29" i="119"/>
  <c r="AV29" i="119"/>
  <c r="AW29" i="119"/>
  <c r="AX29" i="119"/>
  <c r="BL29" i="119"/>
  <c r="BO29" i="119"/>
  <c r="BR29" i="119"/>
  <c r="BU29" i="119"/>
  <c r="BX29" i="119"/>
  <c r="CA29" i="119"/>
  <c r="CD29" i="119"/>
  <c r="CG29" i="119"/>
  <c r="CJ29" i="119"/>
  <c r="CT29" i="119"/>
  <c r="CY29" i="119"/>
  <c r="DM29" i="119"/>
  <c r="DN29" i="119"/>
  <c r="I30" i="119"/>
  <c r="AD30" i="119"/>
  <c r="Q30" i="119"/>
  <c r="R30" i="119"/>
  <c r="U30" i="119"/>
  <c r="V30" i="119"/>
  <c r="W30" i="119"/>
  <c r="X30" i="119"/>
  <c r="Y30" i="119"/>
  <c r="AA30" i="119"/>
  <c r="AE30" i="119"/>
  <c r="AG30" i="119"/>
  <c r="AH30" i="119"/>
  <c r="AI30" i="119"/>
  <c r="AJ30" i="119"/>
  <c r="AK30" i="119"/>
  <c r="AL30" i="119"/>
  <c r="AM30" i="119"/>
  <c r="AN30" i="119"/>
  <c r="AO30" i="119"/>
  <c r="AP30" i="119"/>
  <c r="AQ30" i="119"/>
  <c r="AR30" i="119"/>
  <c r="AS30" i="119"/>
  <c r="AT30" i="119"/>
  <c r="AU30" i="119"/>
  <c r="AV30" i="119"/>
  <c r="AW30" i="119"/>
  <c r="AX30" i="119"/>
  <c r="BL30" i="119"/>
  <c r="BO30" i="119"/>
  <c r="BR30" i="119"/>
  <c r="BU30" i="119"/>
  <c r="BX30" i="119"/>
  <c r="CA30" i="119"/>
  <c r="CD30" i="119"/>
  <c r="CG30" i="119"/>
  <c r="CJ30" i="119"/>
  <c r="CT30" i="119"/>
  <c r="CY30" i="119"/>
  <c r="DM30" i="119"/>
  <c r="DN30" i="119"/>
  <c r="I31" i="119"/>
  <c r="AD31" i="119"/>
  <c r="Q31" i="119"/>
  <c r="R31" i="119"/>
  <c r="U31" i="119"/>
  <c r="V31" i="119"/>
  <c r="W31" i="119"/>
  <c r="X31" i="119"/>
  <c r="Y31" i="119"/>
  <c r="AA31" i="119"/>
  <c r="AE31" i="119"/>
  <c r="AG31" i="119"/>
  <c r="AH31" i="119"/>
  <c r="AI31" i="119"/>
  <c r="AJ31" i="119"/>
  <c r="AK31" i="119"/>
  <c r="AL31" i="119"/>
  <c r="AM31" i="119"/>
  <c r="AN31" i="119"/>
  <c r="AO31" i="119"/>
  <c r="AP31" i="119"/>
  <c r="AQ31" i="119"/>
  <c r="AR31" i="119"/>
  <c r="AS31" i="119"/>
  <c r="AT31" i="119"/>
  <c r="AU31" i="119"/>
  <c r="AV31" i="119"/>
  <c r="AW31" i="119"/>
  <c r="AX31" i="119"/>
  <c r="BL31" i="119"/>
  <c r="BO31" i="119"/>
  <c r="BR31" i="119"/>
  <c r="BU31" i="119"/>
  <c r="BX31" i="119"/>
  <c r="CA31" i="119"/>
  <c r="CD31" i="119"/>
  <c r="CG31" i="119"/>
  <c r="CJ31" i="119"/>
  <c r="CT31" i="119"/>
  <c r="CY31" i="119"/>
  <c r="DM31" i="119"/>
  <c r="DN31" i="119"/>
  <c r="I32" i="119"/>
  <c r="AD32" i="119"/>
  <c r="Q32" i="119"/>
  <c r="R32" i="119"/>
  <c r="U32" i="119"/>
  <c r="V32" i="119"/>
  <c r="W32" i="119"/>
  <c r="X32" i="119"/>
  <c r="Y32" i="119"/>
  <c r="AA32" i="119"/>
  <c r="AE32" i="119"/>
  <c r="AG32" i="119"/>
  <c r="AH32" i="119"/>
  <c r="AI32" i="119"/>
  <c r="AJ32" i="119"/>
  <c r="AK32" i="119"/>
  <c r="AL32" i="119"/>
  <c r="AM32" i="119"/>
  <c r="AN32" i="119"/>
  <c r="AO32" i="119"/>
  <c r="AP32" i="119"/>
  <c r="AQ32" i="119"/>
  <c r="AR32" i="119"/>
  <c r="AS32" i="119"/>
  <c r="AT32" i="119"/>
  <c r="AU32" i="119"/>
  <c r="AV32" i="119"/>
  <c r="AW32" i="119"/>
  <c r="AX32" i="119"/>
  <c r="BL32" i="119"/>
  <c r="BO32" i="119"/>
  <c r="BR32" i="119"/>
  <c r="BU32" i="119"/>
  <c r="BX32" i="119"/>
  <c r="CA32" i="119"/>
  <c r="CD32" i="119"/>
  <c r="CG32" i="119"/>
  <c r="CJ32" i="119"/>
  <c r="CT32" i="119"/>
  <c r="CY32" i="119"/>
  <c r="DM32" i="119"/>
  <c r="DN32" i="119"/>
  <c r="I33" i="119"/>
  <c r="AD33" i="119"/>
  <c r="Q33" i="119"/>
  <c r="R33" i="119"/>
  <c r="U33" i="119"/>
  <c r="V33" i="119"/>
  <c r="W33" i="119"/>
  <c r="X33" i="119"/>
  <c r="Y33" i="119"/>
  <c r="AA33" i="119"/>
  <c r="AE33" i="119"/>
  <c r="AG33" i="119"/>
  <c r="AH33" i="119"/>
  <c r="AI33" i="119"/>
  <c r="AJ33" i="119"/>
  <c r="AK33" i="119"/>
  <c r="AL33" i="119"/>
  <c r="AM33" i="119"/>
  <c r="AN33" i="119"/>
  <c r="AO33" i="119"/>
  <c r="AP33" i="119"/>
  <c r="AQ33" i="119"/>
  <c r="AR33" i="119"/>
  <c r="AS33" i="119"/>
  <c r="AT33" i="119"/>
  <c r="AU33" i="119"/>
  <c r="AV33" i="119"/>
  <c r="AW33" i="119"/>
  <c r="AX33" i="119"/>
  <c r="BL33" i="119"/>
  <c r="BO33" i="119"/>
  <c r="BR33" i="119"/>
  <c r="BU33" i="119"/>
  <c r="BX33" i="119"/>
  <c r="CA33" i="119"/>
  <c r="CD33" i="119"/>
  <c r="CG33" i="119"/>
  <c r="CJ33" i="119"/>
  <c r="CT33" i="119"/>
  <c r="CY33" i="119"/>
  <c r="DM33" i="119"/>
  <c r="DN33" i="119"/>
  <c r="I34" i="119"/>
  <c r="AD34" i="119"/>
  <c r="Q34" i="119"/>
  <c r="R34" i="119"/>
  <c r="U34" i="119"/>
  <c r="V34" i="119"/>
  <c r="W34" i="119"/>
  <c r="X34" i="119"/>
  <c r="Y34" i="119"/>
  <c r="AA34" i="119"/>
  <c r="AE34" i="119"/>
  <c r="AG34" i="119"/>
  <c r="AH34" i="119"/>
  <c r="AI34" i="119"/>
  <c r="AJ34" i="119"/>
  <c r="AK34" i="119"/>
  <c r="AL34" i="119"/>
  <c r="AM34" i="119"/>
  <c r="AN34" i="119"/>
  <c r="AO34" i="119"/>
  <c r="AP34" i="119"/>
  <c r="AQ34" i="119"/>
  <c r="AR34" i="119"/>
  <c r="AS34" i="119"/>
  <c r="AT34" i="119"/>
  <c r="AU34" i="119"/>
  <c r="AV34" i="119"/>
  <c r="AW34" i="119"/>
  <c r="AX34" i="119"/>
  <c r="BL34" i="119"/>
  <c r="BO34" i="119"/>
  <c r="BR34" i="119"/>
  <c r="BU34" i="119"/>
  <c r="BX34" i="119"/>
  <c r="CA34" i="119"/>
  <c r="CD34" i="119"/>
  <c r="CG34" i="119"/>
  <c r="CJ34" i="119"/>
  <c r="CT34" i="119"/>
  <c r="CY34" i="119"/>
  <c r="DM34" i="119"/>
  <c r="DN34" i="119"/>
  <c r="I35" i="119"/>
  <c r="AD35" i="119"/>
  <c r="Q35" i="119"/>
  <c r="R35" i="119"/>
  <c r="U35" i="119"/>
  <c r="V35" i="119"/>
  <c r="W35" i="119"/>
  <c r="X35" i="119"/>
  <c r="Y35" i="119"/>
  <c r="AA35" i="119"/>
  <c r="AE35" i="119"/>
  <c r="AG35" i="119"/>
  <c r="AH35" i="119"/>
  <c r="AI35" i="119"/>
  <c r="AJ35" i="119"/>
  <c r="AK35" i="119"/>
  <c r="AL35" i="119"/>
  <c r="AM35" i="119"/>
  <c r="AN35" i="119"/>
  <c r="AO35" i="119"/>
  <c r="AP35" i="119"/>
  <c r="AQ35" i="119"/>
  <c r="AR35" i="119"/>
  <c r="AS35" i="119"/>
  <c r="AT35" i="119"/>
  <c r="AU35" i="119"/>
  <c r="AV35" i="119"/>
  <c r="AW35" i="119"/>
  <c r="AX35" i="119"/>
  <c r="BL35" i="119"/>
  <c r="BO35" i="119"/>
  <c r="BR35" i="119"/>
  <c r="BU35" i="119"/>
  <c r="BX35" i="119"/>
  <c r="CA35" i="119"/>
  <c r="CD35" i="119"/>
  <c r="CG35" i="119"/>
  <c r="CJ35" i="119"/>
  <c r="CT35" i="119"/>
  <c r="CY35" i="119"/>
  <c r="DM35" i="119"/>
  <c r="DN35" i="119"/>
  <c r="I36" i="119"/>
  <c r="AD36" i="119"/>
  <c r="Q36" i="119"/>
  <c r="R36" i="119"/>
  <c r="U36" i="119"/>
  <c r="V36" i="119"/>
  <c r="W36" i="119"/>
  <c r="X36" i="119"/>
  <c r="Y36" i="119"/>
  <c r="AA36" i="119"/>
  <c r="AE36" i="119"/>
  <c r="AG36" i="119"/>
  <c r="AH36" i="119"/>
  <c r="AI36" i="119"/>
  <c r="AJ36" i="119"/>
  <c r="AK36" i="119"/>
  <c r="AL36" i="119"/>
  <c r="AM36" i="119"/>
  <c r="AN36" i="119"/>
  <c r="AO36" i="119"/>
  <c r="AP36" i="119"/>
  <c r="AQ36" i="119"/>
  <c r="AR36" i="119"/>
  <c r="AS36" i="119"/>
  <c r="AT36" i="119"/>
  <c r="AU36" i="119"/>
  <c r="AV36" i="119"/>
  <c r="AW36" i="119"/>
  <c r="AX36" i="119"/>
  <c r="BL36" i="119"/>
  <c r="BO36" i="119"/>
  <c r="BR36" i="119"/>
  <c r="BU36" i="119"/>
  <c r="BX36" i="119"/>
  <c r="CA36" i="119"/>
  <c r="CD36" i="119"/>
  <c r="CG36" i="119"/>
  <c r="CJ36" i="119"/>
  <c r="CT36" i="119"/>
  <c r="CY36" i="119"/>
  <c r="DM36" i="119"/>
  <c r="DN36" i="119"/>
  <c r="I37" i="119"/>
  <c r="AD37" i="119"/>
  <c r="Q37" i="119"/>
  <c r="R37" i="119"/>
  <c r="U37" i="119"/>
  <c r="V37" i="119"/>
  <c r="W37" i="119"/>
  <c r="X37" i="119"/>
  <c r="Y37" i="119"/>
  <c r="AA37" i="119"/>
  <c r="AE37" i="119"/>
  <c r="AG37" i="119"/>
  <c r="AH37" i="119"/>
  <c r="AI37" i="119"/>
  <c r="AJ37" i="119"/>
  <c r="AK37" i="119"/>
  <c r="AL37" i="119"/>
  <c r="AM37" i="119"/>
  <c r="AN37" i="119"/>
  <c r="AO37" i="119"/>
  <c r="AP37" i="119"/>
  <c r="AQ37" i="119"/>
  <c r="AR37" i="119"/>
  <c r="AS37" i="119"/>
  <c r="AT37" i="119"/>
  <c r="AU37" i="119"/>
  <c r="AV37" i="119"/>
  <c r="AW37" i="119"/>
  <c r="AX37" i="119"/>
  <c r="BL37" i="119"/>
  <c r="BO37" i="119"/>
  <c r="BR37" i="119"/>
  <c r="BU37" i="119"/>
  <c r="BX37" i="119"/>
  <c r="CA37" i="119"/>
  <c r="CD37" i="119"/>
  <c r="CG37" i="119"/>
  <c r="CJ37" i="119"/>
  <c r="CT37" i="119"/>
  <c r="CY37" i="119"/>
  <c r="DM37" i="119"/>
  <c r="DN37" i="119"/>
  <c r="I38" i="119"/>
  <c r="AD38" i="119"/>
  <c r="Q38" i="119"/>
  <c r="R38" i="119"/>
  <c r="U38" i="119"/>
  <c r="V38" i="119"/>
  <c r="W38" i="119"/>
  <c r="X38" i="119"/>
  <c r="Y38" i="119"/>
  <c r="AA38" i="119"/>
  <c r="AE38" i="119"/>
  <c r="AG38" i="119"/>
  <c r="AH38" i="119"/>
  <c r="AI38" i="119"/>
  <c r="AJ38" i="119"/>
  <c r="AK38" i="119"/>
  <c r="AL38" i="119"/>
  <c r="AM38" i="119"/>
  <c r="AN38" i="119"/>
  <c r="AO38" i="119"/>
  <c r="AP38" i="119"/>
  <c r="AQ38" i="119"/>
  <c r="AR38" i="119"/>
  <c r="AS38" i="119"/>
  <c r="AT38" i="119"/>
  <c r="AU38" i="119"/>
  <c r="AV38" i="119"/>
  <c r="AW38" i="119"/>
  <c r="AX38" i="119"/>
  <c r="BL38" i="119"/>
  <c r="BO38" i="119"/>
  <c r="BR38" i="119"/>
  <c r="BU38" i="119"/>
  <c r="BX38" i="119"/>
  <c r="CA38" i="119"/>
  <c r="CD38" i="119"/>
  <c r="CG38" i="119"/>
  <c r="CJ38" i="119"/>
  <c r="CT38" i="119"/>
  <c r="CY38" i="119"/>
  <c r="DM38" i="119"/>
  <c r="DN38" i="119"/>
  <c r="I39" i="119"/>
  <c r="AD39" i="119"/>
  <c r="Q39" i="119"/>
  <c r="R39" i="119"/>
  <c r="U39" i="119"/>
  <c r="V39" i="119"/>
  <c r="W39" i="119"/>
  <c r="X39" i="119"/>
  <c r="Y39" i="119"/>
  <c r="AA39" i="119"/>
  <c r="AE39" i="119"/>
  <c r="AG39" i="119"/>
  <c r="AH39" i="119"/>
  <c r="AI39" i="119"/>
  <c r="AJ39" i="119"/>
  <c r="AK39" i="119"/>
  <c r="AL39" i="119"/>
  <c r="AM39" i="119"/>
  <c r="AN39" i="119"/>
  <c r="AO39" i="119"/>
  <c r="AP39" i="119"/>
  <c r="AQ39" i="119"/>
  <c r="AR39" i="119"/>
  <c r="AS39" i="119"/>
  <c r="AT39" i="119"/>
  <c r="AU39" i="119"/>
  <c r="AV39" i="119"/>
  <c r="AW39" i="119"/>
  <c r="AX39" i="119"/>
  <c r="BL39" i="119"/>
  <c r="BO39" i="119"/>
  <c r="BR39" i="119"/>
  <c r="BU39" i="119"/>
  <c r="BX39" i="119"/>
  <c r="CA39" i="119"/>
  <c r="CD39" i="119"/>
  <c r="CG39" i="119"/>
  <c r="CJ39" i="119"/>
  <c r="CT39" i="119"/>
  <c r="CY39" i="119"/>
  <c r="DM39" i="119"/>
  <c r="DN39" i="119"/>
  <c r="I40" i="119"/>
  <c r="AD40" i="119"/>
  <c r="Q40" i="119"/>
  <c r="R40" i="119"/>
  <c r="U40" i="119"/>
  <c r="V40" i="119"/>
  <c r="W40" i="119"/>
  <c r="X40" i="119"/>
  <c r="Y40" i="119"/>
  <c r="AA40" i="119"/>
  <c r="AE40" i="119"/>
  <c r="AG40" i="119"/>
  <c r="AH40" i="119"/>
  <c r="AI40" i="119"/>
  <c r="AJ40" i="119"/>
  <c r="AK40" i="119"/>
  <c r="AL40" i="119"/>
  <c r="AM40" i="119"/>
  <c r="AN40" i="119"/>
  <c r="AO40" i="119"/>
  <c r="AP40" i="119"/>
  <c r="AQ40" i="119"/>
  <c r="AR40" i="119"/>
  <c r="AS40" i="119"/>
  <c r="AT40" i="119"/>
  <c r="AU40" i="119"/>
  <c r="AV40" i="119"/>
  <c r="AW40" i="119"/>
  <c r="AX40" i="119"/>
  <c r="BL40" i="119"/>
  <c r="BO40" i="119"/>
  <c r="BR40" i="119"/>
  <c r="BU40" i="119"/>
  <c r="BX40" i="119"/>
  <c r="CA40" i="119"/>
  <c r="CD40" i="119"/>
  <c r="CG40" i="119"/>
  <c r="CJ40" i="119"/>
  <c r="CT40" i="119"/>
  <c r="CY40" i="119"/>
  <c r="DM40" i="119"/>
  <c r="DN40" i="119"/>
  <c r="I41" i="119"/>
  <c r="AD41" i="119"/>
  <c r="Q41" i="119"/>
  <c r="R41" i="119"/>
  <c r="U41" i="119"/>
  <c r="V41" i="119"/>
  <c r="W41" i="119"/>
  <c r="X41" i="119"/>
  <c r="Y41" i="119"/>
  <c r="AA41" i="119"/>
  <c r="AE41" i="119"/>
  <c r="AG41" i="119"/>
  <c r="AH41" i="119"/>
  <c r="AI41" i="119"/>
  <c r="AJ41" i="119"/>
  <c r="AK41" i="119"/>
  <c r="AL41" i="119"/>
  <c r="AM41" i="119"/>
  <c r="AN41" i="119"/>
  <c r="AO41" i="119"/>
  <c r="AP41" i="119"/>
  <c r="AQ41" i="119"/>
  <c r="AR41" i="119"/>
  <c r="AS41" i="119"/>
  <c r="AT41" i="119"/>
  <c r="AU41" i="119"/>
  <c r="AV41" i="119"/>
  <c r="AW41" i="119"/>
  <c r="AX41" i="119"/>
  <c r="BL41" i="119"/>
  <c r="BO41" i="119"/>
  <c r="BR41" i="119"/>
  <c r="BU41" i="119"/>
  <c r="BX41" i="119"/>
  <c r="CA41" i="119"/>
  <c r="CD41" i="119"/>
  <c r="CG41" i="119"/>
  <c r="CJ41" i="119"/>
  <c r="CT41" i="119"/>
  <c r="CY41" i="119"/>
  <c r="DM41" i="119"/>
  <c r="DN41" i="119"/>
  <c r="I42" i="119"/>
  <c r="AD42" i="119"/>
  <c r="Q42" i="119"/>
  <c r="R42" i="119"/>
  <c r="U42" i="119"/>
  <c r="V42" i="119"/>
  <c r="W42" i="119"/>
  <c r="X42" i="119"/>
  <c r="Y42" i="119"/>
  <c r="AA42" i="119"/>
  <c r="AE42" i="119"/>
  <c r="AG42" i="119"/>
  <c r="AH42" i="119"/>
  <c r="AI42" i="119"/>
  <c r="AJ42" i="119"/>
  <c r="AK42" i="119"/>
  <c r="AL42" i="119"/>
  <c r="AM42" i="119"/>
  <c r="AN42" i="119"/>
  <c r="AO42" i="119"/>
  <c r="AP42" i="119"/>
  <c r="AQ42" i="119"/>
  <c r="AR42" i="119"/>
  <c r="AS42" i="119"/>
  <c r="AT42" i="119"/>
  <c r="AU42" i="119"/>
  <c r="AV42" i="119"/>
  <c r="AW42" i="119"/>
  <c r="AX42" i="119"/>
  <c r="BL42" i="119"/>
  <c r="BO42" i="119"/>
  <c r="BR42" i="119"/>
  <c r="BU42" i="119"/>
  <c r="BX42" i="119"/>
  <c r="CA42" i="119"/>
  <c r="CD42" i="119"/>
  <c r="CG42" i="119"/>
  <c r="CJ42" i="119"/>
  <c r="CT42" i="119"/>
  <c r="CY42" i="119"/>
  <c r="DM42" i="119"/>
  <c r="DN42" i="119"/>
  <c r="I43" i="119"/>
  <c r="AD43" i="119"/>
  <c r="Q43" i="119"/>
  <c r="R43" i="119"/>
  <c r="U43" i="119"/>
  <c r="V43" i="119"/>
  <c r="W43" i="119"/>
  <c r="X43" i="119"/>
  <c r="Y43" i="119"/>
  <c r="AA43" i="119"/>
  <c r="AE43" i="119"/>
  <c r="AG43" i="119"/>
  <c r="AH43" i="119"/>
  <c r="AI43" i="119"/>
  <c r="AJ43" i="119"/>
  <c r="AK43" i="119"/>
  <c r="AL43" i="119"/>
  <c r="AM43" i="119"/>
  <c r="AN43" i="119"/>
  <c r="AO43" i="119"/>
  <c r="AP43" i="119"/>
  <c r="AQ43" i="119"/>
  <c r="AR43" i="119"/>
  <c r="AS43" i="119"/>
  <c r="AT43" i="119"/>
  <c r="AU43" i="119"/>
  <c r="AV43" i="119"/>
  <c r="AW43" i="119"/>
  <c r="AX43" i="119"/>
  <c r="BL43" i="119"/>
  <c r="BO43" i="119"/>
  <c r="BR43" i="119"/>
  <c r="BU43" i="119"/>
  <c r="BX43" i="119"/>
  <c r="CA43" i="119"/>
  <c r="CD43" i="119"/>
  <c r="CG43" i="119"/>
  <c r="CJ43" i="119"/>
  <c r="CT43" i="119"/>
  <c r="CY43" i="119"/>
  <c r="DM43" i="119"/>
  <c r="DN43" i="119"/>
  <c r="I44" i="119"/>
  <c r="AD44" i="119"/>
  <c r="Q44" i="119"/>
  <c r="R44" i="119"/>
  <c r="U44" i="119"/>
  <c r="V44" i="119"/>
  <c r="W44" i="119"/>
  <c r="X44" i="119"/>
  <c r="Y44" i="119"/>
  <c r="AA44" i="119"/>
  <c r="AE44" i="119"/>
  <c r="AG44" i="119"/>
  <c r="AH44" i="119"/>
  <c r="AI44" i="119"/>
  <c r="AJ44" i="119"/>
  <c r="AK44" i="119"/>
  <c r="AL44" i="119"/>
  <c r="AM44" i="119"/>
  <c r="AN44" i="119"/>
  <c r="AO44" i="119"/>
  <c r="AP44" i="119"/>
  <c r="AQ44" i="119"/>
  <c r="AR44" i="119"/>
  <c r="AS44" i="119"/>
  <c r="AT44" i="119"/>
  <c r="AU44" i="119"/>
  <c r="AV44" i="119"/>
  <c r="AW44" i="119"/>
  <c r="AX44" i="119"/>
  <c r="BL44" i="119"/>
  <c r="BO44" i="119"/>
  <c r="BR44" i="119"/>
  <c r="BU44" i="119"/>
  <c r="BX44" i="119"/>
  <c r="CA44" i="119"/>
  <c r="CD44" i="119"/>
  <c r="CG44" i="119"/>
  <c r="CJ44" i="119"/>
  <c r="CT44" i="119"/>
  <c r="CY44" i="119"/>
  <c r="DM44" i="119"/>
  <c r="DN44" i="119"/>
  <c r="I45" i="119"/>
  <c r="AD45" i="119"/>
  <c r="Q45" i="119"/>
  <c r="R45" i="119"/>
  <c r="U45" i="119"/>
  <c r="V45" i="119"/>
  <c r="W45" i="119"/>
  <c r="X45" i="119"/>
  <c r="Y45" i="119"/>
  <c r="AA45" i="119"/>
  <c r="AE45" i="119"/>
  <c r="AG45" i="119"/>
  <c r="AH45" i="119"/>
  <c r="AI45" i="119"/>
  <c r="AJ45" i="119"/>
  <c r="AK45" i="119"/>
  <c r="AL45" i="119"/>
  <c r="AM45" i="119"/>
  <c r="AN45" i="119"/>
  <c r="AO45" i="119"/>
  <c r="AP45" i="119"/>
  <c r="AQ45" i="119"/>
  <c r="AR45" i="119"/>
  <c r="AS45" i="119"/>
  <c r="AT45" i="119"/>
  <c r="AU45" i="119"/>
  <c r="AV45" i="119"/>
  <c r="AW45" i="119"/>
  <c r="AX45" i="119"/>
  <c r="BL45" i="119"/>
  <c r="BO45" i="119"/>
  <c r="BR45" i="119"/>
  <c r="BU45" i="119"/>
  <c r="BX45" i="119"/>
  <c r="CA45" i="119"/>
  <c r="CD45" i="119"/>
  <c r="CG45" i="119"/>
  <c r="CJ45" i="119"/>
  <c r="CT45" i="119"/>
  <c r="CY45" i="119"/>
  <c r="DM45" i="119"/>
  <c r="DN45" i="119"/>
  <c r="I46" i="119"/>
  <c r="AD46" i="119"/>
  <c r="Q46" i="119"/>
  <c r="R46" i="119"/>
  <c r="U46" i="119"/>
  <c r="V46" i="119"/>
  <c r="W46" i="119"/>
  <c r="X46" i="119"/>
  <c r="Y46" i="119"/>
  <c r="AA46" i="119"/>
  <c r="AE46" i="119"/>
  <c r="AG46" i="119"/>
  <c r="AH46" i="119"/>
  <c r="AI46" i="119"/>
  <c r="AJ46" i="119"/>
  <c r="AK46" i="119"/>
  <c r="AL46" i="119"/>
  <c r="AM46" i="119"/>
  <c r="AN46" i="119"/>
  <c r="AO46" i="119"/>
  <c r="AP46" i="119"/>
  <c r="AQ46" i="119"/>
  <c r="AR46" i="119"/>
  <c r="AS46" i="119"/>
  <c r="AT46" i="119"/>
  <c r="AU46" i="119"/>
  <c r="AV46" i="119"/>
  <c r="AW46" i="119"/>
  <c r="AX46" i="119"/>
  <c r="BL46" i="119"/>
  <c r="BO46" i="119"/>
  <c r="BR46" i="119"/>
  <c r="BU46" i="119"/>
  <c r="BX46" i="119"/>
  <c r="CA46" i="119"/>
  <c r="CD46" i="119"/>
  <c r="CG46" i="119"/>
  <c r="CJ46" i="119"/>
  <c r="CT46" i="119"/>
  <c r="CY46" i="119"/>
  <c r="DM46" i="119"/>
  <c r="DN46" i="119"/>
  <c r="I47" i="119"/>
  <c r="AD47" i="119"/>
  <c r="Q47" i="119"/>
  <c r="R47" i="119"/>
  <c r="U47" i="119"/>
  <c r="V47" i="119"/>
  <c r="W47" i="119"/>
  <c r="X47" i="119"/>
  <c r="Y47" i="119"/>
  <c r="AA47" i="119"/>
  <c r="AE47" i="119"/>
  <c r="AG47" i="119"/>
  <c r="AH47" i="119"/>
  <c r="AI47" i="119"/>
  <c r="AJ47" i="119"/>
  <c r="AK47" i="119"/>
  <c r="AL47" i="119"/>
  <c r="AM47" i="119"/>
  <c r="AN47" i="119"/>
  <c r="AO47" i="119"/>
  <c r="AP47" i="119"/>
  <c r="AQ47" i="119"/>
  <c r="AR47" i="119"/>
  <c r="AS47" i="119"/>
  <c r="AT47" i="119"/>
  <c r="AU47" i="119"/>
  <c r="AV47" i="119"/>
  <c r="AW47" i="119"/>
  <c r="AX47" i="119"/>
  <c r="BL47" i="119"/>
  <c r="BO47" i="119"/>
  <c r="BR47" i="119"/>
  <c r="BU47" i="119"/>
  <c r="BX47" i="119"/>
  <c r="CA47" i="119"/>
  <c r="CD47" i="119"/>
  <c r="CG47" i="119"/>
  <c r="CJ47" i="119"/>
  <c r="CT47" i="119"/>
  <c r="CY47" i="119"/>
  <c r="DM47" i="119"/>
  <c r="DN47" i="119"/>
  <c r="I48" i="119"/>
  <c r="AD48" i="119"/>
  <c r="Q48" i="119"/>
  <c r="R48" i="119"/>
  <c r="U48" i="119"/>
  <c r="V48" i="119"/>
  <c r="W48" i="119"/>
  <c r="X48" i="119"/>
  <c r="Y48" i="119"/>
  <c r="AA48" i="119"/>
  <c r="AE48" i="119"/>
  <c r="AG48" i="119"/>
  <c r="AH48" i="119"/>
  <c r="AI48" i="119"/>
  <c r="AJ48" i="119"/>
  <c r="AK48" i="119"/>
  <c r="AL48" i="119"/>
  <c r="AM48" i="119"/>
  <c r="AN48" i="119"/>
  <c r="AO48" i="119"/>
  <c r="AP48" i="119"/>
  <c r="AQ48" i="119"/>
  <c r="AR48" i="119"/>
  <c r="AS48" i="119"/>
  <c r="AT48" i="119"/>
  <c r="AU48" i="119"/>
  <c r="AV48" i="119"/>
  <c r="AW48" i="119"/>
  <c r="AX48" i="119"/>
  <c r="BL48" i="119"/>
  <c r="BO48" i="119"/>
  <c r="BR48" i="119"/>
  <c r="BU48" i="119"/>
  <c r="BX48" i="119"/>
  <c r="CA48" i="119"/>
  <c r="CD48" i="119"/>
  <c r="CG48" i="119"/>
  <c r="CJ48" i="119"/>
  <c r="CT48" i="119"/>
  <c r="CY48" i="119"/>
  <c r="DM48" i="119"/>
  <c r="DN48" i="119"/>
  <c r="I49" i="119"/>
  <c r="AD49" i="119"/>
  <c r="Q49" i="119"/>
  <c r="R49" i="119"/>
  <c r="U49" i="119"/>
  <c r="V49" i="119"/>
  <c r="W49" i="119"/>
  <c r="X49" i="119"/>
  <c r="Y49" i="119"/>
  <c r="AA49" i="119"/>
  <c r="AE49" i="119"/>
  <c r="AG49" i="119"/>
  <c r="AH49" i="119"/>
  <c r="AI49" i="119"/>
  <c r="AJ49" i="119"/>
  <c r="AK49" i="119"/>
  <c r="AL49" i="119"/>
  <c r="AM49" i="119"/>
  <c r="AN49" i="119"/>
  <c r="AO49" i="119"/>
  <c r="AP49" i="119"/>
  <c r="AQ49" i="119"/>
  <c r="AR49" i="119"/>
  <c r="AS49" i="119"/>
  <c r="AT49" i="119"/>
  <c r="AU49" i="119"/>
  <c r="AV49" i="119"/>
  <c r="AW49" i="119"/>
  <c r="AX49" i="119"/>
  <c r="BL49" i="119"/>
  <c r="BO49" i="119"/>
  <c r="BR49" i="119"/>
  <c r="BU49" i="119"/>
  <c r="BX49" i="119"/>
  <c r="CA49" i="119"/>
  <c r="CD49" i="119"/>
  <c r="CG49" i="119"/>
  <c r="CJ49" i="119"/>
  <c r="CT49" i="119"/>
  <c r="CY49" i="119"/>
  <c r="DM49" i="119"/>
  <c r="DN49" i="119"/>
  <c r="I50" i="119"/>
  <c r="AD50" i="119"/>
  <c r="Q50" i="119"/>
  <c r="R50" i="119"/>
  <c r="U50" i="119"/>
  <c r="V50" i="119"/>
  <c r="W50" i="119"/>
  <c r="X50" i="119"/>
  <c r="Y50" i="119"/>
  <c r="AA50" i="119"/>
  <c r="AE50" i="119"/>
  <c r="AG50" i="119"/>
  <c r="AH50" i="119"/>
  <c r="AI50" i="119"/>
  <c r="AJ50" i="119"/>
  <c r="AK50" i="119"/>
  <c r="AL50" i="119"/>
  <c r="AM50" i="119"/>
  <c r="AN50" i="119"/>
  <c r="AO50" i="119"/>
  <c r="AP50" i="119"/>
  <c r="AQ50" i="119"/>
  <c r="AR50" i="119"/>
  <c r="AS50" i="119"/>
  <c r="AT50" i="119"/>
  <c r="AU50" i="119"/>
  <c r="AV50" i="119"/>
  <c r="AW50" i="119"/>
  <c r="AX50" i="119"/>
  <c r="BL50" i="119"/>
  <c r="BO50" i="119"/>
  <c r="BR50" i="119"/>
  <c r="BU50" i="119"/>
  <c r="BX50" i="119"/>
  <c r="CA50" i="119"/>
  <c r="CD50" i="119"/>
  <c r="CG50" i="119"/>
  <c r="CJ50" i="119"/>
  <c r="CT50" i="119"/>
  <c r="CY50" i="119"/>
  <c r="DM50" i="119"/>
  <c r="DN50" i="119"/>
  <c r="I51" i="119"/>
  <c r="AD51" i="119"/>
  <c r="Q51" i="119"/>
  <c r="R51" i="119"/>
  <c r="U51" i="119"/>
  <c r="V51" i="119"/>
  <c r="W51" i="119"/>
  <c r="X51" i="119"/>
  <c r="Y51" i="119"/>
  <c r="AA51" i="119"/>
  <c r="AE51" i="119"/>
  <c r="AG51" i="119"/>
  <c r="AH51" i="119"/>
  <c r="AI51" i="119"/>
  <c r="AJ51" i="119"/>
  <c r="AK51" i="119"/>
  <c r="AL51" i="119"/>
  <c r="AM51" i="119"/>
  <c r="AN51" i="119"/>
  <c r="AO51" i="119"/>
  <c r="AP51" i="119"/>
  <c r="AQ51" i="119"/>
  <c r="AR51" i="119"/>
  <c r="AS51" i="119"/>
  <c r="AT51" i="119"/>
  <c r="AU51" i="119"/>
  <c r="AV51" i="119"/>
  <c r="AW51" i="119"/>
  <c r="AX51" i="119"/>
  <c r="BL51" i="119"/>
  <c r="BO51" i="119"/>
  <c r="BR51" i="119"/>
  <c r="BU51" i="119"/>
  <c r="BX51" i="119"/>
  <c r="CA51" i="119"/>
  <c r="CD51" i="119"/>
  <c r="CG51" i="119"/>
  <c r="CJ51" i="119"/>
  <c r="CT51" i="119"/>
  <c r="CY51" i="119"/>
  <c r="DM51" i="119"/>
  <c r="DN51" i="119"/>
  <c r="I52" i="119"/>
  <c r="AD52" i="119"/>
  <c r="Q52" i="119"/>
  <c r="R52" i="119"/>
  <c r="U52" i="119"/>
  <c r="V52" i="119"/>
  <c r="W52" i="119"/>
  <c r="X52" i="119"/>
  <c r="Y52" i="119"/>
  <c r="AA52" i="119"/>
  <c r="AE52" i="119"/>
  <c r="AG52" i="119"/>
  <c r="AH52" i="119"/>
  <c r="AI52" i="119"/>
  <c r="AJ52" i="119"/>
  <c r="AK52" i="119"/>
  <c r="AL52" i="119"/>
  <c r="AM52" i="119"/>
  <c r="AN52" i="119"/>
  <c r="AO52" i="119"/>
  <c r="AP52" i="119"/>
  <c r="AQ52" i="119"/>
  <c r="AR52" i="119"/>
  <c r="AS52" i="119"/>
  <c r="AT52" i="119"/>
  <c r="AU52" i="119"/>
  <c r="AV52" i="119"/>
  <c r="AW52" i="119"/>
  <c r="AX52" i="119"/>
  <c r="BL52" i="119"/>
  <c r="BO52" i="119"/>
  <c r="BR52" i="119"/>
  <c r="BU52" i="119"/>
  <c r="BX52" i="119"/>
  <c r="CA52" i="119"/>
  <c r="CD52" i="119"/>
  <c r="CG52" i="119"/>
  <c r="CJ52" i="119"/>
  <c r="CT52" i="119"/>
  <c r="CY52" i="119"/>
  <c r="DM52" i="119"/>
  <c r="DN52" i="119"/>
  <c r="I53" i="119"/>
  <c r="AD53" i="119"/>
  <c r="Q53" i="119"/>
  <c r="R53" i="119"/>
  <c r="U53" i="119"/>
  <c r="V53" i="119"/>
  <c r="W53" i="119"/>
  <c r="X53" i="119"/>
  <c r="Y53" i="119"/>
  <c r="AA53" i="119"/>
  <c r="AE53" i="119"/>
  <c r="AG53" i="119"/>
  <c r="AH53" i="119"/>
  <c r="AI53" i="119"/>
  <c r="AJ53" i="119"/>
  <c r="AK53" i="119"/>
  <c r="AL53" i="119"/>
  <c r="AM53" i="119"/>
  <c r="AN53" i="119"/>
  <c r="AO53" i="119"/>
  <c r="AP53" i="119"/>
  <c r="AQ53" i="119"/>
  <c r="AR53" i="119"/>
  <c r="AS53" i="119"/>
  <c r="AT53" i="119"/>
  <c r="AU53" i="119"/>
  <c r="AV53" i="119"/>
  <c r="AW53" i="119"/>
  <c r="AX53" i="119"/>
  <c r="BL53" i="119"/>
  <c r="BO53" i="119"/>
  <c r="BR53" i="119"/>
  <c r="BU53" i="119"/>
  <c r="BX53" i="119"/>
  <c r="CA53" i="119"/>
  <c r="CD53" i="119"/>
  <c r="CG53" i="119"/>
  <c r="CJ53" i="119"/>
  <c r="CT53" i="119"/>
  <c r="CY53" i="119"/>
  <c r="DM53" i="119"/>
  <c r="DN53" i="119"/>
  <c r="I54" i="119"/>
  <c r="AD54" i="119"/>
  <c r="Q54" i="119"/>
  <c r="R54" i="119"/>
  <c r="U54" i="119"/>
  <c r="V54" i="119"/>
  <c r="W54" i="119"/>
  <c r="X54" i="119"/>
  <c r="Y54" i="119"/>
  <c r="AA54" i="119"/>
  <c r="AE54" i="119"/>
  <c r="AG54" i="119"/>
  <c r="AH54" i="119"/>
  <c r="AI54" i="119"/>
  <c r="AJ54" i="119"/>
  <c r="AK54" i="119"/>
  <c r="AL54" i="119"/>
  <c r="AM54" i="119"/>
  <c r="AN54" i="119"/>
  <c r="AO54" i="119"/>
  <c r="AP54" i="119"/>
  <c r="AQ54" i="119"/>
  <c r="AR54" i="119"/>
  <c r="AS54" i="119"/>
  <c r="AT54" i="119"/>
  <c r="AU54" i="119"/>
  <c r="AV54" i="119"/>
  <c r="AW54" i="119"/>
  <c r="AX54" i="119"/>
  <c r="BL54" i="119"/>
  <c r="BO54" i="119"/>
  <c r="BR54" i="119"/>
  <c r="BU54" i="119"/>
  <c r="BX54" i="119"/>
  <c r="CA54" i="119"/>
  <c r="CD54" i="119"/>
  <c r="CG54" i="119"/>
  <c r="CJ54" i="119"/>
  <c r="CT54" i="119"/>
  <c r="CY54" i="119"/>
  <c r="DM54" i="119"/>
  <c r="DN54" i="119"/>
  <c r="I55" i="119"/>
  <c r="AD55" i="119"/>
  <c r="Q55" i="119"/>
  <c r="R55" i="119"/>
  <c r="U55" i="119"/>
  <c r="V55" i="119"/>
  <c r="W55" i="119"/>
  <c r="X55" i="119"/>
  <c r="Y55" i="119"/>
  <c r="AA55" i="119"/>
  <c r="AE55" i="119"/>
  <c r="AG55" i="119"/>
  <c r="AH55" i="119"/>
  <c r="AI55" i="119"/>
  <c r="AJ55" i="119"/>
  <c r="AK55" i="119"/>
  <c r="AL55" i="119"/>
  <c r="AM55" i="119"/>
  <c r="AN55" i="119"/>
  <c r="AO55" i="119"/>
  <c r="AP55" i="119"/>
  <c r="AQ55" i="119"/>
  <c r="AR55" i="119"/>
  <c r="AS55" i="119"/>
  <c r="AT55" i="119"/>
  <c r="AU55" i="119"/>
  <c r="AV55" i="119"/>
  <c r="AW55" i="119"/>
  <c r="AX55" i="119"/>
  <c r="BL55" i="119"/>
  <c r="BO55" i="119"/>
  <c r="BR55" i="119"/>
  <c r="BU55" i="119"/>
  <c r="BX55" i="119"/>
  <c r="CA55" i="119"/>
  <c r="CD55" i="119"/>
  <c r="CG55" i="119"/>
  <c r="CJ55" i="119"/>
  <c r="CT55" i="119"/>
  <c r="CY55" i="119"/>
  <c r="DM55" i="119"/>
  <c r="DN55" i="119"/>
  <c r="I56" i="119"/>
  <c r="AD56" i="119"/>
  <c r="Q56" i="119"/>
  <c r="R56" i="119"/>
  <c r="U56" i="119"/>
  <c r="V56" i="119"/>
  <c r="W56" i="119"/>
  <c r="X56" i="119"/>
  <c r="Y56" i="119"/>
  <c r="AA56" i="119"/>
  <c r="AE56" i="119"/>
  <c r="AG56" i="119"/>
  <c r="AH56" i="119"/>
  <c r="AI56" i="119"/>
  <c r="AJ56" i="119"/>
  <c r="AK56" i="119"/>
  <c r="AL56" i="119"/>
  <c r="AM56" i="119"/>
  <c r="AN56" i="119"/>
  <c r="AO56" i="119"/>
  <c r="AP56" i="119"/>
  <c r="AQ56" i="119"/>
  <c r="AR56" i="119"/>
  <c r="AS56" i="119"/>
  <c r="AT56" i="119"/>
  <c r="AU56" i="119"/>
  <c r="AV56" i="119"/>
  <c r="AW56" i="119"/>
  <c r="AX56" i="119"/>
  <c r="BL56" i="119"/>
  <c r="BO56" i="119"/>
  <c r="BR56" i="119"/>
  <c r="BU56" i="119"/>
  <c r="BX56" i="119"/>
  <c r="CA56" i="119"/>
  <c r="CD56" i="119"/>
  <c r="CG56" i="119"/>
  <c r="CJ56" i="119"/>
  <c r="CT56" i="119"/>
  <c r="CY56" i="119"/>
  <c r="DM56" i="119"/>
  <c r="DN56" i="119"/>
  <c r="I57" i="119"/>
  <c r="AD57" i="119"/>
  <c r="Q57" i="119"/>
  <c r="R57" i="119"/>
  <c r="U57" i="119"/>
  <c r="V57" i="119"/>
  <c r="W57" i="119"/>
  <c r="X57" i="119"/>
  <c r="Y57" i="119"/>
  <c r="AA57" i="119"/>
  <c r="AE57" i="119"/>
  <c r="AG57" i="119"/>
  <c r="AH57" i="119"/>
  <c r="AI57" i="119"/>
  <c r="AJ57" i="119"/>
  <c r="AK57" i="119"/>
  <c r="AL57" i="119"/>
  <c r="AM57" i="119"/>
  <c r="AN57" i="119"/>
  <c r="AO57" i="119"/>
  <c r="AP57" i="119"/>
  <c r="AQ57" i="119"/>
  <c r="AR57" i="119"/>
  <c r="AS57" i="119"/>
  <c r="AT57" i="119"/>
  <c r="AU57" i="119"/>
  <c r="AV57" i="119"/>
  <c r="AW57" i="119"/>
  <c r="AX57" i="119"/>
  <c r="BL57" i="119"/>
  <c r="BO57" i="119"/>
  <c r="BR57" i="119"/>
  <c r="BU57" i="119"/>
  <c r="BX57" i="119"/>
  <c r="CA57" i="119"/>
  <c r="CD57" i="119"/>
  <c r="CG57" i="119"/>
  <c r="CJ57" i="119"/>
  <c r="CT57" i="119"/>
  <c r="CY57" i="119"/>
  <c r="DM57" i="119"/>
  <c r="DN57" i="119"/>
  <c r="I58" i="119"/>
  <c r="AD58" i="119"/>
  <c r="Q58" i="119"/>
  <c r="R58" i="119"/>
  <c r="U58" i="119"/>
  <c r="V58" i="119"/>
  <c r="W58" i="119"/>
  <c r="X58" i="119"/>
  <c r="Y58" i="119"/>
  <c r="AA58" i="119"/>
  <c r="AE58" i="119"/>
  <c r="AG58" i="119"/>
  <c r="AH58" i="119"/>
  <c r="AI58" i="119"/>
  <c r="AJ58" i="119"/>
  <c r="AK58" i="119"/>
  <c r="AL58" i="119"/>
  <c r="AM58" i="119"/>
  <c r="AN58" i="119"/>
  <c r="AO58" i="119"/>
  <c r="AP58" i="119"/>
  <c r="AQ58" i="119"/>
  <c r="AR58" i="119"/>
  <c r="AS58" i="119"/>
  <c r="AT58" i="119"/>
  <c r="AU58" i="119"/>
  <c r="AV58" i="119"/>
  <c r="AW58" i="119"/>
  <c r="AX58" i="119"/>
  <c r="BL58" i="119"/>
  <c r="BO58" i="119"/>
  <c r="BR58" i="119"/>
  <c r="BU58" i="119"/>
  <c r="BX58" i="119"/>
  <c r="CA58" i="119"/>
  <c r="CD58" i="119"/>
  <c r="CG58" i="119"/>
  <c r="CJ58" i="119"/>
  <c r="CT58" i="119"/>
  <c r="CY58" i="119"/>
  <c r="DM58" i="119"/>
  <c r="DN58" i="119"/>
  <c r="U6" i="119"/>
  <c r="DN6" i="119"/>
  <c r="DM6" i="119"/>
  <c r="CY6" i="119"/>
  <c r="CT6" i="119"/>
  <c r="CJ6" i="119"/>
  <c r="CG6" i="119"/>
  <c r="CD6" i="119"/>
  <c r="CA6" i="119"/>
  <c r="BX6" i="119"/>
  <c r="BU6" i="119"/>
  <c r="BR6" i="119"/>
  <c r="BO6" i="119"/>
  <c r="BL6" i="119"/>
  <c r="AM6" i="119"/>
  <c r="AN6" i="119"/>
  <c r="AP6" i="119"/>
  <c r="AS6" i="119"/>
  <c r="AX6" i="119"/>
  <c r="AW6" i="119"/>
  <c r="AV6" i="119"/>
  <c r="AU6" i="119"/>
  <c r="AT6" i="119"/>
  <c r="AO6" i="119"/>
  <c r="AR6" i="119"/>
  <c r="AQ6" i="119"/>
  <c r="AL6" i="119"/>
  <c r="AK6" i="119"/>
  <c r="AJ6" i="119"/>
  <c r="AI6" i="119"/>
  <c r="AH6" i="119"/>
  <c r="AG6" i="119"/>
  <c r="AE6" i="119"/>
  <c r="AD6" i="119"/>
  <c r="AA6" i="119"/>
  <c r="Y6" i="119"/>
  <c r="X6" i="119"/>
  <c r="W6" i="119"/>
  <c r="V6" i="119"/>
  <c r="R6" i="119"/>
  <c r="Q6" i="119"/>
  <c r="I6" i="119"/>
  <c r="I3" i="110"/>
  <c r="AD3" i="110"/>
  <c r="Q3" i="110"/>
  <c r="R3" i="110"/>
  <c r="U3" i="110"/>
  <c r="V3" i="110"/>
  <c r="W3" i="110"/>
  <c r="X3" i="110"/>
  <c r="Y3" i="110"/>
  <c r="AA3" i="110"/>
  <c r="AE3" i="110"/>
  <c r="AG3" i="110"/>
  <c r="AH3" i="110"/>
  <c r="AI3" i="110"/>
  <c r="AJ3" i="110"/>
  <c r="AK3" i="110"/>
  <c r="AL3" i="110"/>
  <c r="AM3" i="110"/>
  <c r="AN3" i="110"/>
  <c r="AO3" i="110"/>
  <c r="AP3" i="110"/>
  <c r="AQ3" i="110"/>
  <c r="AR3" i="110"/>
  <c r="AS3" i="110"/>
  <c r="AT3" i="110"/>
  <c r="AU3" i="110"/>
  <c r="AV3" i="110"/>
  <c r="AW3" i="110"/>
  <c r="AX3" i="110"/>
  <c r="BL3" i="110"/>
  <c r="BO3" i="110"/>
  <c r="BR3" i="110"/>
  <c r="BU3" i="110"/>
  <c r="BX3" i="110"/>
  <c r="CA3" i="110"/>
  <c r="CD3" i="110"/>
  <c r="CG3" i="110"/>
  <c r="CJ3" i="110"/>
  <c r="CT3" i="110"/>
  <c r="CY3" i="110"/>
  <c r="DM3" i="110"/>
  <c r="DN3" i="110"/>
  <c r="DO3" i="110"/>
  <c r="DP3" i="110"/>
  <c r="DQ3" i="110"/>
  <c r="DR3" i="110"/>
  <c r="I4" i="110"/>
  <c r="AD4" i="110"/>
  <c r="Q4" i="110"/>
  <c r="R4" i="110"/>
  <c r="U4" i="110"/>
  <c r="V4" i="110"/>
  <c r="W4" i="110"/>
  <c r="X4" i="110"/>
  <c r="Y4" i="110"/>
  <c r="AA4" i="110"/>
  <c r="AE4" i="110"/>
  <c r="AG4" i="110"/>
  <c r="AH4" i="110"/>
  <c r="AI4" i="110"/>
  <c r="AJ4" i="110"/>
  <c r="AK4" i="110"/>
  <c r="AL4" i="110"/>
  <c r="AM4" i="110"/>
  <c r="AN4" i="110"/>
  <c r="AO4" i="110"/>
  <c r="AP4" i="110"/>
  <c r="AQ4" i="110"/>
  <c r="AR4" i="110"/>
  <c r="AS4" i="110"/>
  <c r="AT4" i="110"/>
  <c r="AU4" i="110"/>
  <c r="AV4" i="110"/>
  <c r="AW4" i="110"/>
  <c r="AX4" i="110"/>
  <c r="BL4" i="110"/>
  <c r="BO4" i="110"/>
  <c r="BR4" i="110"/>
  <c r="BU4" i="110"/>
  <c r="BX4" i="110"/>
  <c r="CA4" i="110"/>
  <c r="CD4" i="110"/>
  <c r="CG4" i="110"/>
  <c r="CJ4" i="110"/>
  <c r="CT4" i="110"/>
  <c r="CY4" i="110"/>
  <c r="DM4" i="110"/>
  <c r="DN4" i="110"/>
  <c r="DO4" i="110"/>
  <c r="DP4" i="110"/>
  <c r="DQ4" i="110"/>
  <c r="DR4" i="110"/>
  <c r="I5" i="110"/>
  <c r="AD5" i="110"/>
  <c r="Q5" i="110"/>
  <c r="R5" i="110"/>
  <c r="U5" i="110"/>
  <c r="V5" i="110"/>
  <c r="W5" i="110"/>
  <c r="X5" i="110"/>
  <c r="Y5" i="110"/>
  <c r="AA5" i="110"/>
  <c r="AE5" i="110"/>
  <c r="AG5" i="110"/>
  <c r="AH5" i="110"/>
  <c r="AI5" i="110"/>
  <c r="AJ5" i="110"/>
  <c r="AK5" i="110"/>
  <c r="AL5" i="110"/>
  <c r="AM5" i="110"/>
  <c r="AN5" i="110"/>
  <c r="AO5" i="110"/>
  <c r="AP5" i="110"/>
  <c r="AQ5" i="110"/>
  <c r="AR5" i="110"/>
  <c r="AS5" i="110"/>
  <c r="AT5" i="110"/>
  <c r="AU5" i="110"/>
  <c r="AV5" i="110"/>
  <c r="AW5" i="110"/>
  <c r="AX5" i="110"/>
  <c r="BL5" i="110"/>
  <c r="BO5" i="110"/>
  <c r="BR5" i="110"/>
  <c r="BU5" i="110"/>
  <c r="BX5" i="110"/>
  <c r="CA5" i="110"/>
  <c r="CD5" i="110"/>
  <c r="CG5" i="110"/>
  <c r="CJ5" i="110"/>
  <c r="CT5" i="110"/>
  <c r="CY5" i="110"/>
  <c r="DM5" i="110"/>
  <c r="DN5" i="110"/>
  <c r="DO5" i="110"/>
  <c r="DP5" i="110"/>
  <c r="DQ5" i="110"/>
  <c r="DR5" i="110"/>
  <c r="I6" i="110"/>
  <c r="AD6" i="110"/>
  <c r="Q6" i="110"/>
  <c r="R6" i="110"/>
  <c r="U6" i="110"/>
  <c r="V6" i="110"/>
  <c r="W6" i="110"/>
  <c r="X6" i="110"/>
  <c r="Y6" i="110"/>
  <c r="AA6" i="110"/>
  <c r="AE6" i="110"/>
  <c r="AG6" i="110"/>
  <c r="AH6" i="110"/>
  <c r="AI6" i="110"/>
  <c r="AJ6" i="110"/>
  <c r="AK6" i="110"/>
  <c r="AL6" i="110"/>
  <c r="AM6" i="110"/>
  <c r="AN6" i="110"/>
  <c r="AO6" i="110"/>
  <c r="AP6" i="110"/>
  <c r="AQ6" i="110"/>
  <c r="AR6" i="110"/>
  <c r="AS6" i="110"/>
  <c r="AT6" i="110"/>
  <c r="AU6" i="110"/>
  <c r="AV6" i="110"/>
  <c r="AW6" i="110"/>
  <c r="AX6" i="110"/>
  <c r="BL6" i="110"/>
  <c r="BO6" i="110"/>
  <c r="BR6" i="110"/>
  <c r="BU6" i="110"/>
  <c r="BX6" i="110"/>
  <c r="CA6" i="110"/>
  <c r="CD6" i="110"/>
  <c r="CG6" i="110"/>
  <c r="CJ6" i="110"/>
  <c r="CT6" i="110"/>
  <c r="CY6" i="110"/>
  <c r="DM6" i="110"/>
  <c r="DN6" i="110"/>
  <c r="DO6" i="110"/>
  <c r="DP6" i="110"/>
  <c r="DQ6" i="110"/>
  <c r="DR6" i="110"/>
  <c r="I7" i="110"/>
  <c r="AD7" i="110"/>
  <c r="Q7" i="110"/>
  <c r="R7" i="110"/>
  <c r="U7" i="110"/>
  <c r="V7" i="110"/>
  <c r="W7" i="110"/>
  <c r="X7" i="110"/>
  <c r="Y7" i="110"/>
  <c r="AA7" i="110"/>
  <c r="AE7" i="110"/>
  <c r="AG7" i="110"/>
  <c r="AH7" i="110"/>
  <c r="AI7" i="110"/>
  <c r="AJ7" i="110"/>
  <c r="AK7" i="110"/>
  <c r="AL7" i="110"/>
  <c r="AM7" i="110"/>
  <c r="AN7" i="110"/>
  <c r="AO7" i="110"/>
  <c r="AP7" i="110"/>
  <c r="AQ7" i="110"/>
  <c r="AR7" i="110"/>
  <c r="AS7" i="110"/>
  <c r="AT7" i="110"/>
  <c r="AU7" i="110"/>
  <c r="AV7" i="110"/>
  <c r="AW7" i="110"/>
  <c r="AX7" i="110"/>
  <c r="BL7" i="110"/>
  <c r="BO7" i="110"/>
  <c r="BR7" i="110"/>
  <c r="BU7" i="110"/>
  <c r="BX7" i="110"/>
  <c r="CA7" i="110"/>
  <c r="CD7" i="110"/>
  <c r="CG7" i="110"/>
  <c r="CJ7" i="110"/>
  <c r="CT7" i="110"/>
  <c r="CY7" i="110"/>
  <c r="DM7" i="110"/>
  <c r="DN7" i="110"/>
  <c r="DO7" i="110"/>
  <c r="DP7" i="110"/>
  <c r="DQ7" i="110"/>
  <c r="DR7" i="110"/>
  <c r="I8" i="110"/>
  <c r="AD8" i="110"/>
  <c r="Q8" i="110"/>
  <c r="R8" i="110"/>
  <c r="U8" i="110"/>
  <c r="V8" i="110"/>
  <c r="W8" i="110"/>
  <c r="X8" i="110"/>
  <c r="Y8" i="110"/>
  <c r="AA8" i="110"/>
  <c r="AE8" i="110"/>
  <c r="AG8" i="110"/>
  <c r="AH8" i="110"/>
  <c r="AI8" i="110"/>
  <c r="AJ8" i="110"/>
  <c r="AK8" i="110"/>
  <c r="AL8" i="110"/>
  <c r="AM8" i="110"/>
  <c r="AN8" i="110"/>
  <c r="AO8" i="110"/>
  <c r="AP8" i="110"/>
  <c r="AQ8" i="110"/>
  <c r="AR8" i="110"/>
  <c r="AS8" i="110"/>
  <c r="AT8" i="110"/>
  <c r="AU8" i="110"/>
  <c r="AV8" i="110"/>
  <c r="AW8" i="110"/>
  <c r="AX8" i="110"/>
  <c r="BL8" i="110"/>
  <c r="BO8" i="110"/>
  <c r="BR8" i="110"/>
  <c r="BU8" i="110"/>
  <c r="BX8" i="110"/>
  <c r="CA8" i="110"/>
  <c r="CD8" i="110"/>
  <c r="CG8" i="110"/>
  <c r="CJ8" i="110"/>
  <c r="CT8" i="110"/>
  <c r="CY8" i="110"/>
  <c r="DM8" i="110"/>
  <c r="DN8" i="110"/>
  <c r="DO8" i="110"/>
  <c r="DP8" i="110"/>
  <c r="DQ8" i="110"/>
  <c r="DR8" i="110"/>
  <c r="I9" i="110"/>
  <c r="AD9" i="110"/>
  <c r="Q9" i="110"/>
  <c r="R9" i="110"/>
  <c r="U9" i="110"/>
  <c r="V9" i="110"/>
  <c r="W9" i="110"/>
  <c r="X9" i="110"/>
  <c r="Y9" i="110"/>
  <c r="AA9" i="110"/>
  <c r="AE9" i="110"/>
  <c r="AG9" i="110"/>
  <c r="AH9" i="110"/>
  <c r="AI9" i="110"/>
  <c r="AJ9" i="110"/>
  <c r="AK9" i="110"/>
  <c r="AL9" i="110"/>
  <c r="AM9" i="110"/>
  <c r="AN9" i="110"/>
  <c r="AO9" i="110"/>
  <c r="AP9" i="110"/>
  <c r="AQ9" i="110"/>
  <c r="AR9" i="110"/>
  <c r="AS9" i="110"/>
  <c r="AT9" i="110"/>
  <c r="AU9" i="110"/>
  <c r="AV9" i="110"/>
  <c r="AW9" i="110"/>
  <c r="AX9" i="110"/>
  <c r="BL9" i="110"/>
  <c r="BO9" i="110"/>
  <c r="BR9" i="110"/>
  <c r="BU9" i="110"/>
  <c r="BX9" i="110"/>
  <c r="CA9" i="110"/>
  <c r="CD9" i="110"/>
  <c r="CG9" i="110"/>
  <c r="CJ9" i="110"/>
  <c r="CT9" i="110"/>
  <c r="CY9" i="110"/>
  <c r="DM9" i="110"/>
  <c r="DN9" i="110"/>
  <c r="DO9" i="110"/>
  <c r="DP9" i="110"/>
  <c r="DQ9" i="110"/>
  <c r="DR9" i="110"/>
  <c r="I10" i="110"/>
  <c r="AD10" i="110"/>
  <c r="Q10" i="110"/>
  <c r="R10" i="110"/>
  <c r="U10" i="110"/>
  <c r="V10" i="110"/>
  <c r="W10" i="110"/>
  <c r="X10" i="110"/>
  <c r="Y10" i="110"/>
  <c r="AA10" i="110"/>
  <c r="AE10" i="110"/>
  <c r="AG10" i="110"/>
  <c r="AH10" i="110"/>
  <c r="AI10" i="110"/>
  <c r="AJ10" i="110"/>
  <c r="AK10" i="110"/>
  <c r="AL10" i="110"/>
  <c r="AM10" i="110"/>
  <c r="AN10" i="110"/>
  <c r="AO10" i="110"/>
  <c r="AP10" i="110"/>
  <c r="AQ10" i="110"/>
  <c r="AR10" i="110"/>
  <c r="AS10" i="110"/>
  <c r="AT10" i="110"/>
  <c r="AU10" i="110"/>
  <c r="AV10" i="110"/>
  <c r="AW10" i="110"/>
  <c r="AX10" i="110"/>
  <c r="BL10" i="110"/>
  <c r="BO10" i="110"/>
  <c r="BR10" i="110"/>
  <c r="BU10" i="110"/>
  <c r="BX10" i="110"/>
  <c r="CA10" i="110"/>
  <c r="CD10" i="110"/>
  <c r="CG10" i="110"/>
  <c r="CJ10" i="110"/>
  <c r="CT10" i="110"/>
  <c r="CY10" i="110"/>
  <c r="DM10" i="110"/>
  <c r="DN10" i="110"/>
  <c r="DO10" i="110"/>
  <c r="DP10" i="110"/>
  <c r="DQ10" i="110"/>
  <c r="DR10" i="110"/>
  <c r="I11" i="110"/>
  <c r="AD11" i="110"/>
  <c r="Q11" i="110"/>
  <c r="R11" i="110"/>
  <c r="U11" i="110"/>
  <c r="V11" i="110"/>
  <c r="W11" i="110"/>
  <c r="X11" i="110"/>
  <c r="Y11" i="110"/>
  <c r="AA11" i="110"/>
  <c r="AE11" i="110"/>
  <c r="AG11" i="110"/>
  <c r="AH11" i="110"/>
  <c r="AI11" i="110"/>
  <c r="AJ11" i="110"/>
  <c r="AK11" i="110"/>
  <c r="AL11" i="110"/>
  <c r="AM11" i="110"/>
  <c r="AN11" i="110"/>
  <c r="AO11" i="110"/>
  <c r="AP11" i="110"/>
  <c r="AQ11" i="110"/>
  <c r="AR11" i="110"/>
  <c r="AS11" i="110"/>
  <c r="AT11" i="110"/>
  <c r="AU11" i="110"/>
  <c r="AV11" i="110"/>
  <c r="AW11" i="110"/>
  <c r="AX11" i="110"/>
  <c r="BL11" i="110"/>
  <c r="BO11" i="110"/>
  <c r="BR11" i="110"/>
  <c r="BU11" i="110"/>
  <c r="BX11" i="110"/>
  <c r="CA11" i="110"/>
  <c r="CD11" i="110"/>
  <c r="CG11" i="110"/>
  <c r="CJ11" i="110"/>
  <c r="CT11" i="110"/>
  <c r="CY11" i="110"/>
  <c r="DM11" i="110"/>
  <c r="DN11" i="110"/>
  <c r="DO11" i="110"/>
  <c r="DP11" i="110"/>
  <c r="DQ11" i="110"/>
  <c r="DR11" i="110"/>
  <c r="I12" i="110"/>
  <c r="AD12" i="110"/>
  <c r="Q12" i="110"/>
  <c r="R12" i="110"/>
  <c r="U12" i="110"/>
  <c r="V12" i="110"/>
  <c r="W12" i="110"/>
  <c r="X12" i="110"/>
  <c r="Y12" i="110"/>
  <c r="AA12" i="110"/>
  <c r="AE12" i="110"/>
  <c r="AG12" i="110"/>
  <c r="AH12" i="110"/>
  <c r="AI12" i="110"/>
  <c r="AJ12" i="110"/>
  <c r="AK12" i="110"/>
  <c r="AL12" i="110"/>
  <c r="AM12" i="110"/>
  <c r="AN12" i="110"/>
  <c r="AO12" i="110"/>
  <c r="AP12" i="110"/>
  <c r="AQ12" i="110"/>
  <c r="AR12" i="110"/>
  <c r="AS12" i="110"/>
  <c r="AT12" i="110"/>
  <c r="AU12" i="110"/>
  <c r="AV12" i="110"/>
  <c r="AW12" i="110"/>
  <c r="AX12" i="110"/>
  <c r="BL12" i="110"/>
  <c r="BO12" i="110"/>
  <c r="BR12" i="110"/>
  <c r="BU12" i="110"/>
  <c r="BX12" i="110"/>
  <c r="CA12" i="110"/>
  <c r="CD12" i="110"/>
  <c r="CG12" i="110"/>
  <c r="CJ12" i="110"/>
  <c r="CT12" i="110"/>
  <c r="CY12" i="110"/>
  <c r="DM12" i="110"/>
  <c r="DN12" i="110"/>
  <c r="DO12" i="110"/>
  <c r="DP12" i="110"/>
  <c r="DQ12" i="110"/>
  <c r="DR12" i="110"/>
  <c r="I13" i="110"/>
  <c r="AD13" i="110"/>
  <c r="Q13" i="110"/>
  <c r="R13" i="110"/>
  <c r="U13" i="110"/>
  <c r="V13" i="110"/>
  <c r="W13" i="110"/>
  <c r="X13" i="110"/>
  <c r="Y13" i="110"/>
  <c r="AA13" i="110"/>
  <c r="AE13" i="110"/>
  <c r="AG13" i="110"/>
  <c r="AH13" i="110"/>
  <c r="AI13" i="110"/>
  <c r="AJ13" i="110"/>
  <c r="AK13" i="110"/>
  <c r="AL13" i="110"/>
  <c r="AM13" i="110"/>
  <c r="AN13" i="110"/>
  <c r="AO13" i="110"/>
  <c r="AP13" i="110"/>
  <c r="AQ13" i="110"/>
  <c r="AR13" i="110"/>
  <c r="AS13" i="110"/>
  <c r="AT13" i="110"/>
  <c r="AU13" i="110"/>
  <c r="AV13" i="110"/>
  <c r="AW13" i="110"/>
  <c r="AX13" i="110"/>
  <c r="BL13" i="110"/>
  <c r="BO13" i="110"/>
  <c r="BR13" i="110"/>
  <c r="BU13" i="110"/>
  <c r="BX13" i="110"/>
  <c r="CA13" i="110"/>
  <c r="CD13" i="110"/>
  <c r="CG13" i="110"/>
  <c r="CJ13" i="110"/>
  <c r="CT13" i="110"/>
  <c r="CY13" i="110"/>
  <c r="DM13" i="110"/>
  <c r="DN13" i="110"/>
  <c r="DO13" i="110"/>
  <c r="DP13" i="110"/>
  <c r="DQ13" i="110"/>
  <c r="DR13" i="110"/>
  <c r="I14" i="110"/>
  <c r="AD14" i="110"/>
  <c r="Q14" i="110"/>
  <c r="R14" i="110"/>
  <c r="U14" i="110"/>
  <c r="V14" i="110"/>
  <c r="W14" i="110"/>
  <c r="X14" i="110"/>
  <c r="Y14" i="110"/>
  <c r="AA14" i="110"/>
  <c r="AE14" i="110"/>
  <c r="AG14" i="110"/>
  <c r="AH14" i="110"/>
  <c r="AI14" i="110"/>
  <c r="AJ14" i="110"/>
  <c r="AK14" i="110"/>
  <c r="AL14" i="110"/>
  <c r="AM14" i="110"/>
  <c r="AN14" i="110"/>
  <c r="AO14" i="110"/>
  <c r="AP14" i="110"/>
  <c r="AQ14" i="110"/>
  <c r="AR14" i="110"/>
  <c r="AS14" i="110"/>
  <c r="AT14" i="110"/>
  <c r="AU14" i="110"/>
  <c r="AV14" i="110"/>
  <c r="AW14" i="110"/>
  <c r="AX14" i="110"/>
  <c r="BL14" i="110"/>
  <c r="BO14" i="110"/>
  <c r="BR14" i="110"/>
  <c r="BU14" i="110"/>
  <c r="BX14" i="110"/>
  <c r="CA14" i="110"/>
  <c r="CD14" i="110"/>
  <c r="CG14" i="110"/>
  <c r="CJ14" i="110"/>
  <c r="CT14" i="110"/>
  <c r="CY14" i="110"/>
  <c r="DM14" i="110"/>
  <c r="DN14" i="110"/>
  <c r="DO14" i="110"/>
  <c r="DP14" i="110"/>
  <c r="DQ14" i="110"/>
  <c r="DR14" i="110"/>
  <c r="I15" i="110"/>
  <c r="AD15" i="110"/>
  <c r="Q15" i="110"/>
  <c r="R15" i="110"/>
  <c r="U15" i="110"/>
  <c r="V15" i="110"/>
  <c r="W15" i="110"/>
  <c r="X15" i="110"/>
  <c r="Y15" i="110"/>
  <c r="AA15" i="110"/>
  <c r="AE15" i="110"/>
  <c r="AG15" i="110"/>
  <c r="AH15" i="110"/>
  <c r="AI15" i="110"/>
  <c r="AJ15" i="110"/>
  <c r="AK15" i="110"/>
  <c r="AL15" i="110"/>
  <c r="AM15" i="110"/>
  <c r="AN15" i="110"/>
  <c r="AO15" i="110"/>
  <c r="AP15" i="110"/>
  <c r="AQ15" i="110"/>
  <c r="AR15" i="110"/>
  <c r="AS15" i="110"/>
  <c r="AT15" i="110"/>
  <c r="AU15" i="110"/>
  <c r="AV15" i="110"/>
  <c r="AW15" i="110"/>
  <c r="AX15" i="110"/>
  <c r="BL15" i="110"/>
  <c r="BO15" i="110"/>
  <c r="BR15" i="110"/>
  <c r="BU15" i="110"/>
  <c r="BX15" i="110"/>
  <c r="CA15" i="110"/>
  <c r="CD15" i="110"/>
  <c r="CG15" i="110"/>
  <c r="CJ15" i="110"/>
  <c r="CT15" i="110"/>
  <c r="CY15" i="110"/>
  <c r="DM15" i="110"/>
  <c r="DN15" i="110"/>
  <c r="DO15" i="110"/>
  <c r="DP15" i="110"/>
  <c r="DQ15" i="110"/>
  <c r="DR15" i="110"/>
  <c r="I16" i="110"/>
  <c r="AD16" i="110"/>
  <c r="Q16" i="110"/>
  <c r="R16" i="110"/>
  <c r="U16" i="110"/>
  <c r="V16" i="110"/>
  <c r="W16" i="110"/>
  <c r="X16" i="110"/>
  <c r="Y16" i="110"/>
  <c r="AA16" i="110"/>
  <c r="AE16" i="110"/>
  <c r="AG16" i="110"/>
  <c r="AH16" i="110"/>
  <c r="AI16" i="110"/>
  <c r="AJ16" i="110"/>
  <c r="AK16" i="110"/>
  <c r="AL16" i="110"/>
  <c r="AM16" i="110"/>
  <c r="AN16" i="110"/>
  <c r="AO16" i="110"/>
  <c r="AP16" i="110"/>
  <c r="AQ16" i="110"/>
  <c r="AR16" i="110"/>
  <c r="AS16" i="110"/>
  <c r="AT16" i="110"/>
  <c r="AU16" i="110"/>
  <c r="AV16" i="110"/>
  <c r="AW16" i="110"/>
  <c r="AX16" i="110"/>
  <c r="BL16" i="110"/>
  <c r="BO16" i="110"/>
  <c r="BR16" i="110"/>
  <c r="BU16" i="110"/>
  <c r="BX16" i="110"/>
  <c r="CA16" i="110"/>
  <c r="CD16" i="110"/>
  <c r="CG16" i="110"/>
  <c r="CJ16" i="110"/>
  <c r="CT16" i="110"/>
  <c r="CY16" i="110"/>
  <c r="DM16" i="110"/>
  <c r="DN16" i="110"/>
  <c r="DO16" i="110"/>
  <c r="DP16" i="110"/>
  <c r="DQ16" i="110"/>
  <c r="DR16" i="110"/>
  <c r="I17" i="110"/>
  <c r="AD17" i="110"/>
  <c r="Q17" i="110"/>
  <c r="R17" i="110"/>
  <c r="U17" i="110"/>
  <c r="V17" i="110"/>
  <c r="W17" i="110"/>
  <c r="X17" i="110"/>
  <c r="Y17" i="110"/>
  <c r="AA17" i="110"/>
  <c r="AE17" i="110"/>
  <c r="AG17" i="110"/>
  <c r="AH17" i="110"/>
  <c r="AI17" i="110"/>
  <c r="AJ17" i="110"/>
  <c r="AK17" i="110"/>
  <c r="AL17" i="110"/>
  <c r="AM17" i="110"/>
  <c r="AN17" i="110"/>
  <c r="AO17" i="110"/>
  <c r="AP17" i="110"/>
  <c r="AQ17" i="110"/>
  <c r="AR17" i="110"/>
  <c r="AS17" i="110"/>
  <c r="AT17" i="110"/>
  <c r="AU17" i="110"/>
  <c r="AV17" i="110"/>
  <c r="AW17" i="110"/>
  <c r="AX17" i="110"/>
  <c r="BL17" i="110"/>
  <c r="BO17" i="110"/>
  <c r="BR17" i="110"/>
  <c r="BU17" i="110"/>
  <c r="BX17" i="110"/>
  <c r="CA17" i="110"/>
  <c r="CD17" i="110"/>
  <c r="CG17" i="110"/>
  <c r="CJ17" i="110"/>
  <c r="CT17" i="110"/>
  <c r="CY17" i="110"/>
  <c r="DM17" i="110"/>
  <c r="DN17" i="110"/>
  <c r="DO17" i="110"/>
  <c r="DP17" i="110"/>
  <c r="DQ17" i="110"/>
  <c r="DR17" i="110"/>
  <c r="I18" i="110"/>
  <c r="AD18" i="110"/>
  <c r="Q18" i="110"/>
  <c r="R18" i="110"/>
  <c r="U18" i="110"/>
  <c r="V18" i="110"/>
  <c r="W18" i="110"/>
  <c r="X18" i="110"/>
  <c r="Y18" i="110"/>
  <c r="AA18" i="110"/>
  <c r="AE18" i="110"/>
  <c r="AG18" i="110"/>
  <c r="AH18" i="110"/>
  <c r="AI18" i="110"/>
  <c r="AJ18" i="110"/>
  <c r="AK18" i="110"/>
  <c r="AL18" i="110"/>
  <c r="AM18" i="110"/>
  <c r="AN18" i="110"/>
  <c r="AO18" i="110"/>
  <c r="AP18" i="110"/>
  <c r="AQ18" i="110"/>
  <c r="AR18" i="110"/>
  <c r="AS18" i="110"/>
  <c r="AT18" i="110"/>
  <c r="AU18" i="110"/>
  <c r="AV18" i="110"/>
  <c r="AW18" i="110"/>
  <c r="AX18" i="110"/>
  <c r="BL18" i="110"/>
  <c r="BO18" i="110"/>
  <c r="BR18" i="110"/>
  <c r="BU18" i="110"/>
  <c r="BX18" i="110"/>
  <c r="CA18" i="110"/>
  <c r="CD18" i="110"/>
  <c r="CG18" i="110"/>
  <c r="CJ18" i="110"/>
  <c r="CT18" i="110"/>
  <c r="CY18" i="110"/>
  <c r="DM18" i="110"/>
  <c r="DN18" i="110"/>
  <c r="DO18" i="110"/>
  <c r="DP18" i="110"/>
  <c r="DQ18" i="110"/>
  <c r="DR18" i="110"/>
  <c r="I19" i="110"/>
  <c r="AD19" i="110"/>
  <c r="Q19" i="110"/>
  <c r="R19" i="110"/>
  <c r="U19" i="110"/>
  <c r="V19" i="110"/>
  <c r="W19" i="110"/>
  <c r="X19" i="110"/>
  <c r="Y19" i="110"/>
  <c r="AA19" i="110"/>
  <c r="AE19" i="110"/>
  <c r="AG19" i="110"/>
  <c r="AH19" i="110"/>
  <c r="AI19" i="110"/>
  <c r="AJ19" i="110"/>
  <c r="AK19" i="110"/>
  <c r="AL19" i="110"/>
  <c r="AM19" i="110"/>
  <c r="AN19" i="110"/>
  <c r="AO19" i="110"/>
  <c r="AP19" i="110"/>
  <c r="AQ19" i="110"/>
  <c r="AR19" i="110"/>
  <c r="AS19" i="110"/>
  <c r="AT19" i="110"/>
  <c r="AU19" i="110"/>
  <c r="AV19" i="110"/>
  <c r="AW19" i="110"/>
  <c r="AX19" i="110"/>
  <c r="BL19" i="110"/>
  <c r="BO19" i="110"/>
  <c r="BR19" i="110"/>
  <c r="BU19" i="110"/>
  <c r="BX19" i="110"/>
  <c r="CA19" i="110"/>
  <c r="CD19" i="110"/>
  <c r="CG19" i="110"/>
  <c r="CJ19" i="110"/>
  <c r="CT19" i="110"/>
  <c r="CY19" i="110"/>
  <c r="DM19" i="110"/>
  <c r="DN19" i="110"/>
  <c r="DO19" i="110"/>
  <c r="DP19" i="110"/>
  <c r="DQ19" i="110"/>
  <c r="DR19" i="110"/>
  <c r="I20" i="110"/>
  <c r="AD20" i="110"/>
  <c r="Q20" i="110"/>
  <c r="R20" i="110"/>
  <c r="U20" i="110"/>
  <c r="V20" i="110"/>
  <c r="W20" i="110"/>
  <c r="X20" i="110"/>
  <c r="Y20" i="110"/>
  <c r="AA20" i="110"/>
  <c r="AE20" i="110"/>
  <c r="AG20" i="110"/>
  <c r="AH20" i="110"/>
  <c r="AI20" i="110"/>
  <c r="AJ20" i="110"/>
  <c r="AK20" i="110"/>
  <c r="AL20" i="110"/>
  <c r="AM20" i="110"/>
  <c r="AN20" i="110"/>
  <c r="AO20" i="110"/>
  <c r="AP20" i="110"/>
  <c r="AQ20" i="110"/>
  <c r="AR20" i="110"/>
  <c r="AS20" i="110"/>
  <c r="AT20" i="110"/>
  <c r="AU20" i="110"/>
  <c r="AV20" i="110"/>
  <c r="AW20" i="110"/>
  <c r="AX20" i="110"/>
  <c r="BL20" i="110"/>
  <c r="BO20" i="110"/>
  <c r="BR20" i="110"/>
  <c r="BU20" i="110"/>
  <c r="BX20" i="110"/>
  <c r="CA20" i="110"/>
  <c r="CD20" i="110"/>
  <c r="CG20" i="110"/>
  <c r="CJ20" i="110"/>
  <c r="CT20" i="110"/>
  <c r="CY20" i="110"/>
  <c r="DM20" i="110"/>
  <c r="DN20" i="110"/>
  <c r="DO20" i="110"/>
  <c r="DP20" i="110"/>
  <c r="DQ20" i="110"/>
  <c r="DR20" i="110"/>
  <c r="I21" i="110"/>
  <c r="AD21" i="110"/>
  <c r="Q21" i="110"/>
  <c r="R21" i="110"/>
  <c r="U21" i="110"/>
  <c r="V21" i="110"/>
  <c r="W21" i="110"/>
  <c r="X21" i="110"/>
  <c r="Y21" i="110"/>
  <c r="AA21" i="110"/>
  <c r="AE21" i="110"/>
  <c r="AG21" i="110"/>
  <c r="AH21" i="110"/>
  <c r="AI21" i="110"/>
  <c r="AJ21" i="110"/>
  <c r="AK21" i="110"/>
  <c r="AL21" i="110"/>
  <c r="AM21" i="110"/>
  <c r="AN21" i="110"/>
  <c r="AO21" i="110"/>
  <c r="AP21" i="110"/>
  <c r="AQ21" i="110"/>
  <c r="AR21" i="110"/>
  <c r="AS21" i="110"/>
  <c r="AT21" i="110"/>
  <c r="AU21" i="110"/>
  <c r="AV21" i="110"/>
  <c r="AW21" i="110"/>
  <c r="AX21" i="110"/>
  <c r="BL21" i="110"/>
  <c r="BO21" i="110"/>
  <c r="BR21" i="110"/>
  <c r="BU21" i="110"/>
  <c r="BX21" i="110"/>
  <c r="CA21" i="110"/>
  <c r="CD21" i="110"/>
  <c r="CG21" i="110"/>
  <c r="CJ21" i="110"/>
  <c r="CT21" i="110"/>
  <c r="CY21" i="110"/>
  <c r="DM21" i="110"/>
  <c r="DN21" i="110"/>
  <c r="DO21" i="110"/>
  <c r="DP21" i="110"/>
  <c r="DQ21" i="110"/>
  <c r="DR21" i="110"/>
  <c r="I22" i="110"/>
  <c r="AD22" i="110"/>
  <c r="Q22" i="110"/>
  <c r="R22" i="110"/>
  <c r="U22" i="110"/>
  <c r="V22" i="110"/>
  <c r="W22" i="110"/>
  <c r="X22" i="110"/>
  <c r="Y22" i="110"/>
  <c r="AA22" i="110"/>
  <c r="AE22" i="110"/>
  <c r="AG22" i="110"/>
  <c r="AH22" i="110"/>
  <c r="AI22" i="110"/>
  <c r="AJ22" i="110"/>
  <c r="AK22" i="110"/>
  <c r="AL22" i="110"/>
  <c r="AM22" i="110"/>
  <c r="AN22" i="110"/>
  <c r="AO22" i="110"/>
  <c r="AP22" i="110"/>
  <c r="AQ22" i="110"/>
  <c r="AR22" i="110"/>
  <c r="AS22" i="110"/>
  <c r="AT22" i="110"/>
  <c r="AU22" i="110"/>
  <c r="AV22" i="110"/>
  <c r="AW22" i="110"/>
  <c r="AX22" i="110"/>
  <c r="BL22" i="110"/>
  <c r="BO22" i="110"/>
  <c r="BR22" i="110"/>
  <c r="BU22" i="110"/>
  <c r="BX22" i="110"/>
  <c r="CA22" i="110"/>
  <c r="CD22" i="110"/>
  <c r="CG22" i="110"/>
  <c r="CJ22" i="110"/>
  <c r="CT22" i="110"/>
  <c r="CY22" i="110"/>
  <c r="DM22" i="110"/>
  <c r="DN22" i="110"/>
  <c r="DO22" i="110"/>
  <c r="DP22" i="110"/>
  <c r="DQ22" i="110"/>
  <c r="DR22" i="110"/>
  <c r="I23" i="110"/>
  <c r="AD23" i="110"/>
  <c r="Q23" i="110"/>
  <c r="R23" i="110"/>
  <c r="U23" i="110"/>
  <c r="V23" i="110"/>
  <c r="W23" i="110"/>
  <c r="X23" i="110"/>
  <c r="Y23" i="110"/>
  <c r="AA23" i="110"/>
  <c r="AE23" i="110"/>
  <c r="AG23" i="110"/>
  <c r="AH23" i="110"/>
  <c r="AI23" i="110"/>
  <c r="AJ23" i="110"/>
  <c r="AK23" i="110"/>
  <c r="AL23" i="110"/>
  <c r="AM23" i="110"/>
  <c r="AN23" i="110"/>
  <c r="AO23" i="110"/>
  <c r="AP23" i="110"/>
  <c r="AQ23" i="110"/>
  <c r="AR23" i="110"/>
  <c r="AS23" i="110"/>
  <c r="AT23" i="110"/>
  <c r="AU23" i="110"/>
  <c r="AV23" i="110"/>
  <c r="AW23" i="110"/>
  <c r="AX23" i="110"/>
  <c r="BL23" i="110"/>
  <c r="BO23" i="110"/>
  <c r="BR23" i="110"/>
  <c r="BU23" i="110"/>
  <c r="BX23" i="110"/>
  <c r="CA23" i="110"/>
  <c r="CD23" i="110"/>
  <c r="CG23" i="110"/>
  <c r="CJ23" i="110"/>
  <c r="CT23" i="110"/>
  <c r="CY23" i="110"/>
  <c r="DM23" i="110"/>
  <c r="DN23" i="110"/>
  <c r="DO23" i="110"/>
  <c r="DP23" i="110"/>
  <c r="DQ23" i="110"/>
  <c r="DR23" i="110"/>
  <c r="I24" i="110"/>
  <c r="AD24" i="110"/>
  <c r="Q24" i="110"/>
  <c r="R24" i="110"/>
  <c r="U24" i="110"/>
  <c r="V24" i="110"/>
  <c r="W24" i="110"/>
  <c r="X24" i="110"/>
  <c r="Y24" i="110"/>
  <c r="AA24" i="110"/>
  <c r="AE24" i="110"/>
  <c r="AG24" i="110"/>
  <c r="AH24" i="110"/>
  <c r="AI24" i="110"/>
  <c r="AJ24" i="110"/>
  <c r="AK24" i="110"/>
  <c r="AL24" i="110"/>
  <c r="AM24" i="110"/>
  <c r="AN24" i="110"/>
  <c r="AO24" i="110"/>
  <c r="AP24" i="110"/>
  <c r="AQ24" i="110"/>
  <c r="AR24" i="110"/>
  <c r="AS24" i="110"/>
  <c r="AT24" i="110"/>
  <c r="AU24" i="110"/>
  <c r="AV24" i="110"/>
  <c r="AW24" i="110"/>
  <c r="AX24" i="110"/>
  <c r="BL24" i="110"/>
  <c r="BO24" i="110"/>
  <c r="BR24" i="110"/>
  <c r="BU24" i="110"/>
  <c r="BX24" i="110"/>
  <c r="CA24" i="110"/>
  <c r="CD24" i="110"/>
  <c r="CG24" i="110"/>
  <c r="CJ24" i="110"/>
  <c r="CT24" i="110"/>
  <c r="CY24" i="110"/>
  <c r="DM24" i="110"/>
  <c r="DN24" i="110"/>
  <c r="DO24" i="110"/>
  <c r="DP24" i="110"/>
  <c r="DQ24" i="110"/>
  <c r="DR24" i="110"/>
  <c r="I25" i="110"/>
  <c r="AD25" i="110"/>
  <c r="Q25" i="110"/>
  <c r="R25" i="110"/>
  <c r="U25" i="110"/>
  <c r="V25" i="110"/>
  <c r="W25" i="110"/>
  <c r="X25" i="110"/>
  <c r="Y25" i="110"/>
  <c r="AA25" i="110"/>
  <c r="AE25" i="110"/>
  <c r="AG25" i="110"/>
  <c r="AH25" i="110"/>
  <c r="AI25" i="110"/>
  <c r="AJ25" i="110"/>
  <c r="AK25" i="110"/>
  <c r="AL25" i="110"/>
  <c r="AM25" i="110"/>
  <c r="AN25" i="110"/>
  <c r="AO25" i="110"/>
  <c r="AP25" i="110"/>
  <c r="AQ25" i="110"/>
  <c r="AR25" i="110"/>
  <c r="AS25" i="110"/>
  <c r="AT25" i="110"/>
  <c r="AU25" i="110"/>
  <c r="AV25" i="110"/>
  <c r="AW25" i="110"/>
  <c r="AX25" i="110"/>
  <c r="BL25" i="110"/>
  <c r="BO25" i="110"/>
  <c r="BR25" i="110"/>
  <c r="BU25" i="110"/>
  <c r="BX25" i="110"/>
  <c r="CA25" i="110"/>
  <c r="CD25" i="110"/>
  <c r="CG25" i="110"/>
  <c r="CJ25" i="110"/>
  <c r="CT25" i="110"/>
  <c r="CY25" i="110"/>
  <c r="DM25" i="110"/>
  <c r="DN25" i="110"/>
  <c r="DO25" i="110"/>
  <c r="DP25" i="110"/>
  <c r="DQ25" i="110"/>
  <c r="DR25" i="110"/>
  <c r="I26" i="110"/>
  <c r="AD26" i="110"/>
  <c r="Q26" i="110"/>
  <c r="R26" i="110"/>
  <c r="U26" i="110"/>
  <c r="V26" i="110"/>
  <c r="W26" i="110"/>
  <c r="X26" i="110"/>
  <c r="Y26" i="110"/>
  <c r="AA26" i="110"/>
  <c r="AE26" i="110"/>
  <c r="AG26" i="110"/>
  <c r="AH26" i="110"/>
  <c r="AI26" i="110"/>
  <c r="AJ26" i="110"/>
  <c r="AK26" i="110"/>
  <c r="AL26" i="110"/>
  <c r="AM26" i="110"/>
  <c r="AN26" i="110"/>
  <c r="AO26" i="110"/>
  <c r="AP26" i="110"/>
  <c r="AQ26" i="110"/>
  <c r="AR26" i="110"/>
  <c r="AS26" i="110"/>
  <c r="AT26" i="110"/>
  <c r="AU26" i="110"/>
  <c r="AV26" i="110"/>
  <c r="AW26" i="110"/>
  <c r="AX26" i="110"/>
  <c r="BL26" i="110"/>
  <c r="BO26" i="110"/>
  <c r="BR26" i="110"/>
  <c r="BU26" i="110"/>
  <c r="BX26" i="110"/>
  <c r="CA26" i="110"/>
  <c r="CD26" i="110"/>
  <c r="CG26" i="110"/>
  <c r="CJ26" i="110"/>
  <c r="CT26" i="110"/>
  <c r="CY26" i="110"/>
  <c r="DM26" i="110"/>
  <c r="DN26" i="110"/>
  <c r="DO26" i="110"/>
  <c r="DP26" i="110"/>
  <c r="DQ26" i="110"/>
  <c r="DR26" i="110"/>
  <c r="I27" i="110"/>
  <c r="AD27" i="110"/>
  <c r="Q27" i="110"/>
  <c r="R27" i="110"/>
  <c r="U27" i="110"/>
  <c r="V27" i="110"/>
  <c r="W27" i="110"/>
  <c r="X27" i="110"/>
  <c r="Y27" i="110"/>
  <c r="AA27" i="110"/>
  <c r="AE27" i="110"/>
  <c r="AG27" i="110"/>
  <c r="AH27" i="110"/>
  <c r="AI27" i="110"/>
  <c r="AJ27" i="110"/>
  <c r="AK27" i="110"/>
  <c r="AL27" i="110"/>
  <c r="AM27" i="110"/>
  <c r="AN27" i="110"/>
  <c r="AO27" i="110"/>
  <c r="AP27" i="110"/>
  <c r="AQ27" i="110"/>
  <c r="AR27" i="110"/>
  <c r="AS27" i="110"/>
  <c r="AT27" i="110"/>
  <c r="AU27" i="110"/>
  <c r="AV27" i="110"/>
  <c r="AW27" i="110"/>
  <c r="AX27" i="110"/>
  <c r="BL27" i="110"/>
  <c r="BO27" i="110"/>
  <c r="BR27" i="110"/>
  <c r="BU27" i="110"/>
  <c r="BX27" i="110"/>
  <c r="CA27" i="110"/>
  <c r="CD27" i="110"/>
  <c r="CG27" i="110"/>
  <c r="CJ27" i="110"/>
  <c r="CT27" i="110"/>
  <c r="CY27" i="110"/>
  <c r="DM27" i="110"/>
  <c r="DN27" i="110"/>
  <c r="DO27" i="110"/>
  <c r="DP27" i="110"/>
  <c r="DQ27" i="110"/>
  <c r="DR27" i="110"/>
  <c r="I28" i="110"/>
  <c r="AD28" i="110"/>
  <c r="Q28" i="110"/>
  <c r="R28" i="110"/>
  <c r="U28" i="110"/>
  <c r="V28" i="110"/>
  <c r="W28" i="110"/>
  <c r="X28" i="110"/>
  <c r="Y28" i="110"/>
  <c r="AA28" i="110"/>
  <c r="AE28" i="110"/>
  <c r="AG28" i="110"/>
  <c r="AH28" i="110"/>
  <c r="AI28" i="110"/>
  <c r="AJ28" i="110"/>
  <c r="AK28" i="110"/>
  <c r="AL28" i="110"/>
  <c r="AM28" i="110"/>
  <c r="AN28" i="110"/>
  <c r="AO28" i="110"/>
  <c r="AP28" i="110"/>
  <c r="AQ28" i="110"/>
  <c r="AR28" i="110"/>
  <c r="AS28" i="110"/>
  <c r="AT28" i="110"/>
  <c r="AU28" i="110"/>
  <c r="AV28" i="110"/>
  <c r="AW28" i="110"/>
  <c r="AX28" i="110"/>
  <c r="BL28" i="110"/>
  <c r="BO28" i="110"/>
  <c r="BR28" i="110"/>
  <c r="BU28" i="110"/>
  <c r="BX28" i="110"/>
  <c r="CA28" i="110"/>
  <c r="CD28" i="110"/>
  <c r="CG28" i="110"/>
  <c r="CJ28" i="110"/>
  <c r="CT28" i="110"/>
  <c r="CY28" i="110"/>
  <c r="DM28" i="110"/>
  <c r="DN28" i="110"/>
  <c r="DO28" i="110"/>
  <c r="DP28" i="110"/>
  <c r="DQ28" i="110"/>
  <c r="DR28" i="110"/>
  <c r="I29" i="110"/>
  <c r="AD29" i="110"/>
  <c r="Q29" i="110"/>
  <c r="R29" i="110"/>
  <c r="U29" i="110"/>
  <c r="V29" i="110"/>
  <c r="W29" i="110"/>
  <c r="X29" i="110"/>
  <c r="Y29" i="110"/>
  <c r="AA29" i="110"/>
  <c r="AE29" i="110"/>
  <c r="AG29" i="110"/>
  <c r="AH29" i="110"/>
  <c r="AI29" i="110"/>
  <c r="AJ29" i="110"/>
  <c r="AK29" i="110"/>
  <c r="AL29" i="110"/>
  <c r="AM29" i="110"/>
  <c r="AN29" i="110"/>
  <c r="AO29" i="110"/>
  <c r="AP29" i="110"/>
  <c r="AQ29" i="110"/>
  <c r="AR29" i="110"/>
  <c r="AS29" i="110"/>
  <c r="AT29" i="110"/>
  <c r="AU29" i="110"/>
  <c r="AV29" i="110"/>
  <c r="AW29" i="110"/>
  <c r="AX29" i="110"/>
  <c r="BL29" i="110"/>
  <c r="BO29" i="110"/>
  <c r="BR29" i="110"/>
  <c r="BU29" i="110"/>
  <c r="BX29" i="110"/>
  <c r="CA29" i="110"/>
  <c r="CD29" i="110"/>
  <c r="CG29" i="110"/>
  <c r="CJ29" i="110"/>
  <c r="CT29" i="110"/>
  <c r="CY29" i="110"/>
  <c r="DM29" i="110"/>
  <c r="DN29" i="110"/>
  <c r="DO29" i="110"/>
  <c r="DP29" i="110"/>
  <c r="DQ29" i="110"/>
  <c r="DR29" i="110"/>
  <c r="I30" i="110"/>
  <c r="AD30" i="110"/>
  <c r="Q30" i="110"/>
  <c r="R30" i="110"/>
  <c r="U30" i="110"/>
  <c r="V30" i="110"/>
  <c r="W30" i="110"/>
  <c r="X30" i="110"/>
  <c r="Y30" i="110"/>
  <c r="AA30" i="110"/>
  <c r="AE30" i="110"/>
  <c r="AG30" i="110"/>
  <c r="AH30" i="110"/>
  <c r="AI30" i="110"/>
  <c r="AJ30" i="110"/>
  <c r="AK30" i="110"/>
  <c r="AL30" i="110"/>
  <c r="AM30" i="110"/>
  <c r="AN30" i="110"/>
  <c r="AO30" i="110"/>
  <c r="AP30" i="110"/>
  <c r="AQ30" i="110"/>
  <c r="AR30" i="110"/>
  <c r="AS30" i="110"/>
  <c r="AT30" i="110"/>
  <c r="AU30" i="110"/>
  <c r="AV30" i="110"/>
  <c r="AW30" i="110"/>
  <c r="AX30" i="110"/>
  <c r="BL30" i="110"/>
  <c r="BO30" i="110"/>
  <c r="BR30" i="110"/>
  <c r="BU30" i="110"/>
  <c r="BX30" i="110"/>
  <c r="CA30" i="110"/>
  <c r="CD30" i="110"/>
  <c r="CG30" i="110"/>
  <c r="CJ30" i="110"/>
  <c r="CT30" i="110"/>
  <c r="CY30" i="110"/>
  <c r="DM30" i="110"/>
  <c r="DN30" i="110"/>
  <c r="DO30" i="110"/>
  <c r="DP30" i="110"/>
  <c r="DQ30" i="110"/>
  <c r="DR30" i="110"/>
  <c r="I31" i="110"/>
  <c r="AD31" i="110"/>
  <c r="Q31" i="110"/>
  <c r="R31" i="110"/>
  <c r="U31" i="110"/>
  <c r="V31" i="110"/>
  <c r="W31" i="110"/>
  <c r="X31" i="110"/>
  <c r="Y31" i="110"/>
  <c r="AA31" i="110"/>
  <c r="AE31" i="110"/>
  <c r="AG31" i="110"/>
  <c r="AH31" i="110"/>
  <c r="AI31" i="110"/>
  <c r="AJ31" i="110"/>
  <c r="AK31" i="110"/>
  <c r="AL31" i="110"/>
  <c r="AM31" i="110"/>
  <c r="AN31" i="110"/>
  <c r="AO31" i="110"/>
  <c r="AP31" i="110"/>
  <c r="AQ31" i="110"/>
  <c r="AR31" i="110"/>
  <c r="AS31" i="110"/>
  <c r="AT31" i="110"/>
  <c r="AU31" i="110"/>
  <c r="AV31" i="110"/>
  <c r="AW31" i="110"/>
  <c r="AX31" i="110"/>
  <c r="BL31" i="110"/>
  <c r="BO31" i="110"/>
  <c r="BR31" i="110"/>
  <c r="BU31" i="110"/>
  <c r="BX31" i="110"/>
  <c r="CA31" i="110"/>
  <c r="CD31" i="110"/>
  <c r="CG31" i="110"/>
  <c r="CJ31" i="110"/>
  <c r="CT31" i="110"/>
  <c r="CY31" i="110"/>
  <c r="DM31" i="110"/>
  <c r="DN31" i="110"/>
  <c r="DO31" i="110"/>
  <c r="DP31" i="110"/>
  <c r="DQ31" i="110"/>
  <c r="DR31" i="110"/>
  <c r="I32" i="110"/>
  <c r="AD32" i="110"/>
  <c r="Q32" i="110"/>
  <c r="R32" i="110"/>
  <c r="U32" i="110"/>
  <c r="V32" i="110"/>
  <c r="W32" i="110"/>
  <c r="X32" i="110"/>
  <c r="Y32" i="110"/>
  <c r="AA32" i="110"/>
  <c r="AE32" i="110"/>
  <c r="AG32" i="110"/>
  <c r="AH32" i="110"/>
  <c r="AI32" i="110"/>
  <c r="AJ32" i="110"/>
  <c r="AK32" i="110"/>
  <c r="AL32" i="110"/>
  <c r="AM32" i="110"/>
  <c r="AN32" i="110"/>
  <c r="AO32" i="110"/>
  <c r="AP32" i="110"/>
  <c r="AQ32" i="110"/>
  <c r="AR32" i="110"/>
  <c r="AS32" i="110"/>
  <c r="AT32" i="110"/>
  <c r="AU32" i="110"/>
  <c r="AV32" i="110"/>
  <c r="AW32" i="110"/>
  <c r="AX32" i="110"/>
  <c r="BL32" i="110"/>
  <c r="BO32" i="110"/>
  <c r="BR32" i="110"/>
  <c r="BU32" i="110"/>
  <c r="BX32" i="110"/>
  <c r="CA32" i="110"/>
  <c r="CD32" i="110"/>
  <c r="CG32" i="110"/>
  <c r="CJ32" i="110"/>
  <c r="CT32" i="110"/>
  <c r="CY32" i="110"/>
  <c r="DM32" i="110"/>
  <c r="DN32" i="110"/>
  <c r="DO32" i="110"/>
  <c r="DP32" i="110"/>
  <c r="DQ32" i="110"/>
  <c r="DR32" i="110"/>
  <c r="I33" i="110"/>
  <c r="AD33" i="110"/>
  <c r="Q33" i="110"/>
  <c r="R33" i="110"/>
  <c r="U33" i="110"/>
  <c r="V33" i="110"/>
  <c r="W33" i="110"/>
  <c r="X33" i="110"/>
  <c r="Y33" i="110"/>
  <c r="AA33" i="110"/>
  <c r="AE33" i="110"/>
  <c r="AG33" i="110"/>
  <c r="AH33" i="110"/>
  <c r="AI33" i="110"/>
  <c r="AJ33" i="110"/>
  <c r="AK33" i="110"/>
  <c r="AL33" i="110"/>
  <c r="AM33" i="110"/>
  <c r="AN33" i="110"/>
  <c r="AO33" i="110"/>
  <c r="AP33" i="110"/>
  <c r="AQ33" i="110"/>
  <c r="AR33" i="110"/>
  <c r="AS33" i="110"/>
  <c r="AT33" i="110"/>
  <c r="AU33" i="110"/>
  <c r="AV33" i="110"/>
  <c r="AW33" i="110"/>
  <c r="AX33" i="110"/>
  <c r="BL33" i="110"/>
  <c r="BO33" i="110"/>
  <c r="BR33" i="110"/>
  <c r="BU33" i="110"/>
  <c r="BX33" i="110"/>
  <c r="CA33" i="110"/>
  <c r="CD33" i="110"/>
  <c r="CG33" i="110"/>
  <c r="CJ33" i="110"/>
  <c r="CT33" i="110"/>
  <c r="CY33" i="110"/>
  <c r="DM33" i="110"/>
  <c r="DN33" i="110"/>
  <c r="DO33" i="110"/>
  <c r="DP33" i="110"/>
  <c r="DQ33" i="110"/>
  <c r="DR33" i="110"/>
  <c r="I34" i="110"/>
  <c r="AD34" i="110"/>
  <c r="Q34" i="110"/>
  <c r="R34" i="110"/>
  <c r="U34" i="110"/>
  <c r="V34" i="110"/>
  <c r="W34" i="110"/>
  <c r="X34" i="110"/>
  <c r="Y34" i="110"/>
  <c r="AA34" i="110"/>
  <c r="AE34" i="110"/>
  <c r="AG34" i="110"/>
  <c r="AH34" i="110"/>
  <c r="AI34" i="110"/>
  <c r="AJ34" i="110"/>
  <c r="AK34" i="110"/>
  <c r="AL34" i="110"/>
  <c r="AM34" i="110"/>
  <c r="AN34" i="110"/>
  <c r="AO34" i="110"/>
  <c r="AP34" i="110"/>
  <c r="AQ34" i="110"/>
  <c r="AR34" i="110"/>
  <c r="AS34" i="110"/>
  <c r="AT34" i="110"/>
  <c r="AU34" i="110"/>
  <c r="AV34" i="110"/>
  <c r="AW34" i="110"/>
  <c r="AX34" i="110"/>
  <c r="BL34" i="110"/>
  <c r="BO34" i="110"/>
  <c r="BR34" i="110"/>
  <c r="BU34" i="110"/>
  <c r="BX34" i="110"/>
  <c r="CA34" i="110"/>
  <c r="CD34" i="110"/>
  <c r="CG34" i="110"/>
  <c r="CJ34" i="110"/>
  <c r="CT34" i="110"/>
  <c r="CY34" i="110"/>
  <c r="DM34" i="110"/>
  <c r="DN34" i="110"/>
  <c r="DO34" i="110"/>
  <c r="DP34" i="110"/>
  <c r="DQ34" i="110"/>
  <c r="DR34" i="110"/>
  <c r="I35" i="110"/>
  <c r="AD35" i="110"/>
  <c r="Q35" i="110"/>
  <c r="R35" i="110"/>
  <c r="U35" i="110"/>
  <c r="V35" i="110"/>
  <c r="W35" i="110"/>
  <c r="X35" i="110"/>
  <c r="Y35" i="110"/>
  <c r="AA35" i="110"/>
  <c r="AE35" i="110"/>
  <c r="AG35" i="110"/>
  <c r="AH35" i="110"/>
  <c r="AI35" i="110"/>
  <c r="AJ35" i="110"/>
  <c r="AK35" i="110"/>
  <c r="AL35" i="110"/>
  <c r="AM35" i="110"/>
  <c r="AN35" i="110"/>
  <c r="AO35" i="110"/>
  <c r="AP35" i="110"/>
  <c r="AQ35" i="110"/>
  <c r="AR35" i="110"/>
  <c r="AS35" i="110"/>
  <c r="AT35" i="110"/>
  <c r="AU35" i="110"/>
  <c r="AV35" i="110"/>
  <c r="AW35" i="110"/>
  <c r="AX35" i="110"/>
  <c r="BL35" i="110"/>
  <c r="BO35" i="110"/>
  <c r="BR35" i="110"/>
  <c r="BU35" i="110"/>
  <c r="BX35" i="110"/>
  <c r="CA35" i="110"/>
  <c r="CD35" i="110"/>
  <c r="CG35" i="110"/>
  <c r="CJ35" i="110"/>
  <c r="CT35" i="110"/>
  <c r="CY35" i="110"/>
  <c r="DM35" i="110"/>
  <c r="DN35" i="110"/>
  <c r="DO35" i="110"/>
  <c r="DP35" i="110"/>
  <c r="DQ35" i="110"/>
  <c r="DR35" i="110"/>
  <c r="I36" i="110"/>
  <c r="AD36" i="110"/>
  <c r="Q36" i="110"/>
  <c r="R36" i="110"/>
  <c r="U36" i="110"/>
  <c r="V36" i="110"/>
  <c r="W36" i="110"/>
  <c r="X36" i="110"/>
  <c r="Y36" i="110"/>
  <c r="AA36" i="110"/>
  <c r="AE36" i="110"/>
  <c r="AG36" i="110"/>
  <c r="AH36" i="110"/>
  <c r="AI36" i="110"/>
  <c r="AJ36" i="110"/>
  <c r="AK36" i="110"/>
  <c r="AL36" i="110"/>
  <c r="AM36" i="110"/>
  <c r="AN36" i="110"/>
  <c r="AO36" i="110"/>
  <c r="AP36" i="110"/>
  <c r="AQ36" i="110"/>
  <c r="AR36" i="110"/>
  <c r="AS36" i="110"/>
  <c r="AT36" i="110"/>
  <c r="AU36" i="110"/>
  <c r="AV36" i="110"/>
  <c r="AW36" i="110"/>
  <c r="AX36" i="110"/>
  <c r="BL36" i="110"/>
  <c r="BO36" i="110"/>
  <c r="BR36" i="110"/>
  <c r="BU36" i="110"/>
  <c r="BX36" i="110"/>
  <c r="CA36" i="110"/>
  <c r="CD36" i="110"/>
  <c r="CG36" i="110"/>
  <c r="CJ36" i="110"/>
  <c r="CT36" i="110"/>
  <c r="CY36" i="110"/>
  <c r="DM36" i="110"/>
  <c r="DN36" i="110"/>
  <c r="DO36" i="110"/>
  <c r="DP36" i="110"/>
  <c r="DQ36" i="110"/>
  <c r="DR36" i="110"/>
  <c r="I37" i="110"/>
  <c r="AD37" i="110"/>
  <c r="Q37" i="110"/>
  <c r="R37" i="110"/>
  <c r="U37" i="110"/>
  <c r="V37" i="110"/>
  <c r="W37" i="110"/>
  <c r="X37" i="110"/>
  <c r="Y37" i="110"/>
  <c r="AA37" i="110"/>
  <c r="AE37" i="110"/>
  <c r="AG37" i="110"/>
  <c r="AH37" i="110"/>
  <c r="AI37" i="110"/>
  <c r="AJ37" i="110"/>
  <c r="AK37" i="110"/>
  <c r="AL37" i="110"/>
  <c r="AM37" i="110"/>
  <c r="AN37" i="110"/>
  <c r="AO37" i="110"/>
  <c r="AP37" i="110"/>
  <c r="AQ37" i="110"/>
  <c r="AR37" i="110"/>
  <c r="AS37" i="110"/>
  <c r="AT37" i="110"/>
  <c r="AU37" i="110"/>
  <c r="AV37" i="110"/>
  <c r="AW37" i="110"/>
  <c r="AX37" i="110"/>
  <c r="BL37" i="110"/>
  <c r="BO37" i="110"/>
  <c r="BR37" i="110"/>
  <c r="BU37" i="110"/>
  <c r="BX37" i="110"/>
  <c r="CA37" i="110"/>
  <c r="CD37" i="110"/>
  <c r="CG37" i="110"/>
  <c r="CJ37" i="110"/>
  <c r="CT37" i="110"/>
  <c r="CY37" i="110"/>
  <c r="DM37" i="110"/>
  <c r="DN37" i="110"/>
  <c r="DO37" i="110"/>
  <c r="DP37" i="110"/>
  <c r="DQ37" i="110"/>
  <c r="DR37" i="110"/>
  <c r="I38" i="110"/>
  <c r="AD38" i="110"/>
  <c r="Q38" i="110"/>
  <c r="R38" i="110"/>
  <c r="U38" i="110"/>
  <c r="V38" i="110"/>
  <c r="W38" i="110"/>
  <c r="X38" i="110"/>
  <c r="Y38" i="110"/>
  <c r="AA38" i="110"/>
  <c r="AE38" i="110"/>
  <c r="AG38" i="110"/>
  <c r="AH38" i="110"/>
  <c r="AI38" i="110"/>
  <c r="AJ38" i="110"/>
  <c r="AK38" i="110"/>
  <c r="AL38" i="110"/>
  <c r="AM38" i="110"/>
  <c r="AN38" i="110"/>
  <c r="AO38" i="110"/>
  <c r="AP38" i="110"/>
  <c r="AQ38" i="110"/>
  <c r="AR38" i="110"/>
  <c r="AS38" i="110"/>
  <c r="AT38" i="110"/>
  <c r="AU38" i="110"/>
  <c r="AV38" i="110"/>
  <c r="AW38" i="110"/>
  <c r="AX38" i="110"/>
  <c r="BL38" i="110"/>
  <c r="BO38" i="110"/>
  <c r="BR38" i="110"/>
  <c r="BU38" i="110"/>
  <c r="BX38" i="110"/>
  <c r="CA38" i="110"/>
  <c r="CD38" i="110"/>
  <c r="CG38" i="110"/>
  <c r="CJ38" i="110"/>
  <c r="CT38" i="110"/>
  <c r="CY38" i="110"/>
  <c r="DM38" i="110"/>
  <c r="DN38" i="110"/>
  <c r="DO38" i="110"/>
  <c r="DP38" i="110"/>
  <c r="DQ38" i="110"/>
  <c r="DR38" i="110"/>
  <c r="I39" i="110"/>
  <c r="AD39" i="110"/>
  <c r="Q39" i="110"/>
  <c r="R39" i="110"/>
  <c r="U39" i="110"/>
  <c r="V39" i="110"/>
  <c r="W39" i="110"/>
  <c r="X39" i="110"/>
  <c r="Y39" i="110"/>
  <c r="AA39" i="110"/>
  <c r="AE39" i="110"/>
  <c r="AG39" i="110"/>
  <c r="AH39" i="110"/>
  <c r="AI39" i="110"/>
  <c r="AJ39" i="110"/>
  <c r="AK39" i="110"/>
  <c r="AL39" i="110"/>
  <c r="AM39" i="110"/>
  <c r="AN39" i="110"/>
  <c r="AO39" i="110"/>
  <c r="AP39" i="110"/>
  <c r="AQ39" i="110"/>
  <c r="AR39" i="110"/>
  <c r="AS39" i="110"/>
  <c r="AT39" i="110"/>
  <c r="AU39" i="110"/>
  <c r="AV39" i="110"/>
  <c r="AW39" i="110"/>
  <c r="AX39" i="110"/>
  <c r="BL39" i="110"/>
  <c r="BO39" i="110"/>
  <c r="BR39" i="110"/>
  <c r="BU39" i="110"/>
  <c r="BX39" i="110"/>
  <c r="CA39" i="110"/>
  <c r="CD39" i="110"/>
  <c r="CG39" i="110"/>
  <c r="CJ39" i="110"/>
  <c r="CT39" i="110"/>
  <c r="CY39" i="110"/>
  <c r="DM39" i="110"/>
  <c r="DN39" i="110"/>
  <c r="DO39" i="110"/>
  <c r="DP39" i="110"/>
  <c r="DQ39" i="110"/>
  <c r="DR39" i="110"/>
  <c r="I40" i="110"/>
  <c r="AD40" i="110"/>
  <c r="Q40" i="110"/>
  <c r="R40" i="110"/>
  <c r="U40" i="110"/>
  <c r="V40" i="110"/>
  <c r="W40" i="110"/>
  <c r="X40" i="110"/>
  <c r="Y40" i="110"/>
  <c r="AA40" i="110"/>
  <c r="AE40" i="110"/>
  <c r="AG40" i="110"/>
  <c r="AH40" i="110"/>
  <c r="AI40" i="110"/>
  <c r="AJ40" i="110"/>
  <c r="AK40" i="110"/>
  <c r="AL40" i="110"/>
  <c r="AM40" i="110"/>
  <c r="AN40" i="110"/>
  <c r="AO40" i="110"/>
  <c r="AP40" i="110"/>
  <c r="AQ40" i="110"/>
  <c r="AR40" i="110"/>
  <c r="AS40" i="110"/>
  <c r="AT40" i="110"/>
  <c r="AU40" i="110"/>
  <c r="AV40" i="110"/>
  <c r="AW40" i="110"/>
  <c r="AX40" i="110"/>
  <c r="BL40" i="110"/>
  <c r="BO40" i="110"/>
  <c r="BR40" i="110"/>
  <c r="BU40" i="110"/>
  <c r="BX40" i="110"/>
  <c r="CA40" i="110"/>
  <c r="CD40" i="110"/>
  <c r="CG40" i="110"/>
  <c r="CJ40" i="110"/>
  <c r="CT40" i="110"/>
  <c r="CY40" i="110"/>
  <c r="DM40" i="110"/>
  <c r="DN40" i="110"/>
  <c r="DO40" i="110"/>
  <c r="DP40" i="110"/>
  <c r="DQ40" i="110"/>
  <c r="DR40" i="110"/>
  <c r="I41" i="110"/>
  <c r="AD41" i="110"/>
  <c r="Q41" i="110"/>
  <c r="R41" i="110"/>
  <c r="U41" i="110"/>
  <c r="V41" i="110"/>
  <c r="W41" i="110"/>
  <c r="X41" i="110"/>
  <c r="Y41" i="110"/>
  <c r="AA41" i="110"/>
  <c r="AE41" i="110"/>
  <c r="AG41" i="110"/>
  <c r="AH41" i="110"/>
  <c r="AI41" i="110"/>
  <c r="AJ41" i="110"/>
  <c r="AK41" i="110"/>
  <c r="AL41" i="110"/>
  <c r="AM41" i="110"/>
  <c r="AN41" i="110"/>
  <c r="AO41" i="110"/>
  <c r="AP41" i="110"/>
  <c r="AQ41" i="110"/>
  <c r="AR41" i="110"/>
  <c r="AS41" i="110"/>
  <c r="AT41" i="110"/>
  <c r="AU41" i="110"/>
  <c r="AV41" i="110"/>
  <c r="AW41" i="110"/>
  <c r="AX41" i="110"/>
  <c r="BL41" i="110"/>
  <c r="BO41" i="110"/>
  <c r="BR41" i="110"/>
  <c r="BU41" i="110"/>
  <c r="BX41" i="110"/>
  <c r="CA41" i="110"/>
  <c r="CD41" i="110"/>
  <c r="CG41" i="110"/>
  <c r="CJ41" i="110"/>
  <c r="CT41" i="110"/>
  <c r="CY41" i="110"/>
  <c r="DM41" i="110"/>
  <c r="DN41" i="110"/>
  <c r="DO41" i="110"/>
  <c r="DP41" i="110"/>
  <c r="DQ41" i="110"/>
  <c r="DR41" i="110"/>
  <c r="I42" i="110"/>
  <c r="AD42" i="110"/>
  <c r="Q42" i="110"/>
  <c r="R42" i="110"/>
  <c r="U42" i="110"/>
  <c r="V42" i="110"/>
  <c r="W42" i="110"/>
  <c r="X42" i="110"/>
  <c r="Y42" i="110"/>
  <c r="AA42" i="110"/>
  <c r="AE42" i="110"/>
  <c r="AG42" i="110"/>
  <c r="AH42" i="110"/>
  <c r="AI42" i="110"/>
  <c r="AJ42" i="110"/>
  <c r="AK42" i="110"/>
  <c r="AL42" i="110"/>
  <c r="AM42" i="110"/>
  <c r="AN42" i="110"/>
  <c r="AO42" i="110"/>
  <c r="AP42" i="110"/>
  <c r="AQ42" i="110"/>
  <c r="AR42" i="110"/>
  <c r="AS42" i="110"/>
  <c r="AT42" i="110"/>
  <c r="AU42" i="110"/>
  <c r="AV42" i="110"/>
  <c r="AW42" i="110"/>
  <c r="AX42" i="110"/>
  <c r="BL42" i="110"/>
  <c r="BO42" i="110"/>
  <c r="BR42" i="110"/>
  <c r="BU42" i="110"/>
  <c r="BX42" i="110"/>
  <c r="CA42" i="110"/>
  <c r="CD42" i="110"/>
  <c r="CG42" i="110"/>
  <c r="CJ42" i="110"/>
  <c r="CT42" i="110"/>
  <c r="CY42" i="110"/>
  <c r="DM42" i="110"/>
  <c r="DN42" i="110"/>
  <c r="DO42" i="110"/>
  <c r="DP42" i="110"/>
  <c r="DQ42" i="110"/>
  <c r="DR42" i="110"/>
  <c r="I43" i="110"/>
  <c r="AD43" i="110"/>
  <c r="Q43" i="110"/>
  <c r="R43" i="110"/>
  <c r="U43" i="110"/>
  <c r="V43" i="110"/>
  <c r="W43" i="110"/>
  <c r="X43" i="110"/>
  <c r="Y43" i="110"/>
  <c r="AA43" i="110"/>
  <c r="AE43" i="110"/>
  <c r="AG43" i="110"/>
  <c r="AH43" i="110"/>
  <c r="AI43" i="110"/>
  <c r="AJ43" i="110"/>
  <c r="AK43" i="110"/>
  <c r="AL43" i="110"/>
  <c r="AM43" i="110"/>
  <c r="AN43" i="110"/>
  <c r="AO43" i="110"/>
  <c r="AP43" i="110"/>
  <c r="AQ43" i="110"/>
  <c r="AR43" i="110"/>
  <c r="AS43" i="110"/>
  <c r="AT43" i="110"/>
  <c r="AU43" i="110"/>
  <c r="AV43" i="110"/>
  <c r="AW43" i="110"/>
  <c r="AX43" i="110"/>
  <c r="BL43" i="110"/>
  <c r="BO43" i="110"/>
  <c r="BR43" i="110"/>
  <c r="BU43" i="110"/>
  <c r="BX43" i="110"/>
  <c r="CA43" i="110"/>
  <c r="CD43" i="110"/>
  <c r="CG43" i="110"/>
  <c r="CJ43" i="110"/>
  <c r="CT43" i="110"/>
  <c r="CY43" i="110"/>
  <c r="DM43" i="110"/>
  <c r="DN43" i="110"/>
  <c r="DO43" i="110"/>
  <c r="DP43" i="110"/>
  <c r="DQ43" i="110"/>
  <c r="DR43" i="110"/>
  <c r="I44" i="110"/>
  <c r="AD44" i="110"/>
  <c r="Q44" i="110"/>
  <c r="R44" i="110"/>
  <c r="U44" i="110"/>
  <c r="V44" i="110"/>
  <c r="W44" i="110"/>
  <c r="X44" i="110"/>
  <c r="Y44" i="110"/>
  <c r="AA44" i="110"/>
  <c r="AE44" i="110"/>
  <c r="AG44" i="110"/>
  <c r="AH44" i="110"/>
  <c r="AI44" i="110"/>
  <c r="AJ44" i="110"/>
  <c r="AK44" i="110"/>
  <c r="AL44" i="110"/>
  <c r="AM44" i="110"/>
  <c r="AN44" i="110"/>
  <c r="AO44" i="110"/>
  <c r="AP44" i="110"/>
  <c r="AQ44" i="110"/>
  <c r="AR44" i="110"/>
  <c r="AS44" i="110"/>
  <c r="AT44" i="110"/>
  <c r="AU44" i="110"/>
  <c r="AV44" i="110"/>
  <c r="AW44" i="110"/>
  <c r="AX44" i="110"/>
  <c r="BL44" i="110"/>
  <c r="BO44" i="110"/>
  <c r="BR44" i="110"/>
  <c r="BU44" i="110"/>
  <c r="BX44" i="110"/>
  <c r="CA44" i="110"/>
  <c r="CD44" i="110"/>
  <c r="CG44" i="110"/>
  <c r="CJ44" i="110"/>
  <c r="CT44" i="110"/>
  <c r="CY44" i="110"/>
  <c r="DM44" i="110"/>
  <c r="DN44" i="110"/>
  <c r="DO44" i="110"/>
  <c r="DP44" i="110"/>
  <c r="DQ44" i="110"/>
  <c r="DR44" i="110"/>
  <c r="I45" i="110"/>
  <c r="AD45" i="110"/>
  <c r="Q45" i="110"/>
  <c r="R45" i="110"/>
  <c r="U45" i="110"/>
  <c r="V45" i="110"/>
  <c r="W45" i="110"/>
  <c r="X45" i="110"/>
  <c r="Y45" i="110"/>
  <c r="AA45" i="110"/>
  <c r="AE45" i="110"/>
  <c r="AG45" i="110"/>
  <c r="AH45" i="110"/>
  <c r="AI45" i="110"/>
  <c r="AJ45" i="110"/>
  <c r="AK45" i="110"/>
  <c r="AL45" i="110"/>
  <c r="AM45" i="110"/>
  <c r="AN45" i="110"/>
  <c r="AO45" i="110"/>
  <c r="AP45" i="110"/>
  <c r="AQ45" i="110"/>
  <c r="AR45" i="110"/>
  <c r="AS45" i="110"/>
  <c r="AT45" i="110"/>
  <c r="AU45" i="110"/>
  <c r="AV45" i="110"/>
  <c r="AW45" i="110"/>
  <c r="AX45" i="110"/>
  <c r="BL45" i="110"/>
  <c r="BO45" i="110"/>
  <c r="BR45" i="110"/>
  <c r="BU45" i="110"/>
  <c r="BX45" i="110"/>
  <c r="CA45" i="110"/>
  <c r="CD45" i="110"/>
  <c r="CG45" i="110"/>
  <c r="CJ45" i="110"/>
  <c r="CT45" i="110"/>
  <c r="CY45" i="110"/>
  <c r="DM45" i="110"/>
  <c r="DN45" i="110"/>
  <c r="DO45" i="110"/>
  <c r="DP45" i="110"/>
  <c r="DQ45" i="110"/>
  <c r="DR45" i="110"/>
  <c r="I46" i="110"/>
  <c r="AD46" i="110"/>
  <c r="Q46" i="110"/>
  <c r="R46" i="110"/>
  <c r="U46" i="110"/>
  <c r="V46" i="110"/>
  <c r="W46" i="110"/>
  <c r="X46" i="110"/>
  <c r="Y46" i="110"/>
  <c r="AA46" i="110"/>
  <c r="AE46" i="110"/>
  <c r="AG46" i="110"/>
  <c r="AH46" i="110"/>
  <c r="AI46" i="110"/>
  <c r="AJ46" i="110"/>
  <c r="AK46" i="110"/>
  <c r="AL46" i="110"/>
  <c r="AM46" i="110"/>
  <c r="AN46" i="110"/>
  <c r="AO46" i="110"/>
  <c r="AP46" i="110"/>
  <c r="AQ46" i="110"/>
  <c r="AR46" i="110"/>
  <c r="AS46" i="110"/>
  <c r="AT46" i="110"/>
  <c r="AU46" i="110"/>
  <c r="AV46" i="110"/>
  <c r="AW46" i="110"/>
  <c r="AX46" i="110"/>
  <c r="BL46" i="110"/>
  <c r="BO46" i="110"/>
  <c r="BR46" i="110"/>
  <c r="BU46" i="110"/>
  <c r="BX46" i="110"/>
  <c r="CA46" i="110"/>
  <c r="CD46" i="110"/>
  <c r="CG46" i="110"/>
  <c r="CJ46" i="110"/>
  <c r="CT46" i="110"/>
  <c r="CY46" i="110"/>
  <c r="DM46" i="110"/>
  <c r="DN46" i="110"/>
  <c r="DO46" i="110"/>
  <c r="DP46" i="110"/>
  <c r="DQ46" i="110"/>
  <c r="DR46" i="110"/>
  <c r="I47" i="110"/>
  <c r="AD47" i="110"/>
  <c r="Q47" i="110"/>
  <c r="R47" i="110"/>
  <c r="U47" i="110"/>
  <c r="V47" i="110"/>
  <c r="W47" i="110"/>
  <c r="X47" i="110"/>
  <c r="Y47" i="110"/>
  <c r="AA47" i="110"/>
  <c r="AE47" i="110"/>
  <c r="AG47" i="110"/>
  <c r="AH47" i="110"/>
  <c r="AI47" i="110"/>
  <c r="AJ47" i="110"/>
  <c r="AK47" i="110"/>
  <c r="AL47" i="110"/>
  <c r="AM47" i="110"/>
  <c r="AN47" i="110"/>
  <c r="AO47" i="110"/>
  <c r="AP47" i="110"/>
  <c r="AQ47" i="110"/>
  <c r="AR47" i="110"/>
  <c r="AS47" i="110"/>
  <c r="AT47" i="110"/>
  <c r="AU47" i="110"/>
  <c r="AV47" i="110"/>
  <c r="AW47" i="110"/>
  <c r="AX47" i="110"/>
  <c r="BL47" i="110"/>
  <c r="BO47" i="110"/>
  <c r="BR47" i="110"/>
  <c r="BU47" i="110"/>
  <c r="BX47" i="110"/>
  <c r="CA47" i="110"/>
  <c r="CD47" i="110"/>
  <c r="CG47" i="110"/>
  <c r="CJ47" i="110"/>
  <c r="CT47" i="110"/>
  <c r="CY47" i="110"/>
  <c r="DM47" i="110"/>
  <c r="DN47" i="110"/>
  <c r="DO47" i="110"/>
  <c r="DP47" i="110"/>
  <c r="DQ47" i="110"/>
  <c r="DR47" i="110"/>
  <c r="I48" i="110"/>
  <c r="AD48" i="110"/>
  <c r="Q48" i="110"/>
  <c r="R48" i="110"/>
  <c r="U48" i="110"/>
  <c r="V48" i="110"/>
  <c r="W48" i="110"/>
  <c r="X48" i="110"/>
  <c r="Y48" i="110"/>
  <c r="AA48" i="110"/>
  <c r="AE48" i="110"/>
  <c r="AG48" i="110"/>
  <c r="AH48" i="110"/>
  <c r="AI48" i="110"/>
  <c r="AJ48" i="110"/>
  <c r="AK48" i="110"/>
  <c r="AL48" i="110"/>
  <c r="AM48" i="110"/>
  <c r="AN48" i="110"/>
  <c r="AO48" i="110"/>
  <c r="AP48" i="110"/>
  <c r="AQ48" i="110"/>
  <c r="AR48" i="110"/>
  <c r="AS48" i="110"/>
  <c r="AT48" i="110"/>
  <c r="AU48" i="110"/>
  <c r="AV48" i="110"/>
  <c r="AW48" i="110"/>
  <c r="AX48" i="110"/>
  <c r="BL48" i="110"/>
  <c r="BO48" i="110"/>
  <c r="BR48" i="110"/>
  <c r="BU48" i="110"/>
  <c r="BX48" i="110"/>
  <c r="CA48" i="110"/>
  <c r="CD48" i="110"/>
  <c r="CG48" i="110"/>
  <c r="CJ48" i="110"/>
  <c r="CT48" i="110"/>
  <c r="CY48" i="110"/>
  <c r="DM48" i="110"/>
  <c r="DN48" i="110"/>
  <c r="DO48" i="110"/>
  <c r="DP48" i="110"/>
  <c r="DQ48" i="110"/>
  <c r="DR48" i="110"/>
  <c r="I49" i="110"/>
  <c r="AD49" i="110"/>
  <c r="Q49" i="110"/>
  <c r="R49" i="110"/>
  <c r="U49" i="110"/>
  <c r="V49" i="110"/>
  <c r="W49" i="110"/>
  <c r="X49" i="110"/>
  <c r="Y49" i="110"/>
  <c r="AA49" i="110"/>
  <c r="AE49" i="110"/>
  <c r="AG49" i="110"/>
  <c r="AH49" i="110"/>
  <c r="AI49" i="110"/>
  <c r="AJ49" i="110"/>
  <c r="AK49" i="110"/>
  <c r="AL49" i="110"/>
  <c r="AM49" i="110"/>
  <c r="AN49" i="110"/>
  <c r="AO49" i="110"/>
  <c r="AP49" i="110"/>
  <c r="AQ49" i="110"/>
  <c r="AR49" i="110"/>
  <c r="AS49" i="110"/>
  <c r="AT49" i="110"/>
  <c r="AU49" i="110"/>
  <c r="AV49" i="110"/>
  <c r="AW49" i="110"/>
  <c r="AX49" i="110"/>
  <c r="BL49" i="110"/>
  <c r="BO49" i="110"/>
  <c r="BR49" i="110"/>
  <c r="BU49" i="110"/>
  <c r="BX49" i="110"/>
  <c r="CA49" i="110"/>
  <c r="CD49" i="110"/>
  <c r="CG49" i="110"/>
  <c r="CJ49" i="110"/>
  <c r="CT49" i="110"/>
  <c r="CY49" i="110"/>
  <c r="DM49" i="110"/>
  <c r="DN49" i="110"/>
  <c r="DO49" i="110"/>
  <c r="DP49" i="110"/>
  <c r="DQ49" i="110"/>
  <c r="DR49" i="110"/>
  <c r="I50" i="110"/>
  <c r="AD50" i="110"/>
  <c r="Q50" i="110"/>
  <c r="R50" i="110"/>
  <c r="U50" i="110"/>
  <c r="V50" i="110"/>
  <c r="W50" i="110"/>
  <c r="X50" i="110"/>
  <c r="Y50" i="110"/>
  <c r="AA50" i="110"/>
  <c r="AE50" i="110"/>
  <c r="AG50" i="110"/>
  <c r="AH50" i="110"/>
  <c r="AI50" i="110"/>
  <c r="AJ50" i="110"/>
  <c r="AK50" i="110"/>
  <c r="AL50" i="110"/>
  <c r="AM50" i="110"/>
  <c r="AN50" i="110"/>
  <c r="AO50" i="110"/>
  <c r="AP50" i="110"/>
  <c r="AQ50" i="110"/>
  <c r="AR50" i="110"/>
  <c r="AS50" i="110"/>
  <c r="AT50" i="110"/>
  <c r="AU50" i="110"/>
  <c r="AV50" i="110"/>
  <c r="AW50" i="110"/>
  <c r="AX50" i="110"/>
  <c r="BL50" i="110"/>
  <c r="BO50" i="110"/>
  <c r="BR50" i="110"/>
  <c r="BU50" i="110"/>
  <c r="BX50" i="110"/>
  <c r="CA50" i="110"/>
  <c r="CD50" i="110"/>
  <c r="CG50" i="110"/>
  <c r="CJ50" i="110"/>
  <c r="CT50" i="110"/>
  <c r="CY50" i="110"/>
  <c r="DM50" i="110"/>
  <c r="DN50" i="110"/>
  <c r="DO50" i="110"/>
  <c r="DP50" i="110"/>
  <c r="DQ50" i="110"/>
  <c r="DR50" i="110"/>
  <c r="I51" i="110"/>
  <c r="AD51" i="110"/>
  <c r="Q51" i="110"/>
  <c r="R51" i="110"/>
  <c r="U51" i="110"/>
  <c r="V51" i="110"/>
  <c r="W51" i="110"/>
  <c r="X51" i="110"/>
  <c r="Y51" i="110"/>
  <c r="AA51" i="110"/>
  <c r="AE51" i="110"/>
  <c r="AG51" i="110"/>
  <c r="AH51" i="110"/>
  <c r="AI51" i="110"/>
  <c r="AJ51" i="110"/>
  <c r="AK51" i="110"/>
  <c r="AL51" i="110"/>
  <c r="AM51" i="110"/>
  <c r="AN51" i="110"/>
  <c r="AO51" i="110"/>
  <c r="AP51" i="110"/>
  <c r="AQ51" i="110"/>
  <c r="AR51" i="110"/>
  <c r="AS51" i="110"/>
  <c r="AT51" i="110"/>
  <c r="AU51" i="110"/>
  <c r="AV51" i="110"/>
  <c r="AW51" i="110"/>
  <c r="AX51" i="110"/>
  <c r="BL51" i="110"/>
  <c r="BO51" i="110"/>
  <c r="BR51" i="110"/>
  <c r="BU51" i="110"/>
  <c r="BX51" i="110"/>
  <c r="CA51" i="110"/>
  <c r="CD51" i="110"/>
  <c r="CG51" i="110"/>
  <c r="CJ51" i="110"/>
  <c r="CT51" i="110"/>
  <c r="CY51" i="110"/>
  <c r="DM51" i="110"/>
  <c r="DN51" i="110"/>
  <c r="DO51" i="110"/>
  <c r="DP51" i="110"/>
  <c r="DQ51" i="110"/>
  <c r="DR51" i="110"/>
  <c r="AS2" i="110"/>
  <c r="AP2" i="110"/>
  <c r="AA2" i="110"/>
  <c r="U2" i="110"/>
  <c r="V2" i="110"/>
  <c r="W2" i="110"/>
  <c r="AD2" i="110"/>
  <c r="Q2" i="110"/>
  <c r="R2" i="110"/>
  <c r="I2" i="110"/>
  <c r="DR2" i="110"/>
  <c r="DQ2" i="110"/>
  <c r="DP2" i="110"/>
  <c r="DO2" i="110"/>
  <c r="DN2" i="110"/>
  <c r="DM2" i="110"/>
  <c r="CY2" i="110"/>
  <c r="CT2" i="110"/>
  <c r="CJ2" i="110"/>
  <c r="CG2" i="110"/>
  <c r="CD2" i="110"/>
  <c r="CA2" i="110"/>
  <c r="BX2" i="110"/>
  <c r="BU2" i="110"/>
  <c r="BR2" i="110"/>
  <c r="BO2" i="110"/>
  <c r="BL2" i="110"/>
  <c r="AM2" i="110"/>
  <c r="AN2" i="110"/>
  <c r="AX2" i="110"/>
  <c r="AW2" i="110"/>
  <c r="AV2" i="110"/>
  <c r="AU2" i="110"/>
  <c r="AT2" i="110"/>
  <c r="AO2" i="110"/>
  <c r="AR2" i="110"/>
  <c r="AQ2" i="110"/>
  <c r="AI2" i="110"/>
  <c r="AL2" i="110"/>
  <c r="AK2" i="110"/>
  <c r="AJ2" i="110"/>
  <c r="AH2" i="110"/>
  <c r="AG2" i="110"/>
  <c r="AE2" i="110"/>
  <c r="Y2" i="110"/>
  <c r="X2" i="110"/>
  <c r="AA1" i="110"/>
  <c r="I1" i="110"/>
  <c r="D48" i="106"/>
  <c r="C48" i="106"/>
  <c r="C25" i="106"/>
  <c r="B48" i="106"/>
  <c r="A48" i="106"/>
  <c r="D49" i="106"/>
  <c r="C49" i="106"/>
  <c r="B49" i="106"/>
  <c r="A49" i="106"/>
  <c r="A45" i="106"/>
  <c r="B45" i="106"/>
  <c r="B46" i="106"/>
  <c r="A46" i="106"/>
  <c r="A41" i="106"/>
  <c r="C43" i="106"/>
  <c r="B41" i="106"/>
  <c r="B42" i="106"/>
  <c r="A42" i="106"/>
  <c r="C26" i="106"/>
  <c r="A37" i="106"/>
  <c r="C39" i="106"/>
  <c r="B37" i="106"/>
  <c r="A33" i="106"/>
  <c r="B33" i="106"/>
  <c r="C33" i="106"/>
  <c r="D33" i="106"/>
  <c r="E33" i="106"/>
  <c r="F33" i="106"/>
  <c r="G33" i="106"/>
  <c r="G34" i="106"/>
  <c r="F34" i="106"/>
  <c r="E34" i="106"/>
  <c r="D34" i="106"/>
  <c r="C34" i="106"/>
  <c r="B34" i="106"/>
  <c r="A34" i="106"/>
  <c r="B38" i="106"/>
  <c r="A38" i="106"/>
  <c r="E35" i="106"/>
  <c r="F35" i="106"/>
  <c r="B35" i="106"/>
  <c r="C35" i="106"/>
  <c r="C31" i="106"/>
  <c r="C30" i="106"/>
  <c r="A28" i="106"/>
  <c r="B28" i="106"/>
  <c r="C28" i="106"/>
  <c r="D28" i="106"/>
  <c r="E28" i="106"/>
  <c r="F28" i="106"/>
  <c r="G28" i="106"/>
  <c r="H28" i="106"/>
  <c r="I28" i="106"/>
  <c r="J28" i="106"/>
  <c r="K28" i="106"/>
  <c r="L28" i="106"/>
  <c r="M28" i="106"/>
  <c r="N28" i="106"/>
  <c r="O28" i="106"/>
  <c r="P28" i="106"/>
  <c r="Q28" i="106"/>
  <c r="R28" i="106"/>
  <c r="S28" i="106"/>
  <c r="T28" i="106"/>
  <c r="U28" i="106"/>
  <c r="U29" i="106"/>
  <c r="B9" i="106"/>
  <c r="F29" i="106"/>
  <c r="G29" i="106"/>
  <c r="H29" i="106"/>
  <c r="I29" i="106"/>
  <c r="J29" i="106"/>
  <c r="K29" i="106"/>
  <c r="L29" i="106"/>
  <c r="M29" i="106"/>
  <c r="N29" i="106"/>
  <c r="O29" i="106"/>
  <c r="P29" i="106"/>
  <c r="Q29" i="106"/>
  <c r="R29" i="106"/>
  <c r="S29" i="106"/>
  <c r="T29" i="106"/>
  <c r="A29" i="106"/>
  <c r="B29" i="106"/>
  <c r="C29" i="106"/>
  <c r="D29" i="106"/>
  <c r="E29" i="106"/>
  <c r="C4" i="106"/>
  <c r="E9" i="106"/>
  <c r="G13" i="106"/>
  <c r="J25" i="76"/>
  <c r="Y2" i="112"/>
  <c r="Y3" i="112"/>
  <c r="Y4" i="112"/>
  <c r="Y5" i="112"/>
  <c r="J25" i="87"/>
  <c r="Y2" i="113"/>
  <c r="J25" i="88"/>
  <c r="Y2" i="114"/>
  <c r="Y3" i="114"/>
  <c r="Y4" i="114"/>
  <c r="Y5" i="114"/>
  <c r="J25" i="89"/>
  <c r="J25" i="90"/>
  <c r="J25" i="101"/>
  <c r="J24" i="76"/>
  <c r="J24" i="87"/>
  <c r="J24" i="88"/>
  <c r="J24" i="89"/>
  <c r="J24" i="90"/>
  <c r="J24" i="101"/>
  <c r="J23" i="76"/>
  <c r="J23" i="87"/>
  <c r="J23" i="88"/>
  <c r="J23" i="89"/>
  <c r="J23" i="90"/>
  <c r="J23" i="101"/>
  <c r="J22" i="76"/>
  <c r="J22" i="87"/>
  <c r="J22" i="88"/>
  <c r="J22" i="89"/>
  <c r="J22" i="90"/>
  <c r="J22" i="101"/>
  <c r="G22" i="76"/>
  <c r="G22" i="101"/>
  <c r="J21" i="76"/>
  <c r="J21" i="87"/>
  <c r="J21" i="88"/>
  <c r="J21" i="89"/>
  <c r="J21" i="90"/>
  <c r="J21" i="101"/>
  <c r="B21" i="90"/>
  <c r="B21" i="89"/>
  <c r="B21" i="88"/>
  <c r="B21" i="87"/>
  <c r="B21" i="76"/>
  <c r="B21" i="101"/>
  <c r="J20" i="76"/>
  <c r="Y13" i="112"/>
  <c r="T13" i="112"/>
  <c r="V13" i="112"/>
  <c r="U13" i="112"/>
  <c r="X13" i="112"/>
  <c r="J20" i="87"/>
  <c r="Y18" i="113"/>
  <c r="T18" i="113"/>
  <c r="V18" i="113"/>
  <c r="U18" i="113"/>
  <c r="X18" i="113"/>
  <c r="J20" i="88"/>
  <c r="Y6" i="114"/>
  <c r="V6" i="114"/>
  <c r="U6" i="114"/>
  <c r="X6" i="114"/>
  <c r="J20" i="89"/>
  <c r="J20" i="90"/>
  <c r="J20" i="101"/>
  <c r="B20" i="90"/>
  <c r="B20" i="89"/>
  <c r="B20" i="88"/>
  <c r="B20" i="87"/>
  <c r="B20" i="76"/>
  <c r="B20" i="101"/>
  <c r="J19" i="76"/>
  <c r="J19" i="87"/>
  <c r="J19" i="88"/>
  <c r="J19" i="89"/>
  <c r="J19" i="90"/>
  <c r="J19" i="101"/>
  <c r="B19" i="90"/>
  <c r="B19" i="89"/>
  <c r="B19" i="88"/>
  <c r="B19" i="87"/>
  <c r="B19" i="76"/>
  <c r="B19" i="101"/>
  <c r="J18" i="76"/>
  <c r="T6" i="112"/>
  <c r="W6" i="112"/>
  <c r="U6" i="112"/>
  <c r="Y6" i="112"/>
  <c r="X6" i="112"/>
  <c r="J18" i="87"/>
  <c r="Y16" i="113"/>
  <c r="T16" i="113"/>
  <c r="V16" i="113"/>
  <c r="U16" i="113"/>
  <c r="X16" i="113"/>
  <c r="J18" i="88"/>
  <c r="Y16" i="114"/>
  <c r="T16" i="114"/>
  <c r="V16" i="114"/>
  <c r="U16" i="114"/>
  <c r="X16" i="114"/>
  <c r="J18" i="89"/>
  <c r="Y2" i="115"/>
  <c r="V2" i="115"/>
  <c r="U2" i="115"/>
  <c r="X2" i="115"/>
  <c r="J18" i="90"/>
  <c r="J18" i="101"/>
  <c r="B18" i="90"/>
  <c r="B18" i="89"/>
  <c r="B18" i="88"/>
  <c r="B18" i="87"/>
  <c r="B18" i="76"/>
  <c r="B18" i="101"/>
  <c r="J17" i="76"/>
  <c r="Y18" i="112"/>
  <c r="T18" i="112"/>
  <c r="V18" i="112"/>
  <c r="U18" i="112"/>
  <c r="X18" i="112"/>
  <c r="J17" i="87"/>
  <c r="Y13" i="113"/>
  <c r="Y15" i="113"/>
  <c r="T13" i="113"/>
  <c r="V13" i="113"/>
  <c r="U13" i="113"/>
  <c r="X13" i="113"/>
  <c r="T15" i="113"/>
  <c r="V15" i="113"/>
  <c r="U15" i="113"/>
  <c r="X15" i="113"/>
  <c r="J17" i="88"/>
  <c r="Y15" i="114"/>
  <c r="Y17" i="114"/>
  <c r="T15" i="114"/>
  <c r="V15" i="114"/>
  <c r="U15" i="114"/>
  <c r="X15" i="114"/>
  <c r="T17" i="114"/>
  <c r="V17" i="114"/>
  <c r="U17" i="114"/>
  <c r="X17" i="114"/>
  <c r="J17" i="89"/>
  <c r="Y3" i="115"/>
  <c r="Y5" i="115"/>
  <c r="Y6" i="115"/>
  <c r="T3" i="115"/>
  <c r="V3" i="115"/>
  <c r="U3" i="115"/>
  <c r="X3" i="115"/>
  <c r="T4" i="115"/>
  <c r="V4" i="115"/>
  <c r="U4" i="115"/>
  <c r="X4" i="115"/>
  <c r="T5" i="115"/>
  <c r="V5" i="115"/>
  <c r="U5" i="115"/>
  <c r="X5" i="115"/>
  <c r="T6" i="115"/>
  <c r="V6" i="115"/>
  <c r="U6" i="115"/>
  <c r="X6" i="115"/>
  <c r="J17" i="90"/>
  <c r="J17" i="101"/>
  <c r="B17" i="90"/>
  <c r="B17" i="89"/>
  <c r="B17" i="88"/>
  <c r="B17" i="87"/>
  <c r="B17" i="76"/>
  <c r="B17" i="101"/>
  <c r="J16" i="76"/>
  <c r="J16" i="87"/>
  <c r="J16" i="88"/>
  <c r="Y12" i="114"/>
  <c r="T12" i="114"/>
  <c r="V12" i="114"/>
  <c r="U12" i="114"/>
  <c r="X12" i="114"/>
  <c r="J16" i="89"/>
  <c r="J16" i="90"/>
  <c r="J16" i="101"/>
  <c r="G16" i="90"/>
  <c r="G16" i="89"/>
  <c r="G16" i="88"/>
  <c r="G16" i="87"/>
  <c r="G16" i="76"/>
  <c r="G16" i="101"/>
  <c r="B16" i="90"/>
  <c r="B16" i="89"/>
  <c r="B16" i="88"/>
  <c r="B16" i="87"/>
  <c r="B16" i="76"/>
  <c r="B16" i="101"/>
  <c r="Y5" i="111"/>
  <c r="T5" i="111"/>
  <c r="V5" i="111"/>
  <c r="U5" i="111"/>
  <c r="X5" i="111"/>
  <c r="J15" i="76"/>
  <c r="Y16" i="112"/>
  <c r="Y17" i="112"/>
  <c r="Y12" i="112"/>
  <c r="T16" i="112"/>
  <c r="V16" i="112"/>
  <c r="U16" i="112"/>
  <c r="X16" i="112"/>
  <c r="T7" i="112"/>
  <c r="V7" i="112"/>
  <c r="U7" i="112"/>
  <c r="X7" i="112"/>
  <c r="V10" i="112"/>
  <c r="U10" i="112"/>
  <c r="X10" i="112"/>
  <c r="T17" i="112"/>
  <c r="V17" i="112"/>
  <c r="U17" i="112"/>
  <c r="X17" i="112"/>
  <c r="T8" i="112"/>
  <c r="V8" i="112"/>
  <c r="U8" i="112"/>
  <c r="X8" i="112"/>
  <c r="T9" i="112"/>
  <c r="V9" i="112"/>
  <c r="U9" i="112"/>
  <c r="X9" i="112"/>
  <c r="T11" i="112"/>
  <c r="V11" i="112"/>
  <c r="U11" i="112"/>
  <c r="X11" i="112"/>
  <c r="T12" i="112"/>
  <c r="V12" i="112"/>
  <c r="U12" i="112"/>
  <c r="X12" i="112"/>
  <c r="T15" i="112"/>
  <c r="V15" i="112"/>
  <c r="U15" i="112"/>
  <c r="X15" i="112"/>
  <c r="V14" i="112"/>
  <c r="U14" i="112"/>
  <c r="X14" i="112"/>
  <c r="J15" i="87"/>
  <c r="Y12" i="113"/>
  <c r="Y14" i="113"/>
  <c r="Y17" i="113"/>
  <c r="T12" i="113"/>
  <c r="V12" i="113"/>
  <c r="U12" i="113"/>
  <c r="X12" i="113"/>
  <c r="T3" i="113"/>
  <c r="V3" i="113"/>
  <c r="U3" i="113"/>
  <c r="X3" i="113"/>
  <c r="T4" i="113"/>
  <c r="V4" i="113"/>
  <c r="U4" i="113"/>
  <c r="X4" i="113"/>
  <c r="T6" i="113"/>
  <c r="V6" i="113"/>
  <c r="U6" i="113"/>
  <c r="X6" i="113"/>
  <c r="T7" i="113"/>
  <c r="V7" i="113"/>
  <c r="U7" i="113"/>
  <c r="X7" i="113"/>
  <c r="T5" i="113"/>
  <c r="V5" i="113"/>
  <c r="U5" i="113"/>
  <c r="X5" i="113"/>
  <c r="T8" i="113"/>
  <c r="V8" i="113"/>
  <c r="U8" i="113"/>
  <c r="X8" i="113"/>
  <c r="T9" i="113"/>
  <c r="V9" i="113"/>
  <c r="U9" i="113"/>
  <c r="X9" i="113"/>
  <c r="T10" i="113"/>
  <c r="V10" i="113"/>
  <c r="U10" i="113"/>
  <c r="X10" i="113"/>
  <c r="T11" i="113"/>
  <c r="V11" i="113"/>
  <c r="U11" i="113"/>
  <c r="X11" i="113"/>
  <c r="T14" i="113"/>
  <c r="V14" i="113"/>
  <c r="U14" i="113"/>
  <c r="X14" i="113"/>
  <c r="T17" i="113"/>
  <c r="V17" i="113"/>
  <c r="U17" i="113"/>
  <c r="X17" i="113"/>
  <c r="J15" i="88"/>
  <c r="Y7" i="114"/>
  <c r="Y8" i="114"/>
  <c r="Y10" i="114"/>
  <c r="Y18" i="114"/>
  <c r="V7" i="114"/>
  <c r="U7" i="114"/>
  <c r="X7" i="114"/>
  <c r="T8" i="114"/>
  <c r="V8" i="114"/>
  <c r="U8" i="114"/>
  <c r="X8" i="114"/>
  <c r="T9" i="114"/>
  <c r="V9" i="114"/>
  <c r="U9" i="114"/>
  <c r="X9" i="114"/>
  <c r="T10" i="114"/>
  <c r="V10" i="114"/>
  <c r="U10" i="114"/>
  <c r="X10" i="114"/>
  <c r="T11" i="114"/>
  <c r="V11" i="114"/>
  <c r="U11" i="114"/>
  <c r="X11" i="114"/>
  <c r="T13" i="114"/>
  <c r="V13" i="114"/>
  <c r="U13" i="114"/>
  <c r="X13" i="114"/>
  <c r="V14" i="114"/>
  <c r="U14" i="114"/>
  <c r="X14" i="114"/>
  <c r="T18" i="114"/>
  <c r="V18" i="114"/>
  <c r="U18" i="114"/>
  <c r="X18" i="114"/>
  <c r="T19" i="114"/>
  <c r="V19" i="114"/>
  <c r="U19" i="114"/>
  <c r="X19" i="114"/>
  <c r="J15" i="89"/>
  <c r="J15" i="90"/>
  <c r="J15" i="101"/>
  <c r="G15" i="101"/>
  <c r="Y2" i="111"/>
  <c r="Y7" i="111"/>
  <c r="W9" i="111"/>
  <c r="U9" i="111"/>
  <c r="Y9" i="111"/>
  <c r="Y3" i="111"/>
  <c r="T10" i="111"/>
  <c r="W10" i="111"/>
  <c r="U10" i="111"/>
  <c r="Y10" i="111"/>
  <c r="Y11" i="111"/>
  <c r="Y4" i="111"/>
  <c r="Y8" i="111"/>
  <c r="Y6" i="111"/>
  <c r="X2" i="111"/>
  <c r="T7" i="111"/>
  <c r="V7" i="111"/>
  <c r="U7" i="111"/>
  <c r="X7" i="111"/>
  <c r="X9" i="111"/>
  <c r="T3" i="111"/>
  <c r="V3" i="111"/>
  <c r="U3" i="111"/>
  <c r="X3" i="111"/>
  <c r="X10" i="111"/>
  <c r="T11" i="111"/>
  <c r="V11" i="111"/>
  <c r="U11" i="111"/>
  <c r="X11" i="111"/>
  <c r="T4" i="111"/>
  <c r="V4" i="111"/>
  <c r="U4" i="111"/>
  <c r="X4" i="111"/>
  <c r="X8" i="111"/>
  <c r="X6" i="111"/>
  <c r="J14" i="76"/>
  <c r="Y7" i="112"/>
  <c r="Y10" i="112"/>
  <c r="Y8" i="112"/>
  <c r="Y9" i="112"/>
  <c r="Y11" i="112"/>
  <c r="Y15" i="112"/>
  <c r="Y14" i="112"/>
  <c r="J14" i="87"/>
  <c r="Y3" i="113"/>
  <c r="Y4" i="113"/>
  <c r="Y6" i="113"/>
  <c r="Y7" i="113"/>
  <c r="Y5" i="113"/>
  <c r="Y8" i="113"/>
  <c r="Y9" i="113"/>
  <c r="Y10" i="113"/>
  <c r="Y11" i="113"/>
  <c r="J14" i="88"/>
  <c r="Y9" i="114"/>
  <c r="Y11" i="114"/>
  <c r="Y13" i="114"/>
  <c r="Y14" i="114"/>
  <c r="Y19" i="114"/>
  <c r="J14" i="89"/>
  <c r="Y4" i="115"/>
  <c r="J14" i="90"/>
  <c r="J14" i="101"/>
  <c r="G14" i="90"/>
  <c r="G14" i="89"/>
  <c r="G14" i="88"/>
  <c r="G14" i="87"/>
  <c r="G14" i="76"/>
  <c r="G14" i="101"/>
  <c r="G13" i="90"/>
  <c r="G13" i="89"/>
  <c r="G13" i="88"/>
  <c r="G13" i="87"/>
  <c r="G13" i="76"/>
  <c r="G13" i="101"/>
  <c r="H2" i="76"/>
  <c r="J12" i="76"/>
  <c r="H2" i="87"/>
  <c r="J12" i="87"/>
  <c r="H2" i="88"/>
  <c r="J12" i="88"/>
  <c r="H2" i="89"/>
  <c r="J12" i="89"/>
  <c r="H2" i="90"/>
  <c r="J12" i="90"/>
  <c r="J12" i="101"/>
  <c r="G12" i="90"/>
  <c r="G12" i="89"/>
  <c r="G12" i="88"/>
  <c r="G12" i="87"/>
  <c r="G12" i="76"/>
  <c r="G12" i="101"/>
  <c r="G25" i="76"/>
  <c r="B10" i="76"/>
  <c r="G25" i="87"/>
  <c r="B10" i="87"/>
  <c r="G25" i="88"/>
  <c r="B10" i="88"/>
  <c r="G25" i="89"/>
  <c r="B10" i="89"/>
  <c r="G25" i="90"/>
  <c r="B10" i="90"/>
  <c r="B10" i="101"/>
  <c r="B3" i="90"/>
  <c r="C23" i="90"/>
  <c r="C32" i="90"/>
  <c r="E9" i="90"/>
  <c r="B3" i="89"/>
  <c r="C23" i="89"/>
  <c r="C32" i="89"/>
  <c r="E9" i="89"/>
  <c r="B3" i="76"/>
  <c r="C23" i="76"/>
  <c r="C32" i="76"/>
  <c r="E9" i="76"/>
  <c r="E9" i="101"/>
  <c r="B9" i="101"/>
  <c r="N8" i="76"/>
  <c r="N8" i="87"/>
  <c r="N8" i="88"/>
  <c r="N8" i="89"/>
  <c r="N8" i="90"/>
  <c r="N8" i="101"/>
  <c r="M8" i="76"/>
  <c r="C26" i="87"/>
  <c r="C27" i="87"/>
  <c r="M8" i="87"/>
  <c r="C25" i="88"/>
  <c r="M8" i="88"/>
  <c r="M8" i="89"/>
  <c r="M8" i="90"/>
  <c r="M8" i="101"/>
  <c r="L8" i="76"/>
  <c r="L8" i="87"/>
  <c r="L8" i="88"/>
  <c r="L8" i="89"/>
  <c r="L8" i="90"/>
  <c r="L8" i="101"/>
  <c r="K8" i="76"/>
  <c r="K8" i="87"/>
  <c r="K8" i="88"/>
  <c r="K8" i="89"/>
  <c r="K8" i="90"/>
  <c r="K8" i="101"/>
  <c r="J8" i="76"/>
  <c r="J8" i="87"/>
  <c r="J8" i="88"/>
  <c r="J8" i="89"/>
  <c r="J8" i="90"/>
  <c r="J8" i="101"/>
  <c r="I8" i="76"/>
  <c r="I8" i="87"/>
  <c r="I8" i="88"/>
  <c r="I8" i="89"/>
  <c r="I8" i="90"/>
  <c r="I8" i="101"/>
  <c r="G8" i="76"/>
  <c r="G8" i="87"/>
  <c r="G8" i="88"/>
  <c r="G8" i="89"/>
  <c r="G8" i="90"/>
  <c r="G8" i="101"/>
  <c r="F8" i="76"/>
  <c r="C25" i="87"/>
  <c r="F8" i="87"/>
  <c r="F8" i="88"/>
  <c r="F8" i="89"/>
  <c r="F8" i="90"/>
  <c r="F8" i="101"/>
  <c r="B4" i="76"/>
  <c r="C8" i="76"/>
  <c r="B3" i="87"/>
  <c r="C32" i="87"/>
  <c r="B4" i="87"/>
  <c r="C8" i="87"/>
  <c r="B3" i="88"/>
  <c r="C23" i="88"/>
  <c r="B5" i="88"/>
  <c r="C32" i="88"/>
  <c r="B4" i="88"/>
  <c r="C8" i="88"/>
  <c r="B4" i="89"/>
  <c r="C8" i="89"/>
  <c r="B4" i="90"/>
  <c r="C8" i="90"/>
  <c r="B8" i="101"/>
  <c r="E7" i="90"/>
  <c r="E7" i="89"/>
  <c r="E7" i="76"/>
  <c r="E7" i="101"/>
  <c r="B5" i="76"/>
  <c r="C3" i="76"/>
  <c r="C6" i="76"/>
  <c r="C7" i="76"/>
  <c r="C23" i="87"/>
  <c r="B5" i="87"/>
  <c r="C3" i="87"/>
  <c r="C7" i="87"/>
  <c r="C3" i="88"/>
  <c r="C7" i="88"/>
  <c r="B5" i="89"/>
  <c r="C3" i="89"/>
  <c r="C7" i="89"/>
  <c r="B5" i="90"/>
  <c r="C3" i="90"/>
  <c r="C7" i="90"/>
  <c r="C7" i="101"/>
  <c r="N6" i="76"/>
  <c r="N6" i="87"/>
  <c r="N6" i="88"/>
  <c r="N6" i="89"/>
  <c r="N6" i="90"/>
  <c r="N6" i="101"/>
  <c r="M6" i="76"/>
  <c r="M6" i="87"/>
  <c r="M6" i="88"/>
  <c r="M6" i="89"/>
  <c r="M6" i="90"/>
  <c r="M6" i="101"/>
  <c r="L6" i="76"/>
  <c r="L6" i="87"/>
  <c r="L6" i="88"/>
  <c r="L6" i="89"/>
  <c r="L6" i="90"/>
  <c r="L6" i="101"/>
  <c r="K6" i="76"/>
  <c r="K6" i="87"/>
  <c r="K6" i="88"/>
  <c r="K6" i="89"/>
  <c r="K6" i="90"/>
  <c r="K6" i="101"/>
  <c r="J6" i="76"/>
  <c r="J6" i="87"/>
  <c r="J6" i="88"/>
  <c r="J6" i="89"/>
  <c r="J6" i="90"/>
  <c r="J6" i="101"/>
  <c r="I6" i="76"/>
  <c r="I6" i="87"/>
  <c r="I6" i="88"/>
  <c r="I6" i="89"/>
  <c r="I6" i="90"/>
  <c r="I6" i="101"/>
  <c r="H6" i="76"/>
  <c r="H6" i="87"/>
  <c r="H6" i="88"/>
  <c r="H6" i="89"/>
  <c r="H6" i="90"/>
  <c r="H6" i="101"/>
  <c r="G6" i="76"/>
  <c r="G6" i="87"/>
  <c r="G6" i="88"/>
  <c r="G6" i="89"/>
  <c r="G6" i="90"/>
  <c r="G6" i="101"/>
  <c r="F6" i="76"/>
  <c r="F6" i="87"/>
  <c r="F6" i="88"/>
  <c r="F6" i="89"/>
  <c r="F6" i="90"/>
  <c r="F6" i="101"/>
  <c r="C6" i="101"/>
  <c r="B5" i="101"/>
  <c r="B4" i="101"/>
  <c r="B3" i="101"/>
  <c r="H2" i="101"/>
  <c r="V2" i="111"/>
  <c r="V9" i="111"/>
  <c r="V10" i="111"/>
  <c r="V8" i="111"/>
  <c r="V6" i="111"/>
  <c r="W2" i="111"/>
  <c r="W7" i="111"/>
  <c r="W5" i="111"/>
  <c r="W3" i="111"/>
  <c r="W11" i="111"/>
  <c r="W4" i="111"/>
  <c r="W8" i="111"/>
  <c r="W6" i="111"/>
  <c r="F2" i="76"/>
  <c r="V2" i="112"/>
  <c r="V3" i="112"/>
  <c r="V4" i="112"/>
  <c r="V5" i="112"/>
  <c r="V6" i="112"/>
  <c r="W2" i="112"/>
  <c r="W3" i="112"/>
  <c r="W4" i="112"/>
  <c r="W5" i="112"/>
  <c r="W7" i="112"/>
  <c r="W10" i="112"/>
  <c r="W16" i="112"/>
  <c r="W17" i="112"/>
  <c r="W8" i="112"/>
  <c r="W9" i="112"/>
  <c r="W11" i="112"/>
  <c r="W13" i="112"/>
  <c r="W12" i="112"/>
  <c r="W15" i="112"/>
  <c r="W14" i="112"/>
  <c r="W18" i="112"/>
  <c r="F2" i="87"/>
  <c r="V2" i="113"/>
  <c r="W2" i="113"/>
  <c r="W3" i="113"/>
  <c r="W4" i="113"/>
  <c r="W6" i="113"/>
  <c r="W7" i="113"/>
  <c r="W5" i="113"/>
  <c r="W8" i="113"/>
  <c r="W9" i="113"/>
  <c r="W10" i="113"/>
  <c r="W12" i="113"/>
  <c r="W11" i="113"/>
  <c r="W13" i="113"/>
  <c r="W14" i="113"/>
  <c r="W15" i="113"/>
  <c r="W16" i="113"/>
  <c r="W18" i="113"/>
  <c r="W17" i="113"/>
  <c r="F2" i="88"/>
  <c r="V2" i="114"/>
  <c r="V3" i="114"/>
  <c r="V4" i="114"/>
  <c r="V5" i="114"/>
  <c r="W2" i="114"/>
  <c r="W3" i="114"/>
  <c r="W4" i="114"/>
  <c r="W5" i="114"/>
  <c r="W6" i="114"/>
  <c r="W7" i="114"/>
  <c r="W8" i="114"/>
  <c r="W9" i="114"/>
  <c r="W10" i="114"/>
  <c r="W11" i="114"/>
  <c r="W12" i="114"/>
  <c r="W13" i="114"/>
  <c r="W14" i="114"/>
  <c r="W15" i="114"/>
  <c r="W16" i="114"/>
  <c r="W17" i="114"/>
  <c r="W18" i="114"/>
  <c r="W19" i="114"/>
  <c r="F2" i="89"/>
  <c r="W2" i="115"/>
  <c r="W3" i="115"/>
  <c r="W4" i="115"/>
  <c r="W5" i="115"/>
  <c r="W6" i="115"/>
  <c r="F2" i="90"/>
  <c r="F2" i="101"/>
  <c r="F7" i="101"/>
  <c r="C8" i="101"/>
  <c r="G23" i="91"/>
  <c r="G23" i="120"/>
  <c r="G18" i="76"/>
  <c r="G23" i="76"/>
  <c r="G19" i="76"/>
  <c r="G14" i="120"/>
  <c r="C6" i="120"/>
  <c r="G18" i="120"/>
  <c r="G19" i="120"/>
  <c r="G14" i="91"/>
  <c r="G19" i="91"/>
  <c r="AN10" i="111"/>
  <c r="AQ10" i="111"/>
  <c r="AM10" i="111"/>
  <c r="AO10" i="111"/>
  <c r="AR10" i="111"/>
  <c r="AD5" i="119"/>
  <c r="AS5" i="119"/>
  <c r="AT5" i="119"/>
  <c r="AU5" i="119"/>
  <c r="AN5" i="119"/>
  <c r="AM5" i="119"/>
  <c r="AI5" i="119"/>
  <c r="AL5" i="119"/>
  <c r="AW5" i="119"/>
  <c r="AV5" i="119"/>
  <c r="AX5" i="119"/>
  <c r="DN5" i="119"/>
  <c r="DM5" i="119"/>
  <c r="CY5" i="119"/>
  <c r="BL5" i="119"/>
  <c r="CT5" i="119"/>
  <c r="CJ5" i="119"/>
  <c r="CG5" i="119"/>
  <c r="CD5" i="119"/>
  <c r="CA5" i="119"/>
  <c r="BX5" i="119"/>
  <c r="BU5" i="119"/>
  <c r="BR5" i="119"/>
  <c r="BO5" i="119"/>
  <c r="AK5" i="119"/>
  <c r="AJ5" i="119"/>
  <c r="AH5" i="119"/>
  <c r="AG5" i="119"/>
  <c r="AE5" i="119"/>
  <c r="AA5" i="119"/>
  <c r="Y5" i="119"/>
  <c r="V5" i="119"/>
  <c r="U5" i="119"/>
  <c r="X5" i="119"/>
  <c r="W5" i="119"/>
  <c r="R5" i="119"/>
  <c r="Q5" i="119"/>
  <c r="I5" i="119"/>
  <c r="DN4" i="119"/>
  <c r="DM4" i="119"/>
  <c r="CY4" i="119"/>
  <c r="BL4" i="119"/>
  <c r="CT4" i="119"/>
  <c r="CJ4" i="119"/>
  <c r="CG4" i="119"/>
  <c r="CD4" i="119"/>
  <c r="CA4" i="119"/>
  <c r="BX4" i="119"/>
  <c r="BU4" i="119"/>
  <c r="BR4" i="119"/>
  <c r="BO4" i="119"/>
  <c r="AM4" i="119"/>
  <c r="AN4" i="119"/>
  <c r="AP4" i="119"/>
  <c r="AS4" i="119"/>
  <c r="AV4" i="119"/>
  <c r="AX4" i="119"/>
  <c r="AW4" i="119"/>
  <c r="AU4" i="119"/>
  <c r="AT4" i="119"/>
  <c r="AO4" i="119"/>
  <c r="AR4" i="119"/>
  <c r="AQ4" i="119"/>
  <c r="AI4" i="119"/>
  <c r="AL4" i="119"/>
  <c r="AK4" i="119"/>
  <c r="AJ4" i="119"/>
  <c r="AH4" i="119"/>
  <c r="AG4" i="119"/>
  <c r="AE4" i="119"/>
  <c r="AD4" i="119"/>
  <c r="AA4" i="119"/>
  <c r="Y4" i="119"/>
  <c r="V4" i="119"/>
  <c r="U4" i="119"/>
  <c r="X4" i="119"/>
  <c r="W4" i="119"/>
  <c r="R4" i="119"/>
  <c r="Q4" i="119"/>
  <c r="I4" i="119"/>
  <c r="DN2" i="119"/>
  <c r="DM2" i="119"/>
  <c r="CY2" i="119"/>
  <c r="BL2" i="119"/>
  <c r="CT2" i="119"/>
  <c r="CJ2" i="119"/>
  <c r="CG2" i="119"/>
  <c r="CD2" i="119"/>
  <c r="CA2" i="119"/>
  <c r="BX2" i="119"/>
  <c r="BU2" i="119"/>
  <c r="BR2" i="119"/>
  <c r="BO2" i="119"/>
  <c r="AM2" i="119"/>
  <c r="AN2" i="119"/>
  <c r="AP2" i="119"/>
  <c r="AS2" i="119"/>
  <c r="AV2" i="119"/>
  <c r="AX2" i="119"/>
  <c r="AW2" i="119"/>
  <c r="AU2" i="119"/>
  <c r="AT2" i="119"/>
  <c r="AO2" i="119"/>
  <c r="AR2" i="119"/>
  <c r="AQ2" i="119"/>
  <c r="AI2" i="119"/>
  <c r="AL2" i="119"/>
  <c r="AK2" i="119"/>
  <c r="AJ2" i="119"/>
  <c r="AH2" i="119"/>
  <c r="AG2" i="119"/>
  <c r="AE2" i="119"/>
  <c r="AD2" i="119"/>
  <c r="AA2" i="119"/>
  <c r="Y2" i="119"/>
  <c r="V2" i="119"/>
  <c r="U2" i="119"/>
  <c r="X2" i="119"/>
  <c r="W2" i="119"/>
  <c r="R2" i="119"/>
  <c r="Q2" i="119"/>
  <c r="I2" i="119"/>
  <c r="DN3" i="119"/>
  <c r="DM3" i="119"/>
  <c r="CY3" i="119"/>
  <c r="BL3" i="119"/>
  <c r="CT3" i="119"/>
  <c r="CJ3" i="119"/>
  <c r="CG3" i="119"/>
  <c r="CD3" i="119"/>
  <c r="CA3" i="119"/>
  <c r="BX3" i="119"/>
  <c r="BU3" i="119"/>
  <c r="BR3" i="119"/>
  <c r="BO3" i="119"/>
  <c r="AM3" i="119"/>
  <c r="AN3" i="119"/>
  <c r="AP3" i="119"/>
  <c r="AS3" i="119"/>
  <c r="AV3" i="119"/>
  <c r="AX3" i="119"/>
  <c r="AW3" i="119"/>
  <c r="AU3" i="119"/>
  <c r="AT3" i="119"/>
  <c r="AO3" i="119"/>
  <c r="AR3" i="119"/>
  <c r="AQ3" i="119"/>
  <c r="AI3" i="119"/>
  <c r="AL3" i="119"/>
  <c r="AK3" i="119"/>
  <c r="AJ3" i="119"/>
  <c r="AH3" i="119"/>
  <c r="AG3" i="119"/>
  <c r="AE3" i="119"/>
  <c r="AA3" i="119"/>
  <c r="Y3" i="119"/>
  <c r="V3" i="119"/>
  <c r="U3" i="119"/>
  <c r="X3" i="119"/>
  <c r="W3" i="119"/>
  <c r="R3" i="119"/>
  <c r="Q3" i="119"/>
  <c r="I3" i="119"/>
  <c r="DN6" i="111"/>
  <c r="DM6" i="111"/>
  <c r="CY6" i="111"/>
  <c r="BL6" i="111"/>
  <c r="CT6" i="111"/>
  <c r="CJ6" i="111"/>
  <c r="CG6" i="111"/>
  <c r="CD6" i="111"/>
  <c r="CA6" i="111"/>
  <c r="BX6" i="111"/>
  <c r="BU6" i="111"/>
  <c r="BR6" i="111"/>
  <c r="BO6" i="111"/>
  <c r="AP6" i="111"/>
  <c r="AS6" i="111"/>
  <c r="AX6" i="111"/>
  <c r="AW6" i="111"/>
  <c r="AV6" i="111"/>
  <c r="AU6" i="111"/>
  <c r="AT6" i="111"/>
  <c r="AI6" i="111"/>
  <c r="AL6" i="111"/>
  <c r="AK6" i="111"/>
  <c r="AJ6" i="111"/>
  <c r="AH6" i="111"/>
  <c r="AG6" i="111"/>
  <c r="AE6" i="111"/>
  <c r="AA6" i="111"/>
  <c r="U6" i="111"/>
  <c r="T6" i="111"/>
  <c r="R6" i="111"/>
  <c r="Q6" i="111"/>
  <c r="I6" i="111"/>
  <c r="DN8" i="111"/>
  <c r="DM8" i="111"/>
  <c r="CY8" i="111"/>
  <c r="BL8" i="111"/>
  <c r="CT8" i="111"/>
  <c r="CJ8" i="111"/>
  <c r="CG8" i="111"/>
  <c r="CD8" i="111"/>
  <c r="CA8" i="111"/>
  <c r="BX8" i="111"/>
  <c r="BU8" i="111"/>
  <c r="BR8" i="111"/>
  <c r="BO8" i="111"/>
  <c r="AP8" i="111"/>
  <c r="AS8" i="111"/>
  <c r="AX8" i="111"/>
  <c r="AW8" i="111"/>
  <c r="AV8" i="111"/>
  <c r="AU8" i="111"/>
  <c r="AT8" i="111"/>
  <c r="AI8" i="111"/>
  <c r="AL8" i="111"/>
  <c r="AK8" i="111"/>
  <c r="AJ8" i="111"/>
  <c r="AH8" i="111"/>
  <c r="AG8" i="111"/>
  <c r="AE8" i="111"/>
  <c r="AA8" i="111"/>
  <c r="U8" i="111"/>
  <c r="T8" i="111"/>
  <c r="R8" i="111"/>
  <c r="Q8" i="111"/>
  <c r="I8" i="111"/>
  <c r="J25" i="120"/>
  <c r="J24" i="120"/>
  <c r="J23" i="120"/>
  <c r="J22" i="120"/>
  <c r="J21" i="120"/>
  <c r="B21" i="120"/>
  <c r="J20" i="120"/>
  <c r="B20" i="120"/>
  <c r="J19" i="120"/>
  <c r="B19" i="120"/>
  <c r="J18" i="120"/>
  <c r="B18" i="120"/>
  <c r="J17" i="120"/>
  <c r="B17" i="120"/>
  <c r="J16" i="120"/>
  <c r="G16" i="120"/>
  <c r="B16" i="120"/>
  <c r="J15" i="120"/>
  <c r="J14" i="120"/>
  <c r="G13" i="120"/>
  <c r="G12" i="120"/>
  <c r="N8" i="120"/>
  <c r="M8" i="120"/>
  <c r="L8" i="120"/>
  <c r="K8" i="120"/>
  <c r="J8" i="120"/>
  <c r="I8" i="120"/>
  <c r="G8" i="120"/>
  <c r="F8" i="120"/>
  <c r="N6" i="120"/>
  <c r="M6" i="120"/>
  <c r="L6" i="120"/>
  <c r="K6" i="120"/>
  <c r="J6" i="120"/>
  <c r="I6" i="120"/>
  <c r="H6" i="120"/>
  <c r="G6" i="120"/>
  <c r="F6" i="120"/>
  <c r="B3" i="120"/>
  <c r="H2" i="120"/>
  <c r="F2" i="120"/>
  <c r="G32" i="120"/>
  <c r="C32" i="120"/>
  <c r="J12" i="120"/>
  <c r="K25" i="120"/>
  <c r="G25" i="120"/>
  <c r="K24" i="120"/>
  <c r="K23" i="120"/>
  <c r="C23" i="120"/>
  <c r="K22" i="120"/>
  <c r="K21" i="120"/>
  <c r="G21" i="120"/>
  <c r="C21" i="120"/>
  <c r="K20" i="120"/>
  <c r="G20" i="120"/>
  <c r="C20" i="120"/>
  <c r="K19" i="120"/>
  <c r="C19" i="120"/>
  <c r="K18" i="120"/>
  <c r="C18" i="120"/>
  <c r="K17" i="120"/>
  <c r="G17" i="120"/>
  <c r="C17" i="120"/>
  <c r="K16" i="120"/>
  <c r="C16" i="120"/>
  <c r="K15" i="120"/>
  <c r="K14" i="120"/>
  <c r="B4" i="120"/>
  <c r="B5" i="120"/>
  <c r="C3" i="120"/>
  <c r="C7" i="120"/>
  <c r="B10" i="120"/>
  <c r="C8" i="120"/>
  <c r="B11" i="120"/>
  <c r="C12" i="120"/>
  <c r="B13" i="120"/>
  <c r="N9" i="120"/>
  <c r="M9" i="120"/>
  <c r="L9" i="120"/>
  <c r="K9" i="120"/>
  <c r="J9" i="120"/>
  <c r="I9" i="120"/>
  <c r="G9" i="120"/>
  <c r="F9" i="120"/>
  <c r="E9" i="120"/>
  <c r="B1" i="120"/>
  <c r="A9" i="120"/>
  <c r="A8" i="120"/>
  <c r="E7" i="120"/>
  <c r="N7" i="120"/>
  <c r="M7" i="120"/>
  <c r="L7" i="120"/>
  <c r="K7" i="120"/>
  <c r="J7" i="120"/>
  <c r="I7" i="120"/>
  <c r="H7" i="120"/>
  <c r="G7" i="120"/>
  <c r="F7" i="120"/>
  <c r="K2" i="120"/>
  <c r="J2" i="120"/>
  <c r="AA1" i="119"/>
  <c r="I1" i="119"/>
  <c r="DN7" i="111"/>
  <c r="DN9" i="111"/>
  <c r="DN5" i="111"/>
  <c r="DN3" i="111"/>
  <c r="DN10" i="111"/>
  <c r="DN11" i="111"/>
  <c r="DN4" i="111"/>
  <c r="DN2" i="111"/>
  <c r="G12" i="106"/>
  <c r="E7" i="106"/>
  <c r="C3" i="106"/>
  <c r="F8" i="106"/>
  <c r="F9" i="106"/>
  <c r="G8" i="106"/>
  <c r="G9" i="106"/>
  <c r="G14" i="106"/>
  <c r="B13" i="106"/>
  <c r="C13" i="106"/>
  <c r="B11" i="106"/>
  <c r="C11" i="106"/>
  <c r="C9" i="106"/>
  <c r="C17" i="106"/>
  <c r="C16" i="106"/>
  <c r="D17" i="106"/>
  <c r="C20" i="106"/>
  <c r="D20" i="106"/>
  <c r="C19" i="106"/>
  <c r="D19" i="106"/>
  <c r="C18" i="106"/>
  <c r="D18" i="106"/>
  <c r="K16" i="106"/>
  <c r="AE3" i="111"/>
  <c r="AE10" i="111"/>
  <c r="AE11" i="111"/>
  <c r="AE4" i="111"/>
  <c r="AD4" i="111"/>
  <c r="AE7" i="111"/>
  <c r="AD9" i="111"/>
  <c r="AE9" i="111"/>
  <c r="AD5" i="111"/>
  <c r="AE5" i="111"/>
  <c r="AD11" i="113"/>
  <c r="AE11" i="113"/>
  <c r="AD3" i="113"/>
  <c r="AD10" i="113"/>
  <c r="AD12" i="113"/>
  <c r="AE15" i="113"/>
  <c r="AD16" i="113"/>
  <c r="AE16" i="113"/>
  <c r="AE6" i="114"/>
  <c r="AE7" i="114"/>
  <c r="AE8" i="114"/>
  <c r="AE9" i="114"/>
  <c r="AE10" i="114"/>
  <c r="AE11" i="114"/>
  <c r="AE12" i="114"/>
  <c r="AE13" i="114"/>
  <c r="AE14" i="114"/>
  <c r="AE15" i="114"/>
  <c r="AE16" i="114"/>
  <c r="AD3" i="115"/>
  <c r="AE3" i="115"/>
  <c r="AD4" i="115"/>
  <c r="AE4" i="115"/>
  <c r="AD5" i="115"/>
  <c r="AE5" i="115"/>
  <c r="AD6" i="115"/>
  <c r="AE6" i="115"/>
  <c r="AE2" i="115"/>
  <c r="AD2" i="115"/>
  <c r="AE2" i="114"/>
  <c r="AE3" i="114"/>
  <c r="AE4" i="114"/>
  <c r="AE5" i="114"/>
  <c r="AE18" i="114"/>
  <c r="AD18" i="114"/>
  <c r="AD16" i="114"/>
  <c r="AD15" i="114"/>
  <c r="AD11" i="114"/>
  <c r="AD12" i="114"/>
  <c r="AD13" i="114"/>
  <c r="AD10" i="114"/>
  <c r="AD7" i="114"/>
  <c r="AD3" i="114"/>
  <c r="AD4" i="114"/>
  <c r="AD5" i="114"/>
  <c r="AD2" i="114"/>
  <c r="AD6" i="113"/>
  <c r="AD7" i="113"/>
  <c r="AD5" i="113"/>
  <c r="AD8" i="113"/>
  <c r="AD9" i="113"/>
  <c r="AD4" i="113"/>
  <c r="AE3" i="113"/>
  <c r="AE4" i="113"/>
  <c r="AE6" i="113"/>
  <c r="AE7" i="113"/>
  <c r="AE5" i="113"/>
  <c r="AE8" i="113"/>
  <c r="AE9" i="113"/>
  <c r="AE10" i="113"/>
  <c r="AE12" i="113"/>
  <c r="AE2" i="113"/>
  <c r="AD2" i="113"/>
  <c r="U2" i="111"/>
  <c r="DM5" i="111"/>
  <c r="CT5" i="111"/>
  <c r="CJ5" i="111"/>
  <c r="CG5" i="111"/>
  <c r="CD5" i="111"/>
  <c r="CA5" i="111"/>
  <c r="BX5" i="111"/>
  <c r="BU5" i="111"/>
  <c r="BR5" i="111"/>
  <c r="BO5" i="111"/>
  <c r="BL5" i="111"/>
  <c r="AP5" i="111"/>
  <c r="AS5" i="111"/>
  <c r="AV5" i="111"/>
  <c r="AX5" i="111"/>
  <c r="AW5" i="111"/>
  <c r="AU5" i="111"/>
  <c r="AT5" i="111"/>
  <c r="AI5" i="111"/>
  <c r="AL5" i="111"/>
  <c r="AK5" i="111"/>
  <c r="AJ5" i="111"/>
  <c r="AH5" i="111"/>
  <c r="AG5" i="111"/>
  <c r="AA5" i="111"/>
  <c r="R5" i="111"/>
  <c r="Q5" i="111"/>
  <c r="I5" i="111"/>
  <c r="DM9" i="111"/>
  <c r="CT9" i="111"/>
  <c r="CJ9" i="111"/>
  <c r="CG9" i="111"/>
  <c r="CD9" i="111"/>
  <c r="CA9" i="111"/>
  <c r="BX9" i="111"/>
  <c r="BU9" i="111"/>
  <c r="BR9" i="111"/>
  <c r="BO9" i="111"/>
  <c r="BL9" i="111"/>
  <c r="AP9" i="111"/>
  <c r="AS9" i="111"/>
  <c r="AV9" i="111"/>
  <c r="AX9" i="111"/>
  <c r="AW9" i="111"/>
  <c r="AU9" i="111"/>
  <c r="AT9" i="111"/>
  <c r="AI9" i="111"/>
  <c r="AL9" i="111"/>
  <c r="AK9" i="111"/>
  <c r="AJ9" i="111"/>
  <c r="AH9" i="111"/>
  <c r="AG9" i="111"/>
  <c r="AA9" i="111"/>
  <c r="R9" i="111"/>
  <c r="Q9" i="111"/>
  <c r="I9" i="111"/>
  <c r="DM7" i="111"/>
  <c r="BL7" i="111"/>
  <c r="CT7" i="111"/>
  <c r="CJ7" i="111"/>
  <c r="CG7" i="111"/>
  <c r="CD7" i="111"/>
  <c r="CA7" i="111"/>
  <c r="BX7" i="111"/>
  <c r="BU7" i="111"/>
  <c r="BR7" i="111"/>
  <c r="BO7" i="111"/>
  <c r="AP7" i="111"/>
  <c r="AS7" i="111"/>
  <c r="AV7" i="111"/>
  <c r="AX7" i="111"/>
  <c r="AW7" i="111"/>
  <c r="AU7" i="111"/>
  <c r="AT7" i="111"/>
  <c r="AI7" i="111"/>
  <c r="AL7" i="111"/>
  <c r="AK7" i="111"/>
  <c r="AJ7" i="111"/>
  <c r="AH7" i="111"/>
  <c r="AG7" i="111"/>
  <c r="AA7" i="111"/>
  <c r="R7" i="111"/>
  <c r="Q7" i="111"/>
  <c r="I7" i="111"/>
  <c r="DM2" i="111"/>
  <c r="CT2" i="111"/>
  <c r="CJ2" i="111"/>
  <c r="CG2" i="111"/>
  <c r="CD2" i="111"/>
  <c r="CA2" i="111"/>
  <c r="BX2" i="111"/>
  <c r="BU2" i="111"/>
  <c r="BR2" i="111"/>
  <c r="BO2" i="111"/>
  <c r="BL2" i="111"/>
  <c r="AP2" i="111"/>
  <c r="AS2" i="111"/>
  <c r="AV2" i="111"/>
  <c r="AX2" i="111"/>
  <c r="AW2" i="111"/>
  <c r="AU2" i="111"/>
  <c r="AT2" i="111"/>
  <c r="AI2" i="111"/>
  <c r="AL2" i="111"/>
  <c r="AK2" i="111"/>
  <c r="AJ2" i="111"/>
  <c r="AH2" i="111"/>
  <c r="AG2" i="111"/>
  <c r="AE2" i="111"/>
  <c r="AD2" i="111"/>
  <c r="AA2" i="111"/>
  <c r="R2" i="111"/>
  <c r="Q2" i="111"/>
  <c r="I2" i="111"/>
  <c r="DM3" i="111"/>
  <c r="CY3" i="111"/>
  <c r="BL3" i="111"/>
  <c r="CT3" i="111"/>
  <c r="CJ3" i="111"/>
  <c r="CG3" i="111"/>
  <c r="CD3" i="111"/>
  <c r="CA3" i="111"/>
  <c r="BX3" i="111"/>
  <c r="BU3" i="111"/>
  <c r="BR3" i="111"/>
  <c r="BO3" i="111"/>
  <c r="AP3" i="111"/>
  <c r="AV3" i="111"/>
  <c r="AX3" i="111"/>
  <c r="AS3" i="111"/>
  <c r="AW3" i="111"/>
  <c r="AU3" i="111"/>
  <c r="AT3" i="111"/>
  <c r="AI3" i="111"/>
  <c r="AL3" i="111"/>
  <c r="AK3" i="111"/>
  <c r="AJ3" i="111"/>
  <c r="AH3" i="111"/>
  <c r="AG3" i="111"/>
  <c r="AA3" i="111"/>
  <c r="R3" i="111"/>
  <c r="Q3" i="111"/>
  <c r="I3" i="111"/>
  <c r="C6" i="91"/>
  <c r="AD3" i="112"/>
  <c r="AE3" i="112"/>
  <c r="AD4" i="112"/>
  <c r="AE4" i="112"/>
  <c r="AD5" i="112"/>
  <c r="AE5" i="112"/>
  <c r="AD6" i="112"/>
  <c r="AE6" i="112"/>
  <c r="AD7" i="112"/>
  <c r="AE7" i="112"/>
  <c r="AD10" i="112"/>
  <c r="AE10" i="112"/>
  <c r="AE16" i="112"/>
  <c r="AD17" i="112"/>
  <c r="AE17" i="112"/>
  <c r="AD8" i="112"/>
  <c r="AE8" i="112"/>
  <c r="AE9" i="112"/>
  <c r="AD11" i="112"/>
  <c r="AE11" i="112"/>
  <c r="AD13" i="112"/>
  <c r="AE13" i="112"/>
  <c r="AD12" i="112"/>
  <c r="AE12" i="112"/>
  <c r="AD15" i="112"/>
  <c r="AE15" i="112"/>
  <c r="AD14" i="112"/>
  <c r="AE14" i="112"/>
  <c r="AD18" i="112"/>
  <c r="AE18" i="112"/>
  <c r="AE2" i="112"/>
  <c r="AD2" i="112"/>
  <c r="AD10" i="111"/>
  <c r="AI10" i="111"/>
  <c r="AI11" i="111"/>
  <c r="AI4" i="111"/>
  <c r="AI3" i="112"/>
  <c r="AI4" i="112"/>
  <c r="AI5" i="112"/>
  <c r="AI6" i="112"/>
  <c r="AI7" i="112"/>
  <c r="AI10" i="112"/>
  <c r="AI16" i="112"/>
  <c r="AI17" i="112"/>
  <c r="AI8" i="112"/>
  <c r="AI9" i="112"/>
  <c r="AI11" i="112"/>
  <c r="AI13" i="112"/>
  <c r="AI12" i="112"/>
  <c r="AI15" i="112"/>
  <c r="AI14" i="112"/>
  <c r="AI18" i="112"/>
  <c r="AI2" i="112"/>
  <c r="AI3" i="113"/>
  <c r="AI4" i="113"/>
  <c r="AI6" i="113"/>
  <c r="AI7" i="113"/>
  <c r="AI5" i="113"/>
  <c r="AI8" i="113"/>
  <c r="AI9" i="113"/>
  <c r="AI10" i="113"/>
  <c r="AI12" i="113"/>
  <c r="AI11" i="113"/>
  <c r="AI13" i="113"/>
  <c r="AI14" i="113"/>
  <c r="AI15" i="113"/>
  <c r="AI16" i="113"/>
  <c r="AI18" i="113"/>
  <c r="AI17" i="113"/>
  <c r="AI2" i="113"/>
  <c r="AI3" i="114"/>
  <c r="AI4" i="114"/>
  <c r="AI5" i="114"/>
  <c r="AI6" i="114"/>
  <c r="AI7" i="114"/>
  <c r="AI8" i="114"/>
  <c r="AI9" i="114"/>
  <c r="AI10" i="114"/>
  <c r="AI11" i="114"/>
  <c r="AI12" i="114"/>
  <c r="AI13" i="114"/>
  <c r="AI14" i="114"/>
  <c r="AI15" i="114"/>
  <c r="AI16" i="114"/>
  <c r="AI17" i="114"/>
  <c r="AI18" i="114"/>
  <c r="AI19" i="114"/>
  <c r="AI2" i="114"/>
  <c r="AI3" i="115"/>
  <c r="AI4" i="115"/>
  <c r="AI5" i="115"/>
  <c r="AI6" i="115"/>
  <c r="AI2" i="115"/>
  <c r="K24" i="106"/>
  <c r="K23" i="106"/>
  <c r="K22" i="106"/>
  <c r="K21" i="106"/>
  <c r="K20" i="106"/>
  <c r="B12" i="106"/>
  <c r="K19" i="106"/>
  <c r="K18" i="106"/>
  <c r="B10" i="106"/>
  <c r="K17" i="106"/>
  <c r="B8" i="106"/>
  <c r="K15" i="106"/>
  <c r="K14" i="106"/>
  <c r="N8" i="106"/>
  <c r="M8" i="106"/>
  <c r="L8" i="106"/>
  <c r="K8" i="106"/>
  <c r="J8" i="106"/>
  <c r="I8" i="106"/>
  <c r="N6" i="106"/>
  <c r="M6" i="106"/>
  <c r="L6" i="106"/>
  <c r="K6" i="106"/>
  <c r="J6" i="106"/>
  <c r="I6" i="106"/>
  <c r="H6" i="106"/>
  <c r="G6" i="106"/>
  <c r="F6" i="106"/>
  <c r="H2" i="106"/>
  <c r="F2" i="106"/>
  <c r="DN6" i="115"/>
  <c r="DM6" i="115"/>
  <c r="CY6" i="115"/>
  <c r="CT6" i="115"/>
  <c r="CJ6" i="115"/>
  <c r="CG6" i="115"/>
  <c r="CD6" i="115"/>
  <c r="CA6" i="115"/>
  <c r="BX6" i="115"/>
  <c r="BU6" i="115"/>
  <c r="BR6" i="115"/>
  <c r="BO6" i="115"/>
  <c r="BL6" i="115"/>
  <c r="AM6" i="115"/>
  <c r="AN6" i="115"/>
  <c r="AP6" i="115"/>
  <c r="AS6" i="115"/>
  <c r="AV6" i="115"/>
  <c r="AX6" i="115"/>
  <c r="AW6" i="115"/>
  <c r="AU6" i="115"/>
  <c r="AT6" i="115"/>
  <c r="AO6" i="115"/>
  <c r="AR6" i="115"/>
  <c r="AQ6" i="115"/>
  <c r="AL6" i="115"/>
  <c r="AK6" i="115"/>
  <c r="AJ6" i="115"/>
  <c r="AH6" i="115"/>
  <c r="AG6" i="115"/>
  <c r="AA6" i="115"/>
  <c r="R6" i="115"/>
  <c r="Q6" i="115"/>
  <c r="I6" i="115"/>
  <c r="DN5" i="115"/>
  <c r="DM5" i="115"/>
  <c r="CY5" i="115"/>
  <c r="CT5" i="115"/>
  <c r="CJ5" i="115"/>
  <c r="CG5" i="115"/>
  <c r="CD5" i="115"/>
  <c r="CA5" i="115"/>
  <c r="BX5" i="115"/>
  <c r="BU5" i="115"/>
  <c r="BR5" i="115"/>
  <c r="BO5" i="115"/>
  <c r="BL5" i="115"/>
  <c r="AM5" i="115"/>
  <c r="AN5" i="115"/>
  <c r="AP5" i="115"/>
  <c r="AS5" i="115"/>
  <c r="AV5" i="115"/>
  <c r="AX5" i="115"/>
  <c r="AW5" i="115"/>
  <c r="AU5" i="115"/>
  <c r="AT5" i="115"/>
  <c r="AO5" i="115"/>
  <c r="AR5" i="115"/>
  <c r="AQ5" i="115"/>
  <c r="AL5" i="115"/>
  <c r="AK5" i="115"/>
  <c r="AJ5" i="115"/>
  <c r="AH5" i="115"/>
  <c r="AG5" i="115"/>
  <c r="AA5" i="115"/>
  <c r="R5" i="115"/>
  <c r="Q5" i="115"/>
  <c r="I5" i="115"/>
  <c r="DN4" i="115"/>
  <c r="DM4" i="115"/>
  <c r="CY4" i="115"/>
  <c r="CT4" i="115"/>
  <c r="CJ4" i="115"/>
  <c r="CG4" i="115"/>
  <c r="CD4" i="115"/>
  <c r="CA4" i="115"/>
  <c r="BX4" i="115"/>
  <c r="BU4" i="115"/>
  <c r="BR4" i="115"/>
  <c r="BO4" i="115"/>
  <c r="BL4" i="115"/>
  <c r="AM4" i="115"/>
  <c r="AN4" i="115"/>
  <c r="AP4" i="115"/>
  <c r="AS4" i="115"/>
  <c r="AV4" i="115"/>
  <c r="AX4" i="115"/>
  <c r="AW4" i="115"/>
  <c r="AU4" i="115"/>
  <c r="AT4" i="115"/>
  <c r="AO4" i="115"/>
  <c r="AR4" i="115"/>
  <c r="AQ4" i="115"/>
  <c r="AL4" i="115"/>
  <c r="AK4" i="115"/>
  <c r="AJ4" i="115"/>
  <c r="AH4" i="115"/>
  <c r="AG4" i="115"/>
  <c r="AA4" i="115"/>
  <c r="R4" i="115"/>
  <c r="Q4" i="115"/>
  <c r="I4" i="115"/>
  <c r="DN3" i="115"/>
  <c r="DM3" i="115"/>
  <c r="CY3" i="115"/>
  <c r="CT3" i="115"/>
  <c r="CJ3" i="115"/>
  <c r="CG3" i="115"/>
  <c r="CD3" i="115"/>
  <c r="CA3" i="115"/>
  <c r="BX3" i="115"/>
  <c r="BU3" i="115"/>
  <c r="BR3" i="115"/>
  <c r="BO3" i="115"/>
  <c r="BL3" i="115"/>
  <c r="AM3" i="115"/>
  <c r="AN3" i="115"/>
  <c r="AP3" i="115"/>
  <c r="AS3" i="115"/>
  <c r="AV3" i="115"/>
  <c r="AX3" i="115"/>
  <c r="AW3" i="115"/>
  <c r="AU3" i="115"/>
  <c r="AT3" i="115"/>
  <c r="AO3" i="115"/>
  <c r="AR3" i="115"/>
  <c r="AQ3" i="115"/>
  <c r="AL3" i="115"/>
  <c r="AK3" i="115"/>
  <c r="AJ3" i="115"/>
  <c r="AH3" i="115"/>
  <c r="AG3" i="115"/>
  <c r="AA3" i="115"/>
  <c r="R3" i="115"/>
  <c r="Q3" i="115"/>
  <c r="I3" i="115"/>
  <c r="DN2" i="115"/>
  <c r="DM2" i="115"/>
  <c r="BL2" i="115"/>
  <c r="CT2" i="115"/>
  <c r="CJ2" i="115"/>
  <c r="CG2" i="115"/>
  <c r="CD2" i="115"/>
  <c r="CA2" i="115"/>
  <c r="BX2" i="115"/>
  <c r="BU2" i="115"/>
  <c r="BR2" i="115"/>
  <c r="BO2" i="115"/>
  <c r="AM2" i="115"/>
  <c r="AN2" i="115"/>
  <c r="AP2" i="115"/>
  <c r="AS2" i="115"/>
  <c r="AV2" i="115"/>
  <c r="AX2" i="115"/>
  <c r="AW2" i="115"/>
  <c r="AU2" i="115"/>
  <c r="AT2" i="115"/>
  <c r="AO2" i="115"/>
  <c r="AR2" i="115"/>
  <c r="AQ2" i="115"/>
  <c r="AL2" i="115"/>
  <c r="AK2" i="115"/>
  <c r="AJ2" i="115"/>
  <c r="AH2" i="115"/>
  <c r="AG2" i="115"/>
  <c r="AA2" i="115"/>
  <c r="R2" i="115"/>
  <c r="Q2" i="115"/>
  <c r="I2" i="115"/>
  <c r="AA1" i="115"/>
  <c r="I1" i="115"/>
  <c r="U5" i="114"/>
  <c r="U4" i="114"/>
  <c r="U3" i="114"/>
  <c r="U2" i="114"/>
  <c r="DN19" i="114"/>
  <c r="DM19" i="114"/>
  <c r="CT19" i="114"/>
  <c r="CJ19" i="114"/>
  <c r="CG19" i="114"/>
  <c r="CD19" i="114"/>
  <c r="CA19" i="114"/>
  <c r="BX19" i="114"/>
  <c r="BU19" i="114"/>
  <c r="BR19" i="114"/>
  <c r="BO19" i="114"/>
  <c r="BL19" i="114"/>
  <c r="AM19" i="114"/>
  <c r="AN19" i="114"/>
  <c r="AP19" i="114"/>
  <c r="AS19" i="114"/>
  <c r="AV19" i="114"/>
  <c r="AX19" i="114"/>
  <c r="AW19" i="114"/>
  <c r="AU19" i="114"/>
  <c r="AT19" i="114"/>
  <c r="AO19" i="114"/>
  <c r="AR19" i="114"/>
  <c r="AQ19" i="114"/>
  <c r="AL19" i="114"/>
  <c r="AK19" i="114"/>
  <c r="AJ19" i="114"/>
  <c r="AH19" i="114"/>
  <c r="AG19" i="114"/>
  <c r="AA19" i="114"/>
  <c r="R19" i="114"/>
  <c r="Q19" i="114"/>
  <c r="I19" i="114"/>
  <c r="DN18" i="114"/>
  <c r="DM18" i="114"/>
  <c r="CT18" i="114"/>
  <c r="CJ18" i="114"/>
  <c r="CG18" i="114"/>
  <c r="CD18" i="114"/>
  <c r="CA18" i="114"/>
  <c r="BX18" i="114"/>
  <c r="BU18" i="114"/>
  <c r="BR18" i="114"/>
  <c r="BO18" i="114"/>
  <c r="BL18" i="114"/>
  <c r="AM18" i="114"/>
  <c r="AN18" i="114"/>
  <c r="AP18" i="114"/>
  <c r="AS18" i="114"/>
  <c r="AV18" i="114"/>
  <c r="AX18" i="114"/>
  <c r="AW18" i="114"/>
  <c r="AU18" i="114"/>
  <c r="AT18" i="114"/>
  <c r="AO18" i="114"/>
  <c r="AR18" i="114"/>
  <c r="AQ18" i="114"/>
  <c r="AL18" i="114"/>
  <c r="AK18" i="114"/>
  <c r="AJ18" i="114"/>
  <c r="AH18" i="114"/>
  <c r="AG18" i="114"/>
  <c r="AA18" i="114"/>
  <c r="R18" i="114"/>
  <c r="Q18" i="114"/>
  <c r="I18" i="114"/>
  <c r="DN17" i="114"/>
  <c r="DM17" i="114"/>
  <c r="CT17" i="114"/>
  <c r="CJ17" i="114"/>
  <c r="CG17" i="114"/>
  <c r="CD17" i="114"/>
  <c r="CA17" i="114"/>
  <c r="BX17" i="114"/>
  <c r="BU17" i="114"/>
  <c r="BR17" i="114"/>
  <c r="BO17" i="114"/>
  <c r="BL17" i="114"/>
  <c r="AM17" i="114"/>
  <c r="AN17" i="114"/>
  <c r="AP17" i="114"/>
  <c r="AS17" i="114"/>
  <c r="AV17" i="114"/>
  <c r="AX17" i="114"/>
  <c r="AW17" i="114"/>
  <c r="AU17" i="114"/>
  <c r="AT17" i="114"/>
  <c r="AO17" i="114"/>
  <c r="AR17" i="114"/>
  <c r="AQ17" i="114"/>
  <c r="AL17" i="114"/>
  <c r="AK17" i="114"/>
  <c r="AJ17" i="114"/>
  <c r="AH17" i="114"/>
  <c r="AG17" i="114"/>
  <c r="AA17" i="114"/>
  <c r="R17" i="114"/>
  <c r="Q17" i="114"/>
  <c r="I17" i="114"/>
  <c r="DN16" i="114"/>
  <c r="DM16" i="114"/>
  <c r="BL16" i="114"/>
  <c r="CT16" i="114"/>
  <c r="CJ16" i="114"/>
  <c r="CG16" i="114"/>
  <c r="CD16" i="114"/>
  <c r="CA16" i="114"/>
  <c r="BX16" i="114"/>
  <c r="BU16" i="114"/>
  <c r="BR16" i="114"/>
  <c r="BO16" i="114"/>
  <c r="AM16" i="114"/>
  <c r="AN16" i="114"/>
  <c r="AP16" i="114"/>
  <c r="AS16" i="114"/>
  <c r="AV16" i="114"/>
  <c r="AX16" i="114"/>
  <c r="AW16" i="114"/>
  <c r="AU16" i="114"/>
  <c r="AT16" i="114"/>
  <c r="AO16" i="114"/>
  <c r="AR16" i="114"/>
  <c r="AQ16" i="114"/>
  <c r="AL16" i="114"/>
  <c r="AK16" i="114"/>
  <c r="AJ16" i="114"/>
  <c r="AH16" i="114"/>
  <c r="AG16" i="114"/>
  <c r="AA16" i="114"/>
  <c r="R16" i="114"/>
  <c r="Q16" i="114"/>
  <c r="I16" i="114"/>
  <c r="DN15" i="114"/>
  <c r="DM15" i="114"/>
  <c r="CT15" i="114"/>
  <c r="CJ15" i="114"/>
  <c r="CG15" i="114"/>
  <c r="CD15" i="114"/>
  <c r="CA15" i="114"/>
  <c r="BX15" i="114"/>
  <c r="BU15" i="114"/>
  <c r="BR15" i="114"/>
  <c r="BO15" i="114"/>
  <c r="BL15" i="114"/>
  <c r="AM15" i="114"/>
  <c r="AN15" i="114"/>
  <c r="AP15" i="114"/>
  <c r="AS15" i="114"/>
  <c r="AV15" i="114"/>
  <c r="AX15" i="114"/>
  <c r="AW15" i="114"/>
  <c r="AU15" i="114"/>
  <c r="AT15" i="114"/>
  <c r="AO15" i="114"/>
  <c r="AR15" i="114"/>
  <c r="AQ15" i="114"/>
  <c r="AL15" i="114"/>
  <c r="AK15" i="114"/>
  <c r="AJ15" i="114"/>
  <c r="AH15" i="114"/>
  <c r="AG15" i="114"/>
  <c r="AA15" i="114"/>
  <c r="R15" i="114"/>
  <c r="Q15" i="114"/>
  <c r="I15" i="114"/>
  <c r="DN14" i="114"/>
  <c r="DM14" i="114"/>
  <c r="CT14" i="114"/>
  <c r="CJ14" i="114"/>
  <c r="CG14" i="114"/>
  <c r="CD14" i="114"/>
  <c r="CA14" i="114"/>
  <c r="BX14" i="114"/>
  <c r="BU14" i="114"/>
  <c r="BR14" i="114"/>
  <c r="BO14" i="114"/>
  <c r="BL14" i="114"/>
  <c r="AM14" i="114"/>
  <c r="AN14" i="114"/>
  <c r="AP14" i="114"/>
  <c r="AS14" i="114"/>
  <c r="AV14" i="114"/>
  <c r="AX14" i="114"/>
  <c r="AW14" i="114"/>
  <c r="AU14" i="114"/>
  <c r="AT14" i="114"/>
  <c r="AO14" i="114"/>
  <c r="AR14" i="114"/>
  <c r="AQ14" i="114"/>
  <c r="AL14" i="114"/>
  <c r="AK14" i="114"/>
  <c r="AJ14" i="114"/>
  <c r="AH14" i="114"/>
  <c r="AG14" i="114"/>
  <c r="AA14" i="114"/>
  <c r="R14" i="114"/>
  <c r="Q14" i="114"/>
  <c r="I14" i="114"/>
  <c r="DN13" i="114"/>
  <c r="DM13" i="114"/>
  <c r="BL13" i="114"/>
  <c r="CT13" i="114"/>
  <c r="CJ13" i="114"/>
  <c r="CG13" i="114"/>
  <c r="CD13" i="114"/>
  <c r="CA13" i="114"/>
  <c r="BX13" i="114"/>
  <c r="BU13" i="114"/>
  <c r="BR13" i="114"/>
  <c r="BO13" i="114"/>
  <c r="AM13" i="114"/>
  <c r="AN13" i="114"/>
  <c r="AP13" i="114"/>
  <c r="AS13" i="114"/>
  <c r="AV13" i="114"/>
  <c r="AX13" i="114"/>
  <c r="AW13" i="114"/>
  <c r="AU13" i="114"/>
  <c r="AT13" i="114"/>
  <c r="AO13" i="114"/>
  <c r="AR13" i="114"/>
  <c r="AQ13" i="114"/>
  <c r="AL13" i="114"/>
  <c r="AK13" i="114"/>
  <c r="AJ13" i="114"/>
  <c r="AH13" i="114"/>
  <c r="AG13" i="114"/>
  <c r="AA13" i="114"/>
  <c r="R13" i="114"/>
  <c r="Q13" i="114"/>
  <c r="I13" i="114"/>
  <c r="DN12" i="114"/>
  <c r="DM12" i="114"/>
  <c r="BL12" i="114"/>
  <c r="CT12" i="114"/>
  <c r="CJ12" i="114"/>
  <c r="CG12" i="114"/>
  <c r="CD12" i="114"/>
  <c r="CA12" i="114"/>
  <c r="BX12" i="114"/>
  <c r="BU12" i="114"/>
  <c r="BR12" i="114"/>
  <c r="BO12" i="114"/>
  <c r="AM12" i="114"/>
  <c r="AN12" i="114"/>
  <c r="AP12" i="114"/>
  <c r="AS12" i="114"/>
  <c r="AV12" i="114"/>
  <c r="AX12" i="114"/>
  <c r="AW12" i="114"/>
  <c r="AU12" i="114"/>
  <c r="AT12" i="114"/>
  <c r="AO12" i="114"/>
  <c r="AR12" i="114"/>
  <c r="AQ12" i="114"/>
  <c r="AL12" i="114"/>
  <c r="AK12" i="114"/>
  <c r="AJ12" i="114"/>
  <c r="AH12" i="114"/>
  <c r="AG12" i="114"/>
  <c r="AA12" i="114"/>
  <c r="R12" i="114"/>
  <c r="Q12" i="114"/>
  <c r="I12" i="114"/>
  <c r="DN11" i="114"/>
  <c r="DM11" i="114"/>
  <c r="BL11" i="114"/>
  <c r="CT11" i="114"/>
  <c r="CJ11" i="114"/>
  <c r="CG11" i="114"/>
  <c r="CD11" i="114"/>
  <c r="CA11" i="114"/>
  <c r="BX11" i="114"/>
  <c r="BU11" i="114"/>
  <c r="BR11" i="114"/>
  <c r="BO11" i="114"/>
  <c r="AM11" i="114"/>
  <c r="AN11" i="114"/>
  <c r="AP11" i="114"/>
  <c r="AS11" i="114"/>
  <c r="AV11" i="114"/>
  <c r="AX11" i="114"/>
  <c r="AW11" i="114"/>
  <c r="AU11" i="114"/>
  <c r="AT11" i="114"/>
  <c r="AO11" i="114"/>
  <c r="AR11" i="114"/>
  <c r="AQ11" i="114"/>
  <c r="AL11" i="114"/>
  <c r="AK11" i="114"/>
  <c r="AJ11" i="114"/>
  <c r="AH11" i="114"/>
  <c r="AG11" i="114"/>
  <c r="AA11" i="114"/>
  <c r="R11" i="114"/>
  <c r="Q11" i="114"/>
  <c r="I11" i="114"/>
  <c r="DN10" i="114"/>
  <c r="DM10" i="114"/>
  <c r="CT10" i="114"/>
  <c r="CJ10" i="114"/>
  <c r="CG10" i="114"/>
  <c r="CD10" i="114"/>
  <c r="CA10" i="114"/>
  <c r="BX10" i="114"/>
  <c r="BU10" i="114"/>
  <c r="BR10" i="114"/>
  <c r="BO10" i="114"/>
  <c r="BL10" i="114"/>
  <c r="AM10" i="114"/>
  <c r="AN10" i="114"/>
  <c r="AP10" i="114"/>
  <c r="AS10" i="114"/>
  <c r="AV10" i="114"/>
  <c r="AX10" i="114"/>
  <c r="AW10" i="114"/>
  <c r="AU10" i="114"/>
  <c r="AT10" i="114"/>
  <c r="AO10" i="114"/>
  <c r="AR10" i="114"/>
  <c r="AQ10" i="114"/>
  <c r="AL10" i="114"/>
  <c r="AK10" i="114"/>
  <c r="AJ10" i="114"/>
  <c r="AH10" i="114"/>
  <c r="AG10" i="114"/>
  <c r="AA10" i="114"/>
  <c r="R10" i="114"/>
  <c r="Q10" i="114"/>
  <c r="I10" i="114"/>
  <c r="DN9" i="114"/>
  <c r="DM9" i="114"/>
  <c r="CT9" i="114"/>
  <c r="CJ9" i="114"/>
  <c r="CG9" i="114"/>
  <c r="CD9" i="114"/>
  <c r="CA9" i="114"/>
  <c r="BX9" i="114"/>
  <c r="BU9" i="114"/>
  <c r="BR9" i="114"/>
  <c r="BO9" i="114"/>
  <c r="BL9" i="114"/>
  <c r="AM9" i="114"/>
  <c r="AN9" i="114"/>
  <c r="AP9" i="114"/>
  <c r="AS9" i="114"/>
  <c r="AV9" i="114"/>
  <c r="AX9" i="114"/>
  <c r="AW9" i="114"/>
  <c r="AU9" i="114"/>
  <c r="AT9" i="114"/>
  <c r="AO9" i="114"/>
  <c r="AR9" i="114"/>
  <c r="AQ9" i="114"/>
  <c r="AL9" i="114"/>
  <c r="AK9" i="114"/>
  <c r="AJ9" i="114"/>
  <c r="AH9" i="114"/>
  <c r="AG9" i="114"/>
  <c r="AA9" i="114"/>
  <c r="R9" i="114"/>
  <c r="Q9" i="114"/>
  <c r="I9" i="114"/>
  <c r="DN8" i="114"/>
  <c r="DM8" i="114"/>
  <c r="CT8" i="114"/>
  <c r="CJ8" i="114"/>
  <c r="CG8" i="114"/>
  <c r="CD8" i="114"/>
  <c r="CA8" i="114"/>
  <c r="BX8" i="114"/>
  <c r="BU8" i="114"/>
  <c r="BR8" i="114"/>
  <c r="BO8" i="114"/>
  <c r="BL8" i="114"/>
  <c r="AM8" i="114"/>
  <c r="AN8" i="114"/>
  <c r="AP8" i="114"/>
  <c r="AS8" i="114"/>
  <c r="AV8" i="114"/>
  <c r="AX8" i="114"/>
  <c r="AW8" i="114"/>
  <c r="AU8" i="114"/>
  <c r="AT8" i="114"/>
  <c r="AO8" i="114"/>
  <c r="AR8" i="114"/>
  <c r="AQ8" i="114"/>
  <c r="AL8" i="114"/>
  <c r="AK8" i="114"/>
  <c r="AJ8" i="114"/>
  <c r="AH8" i="114"/>
  <c r="AG8" i="114"/>
  <c r="AA8" i="114"/>
  <c r="R8" i="114"/>
  <c r="Q8" i="114"/>
  <c r="I8" i="114"/>
  <c r="DN7" i="114"/>
  <c r="DM7" i="114"/>
  <c r="CT7" i="114"/>
  <c r="CJ7" i="114"/>
  <c r="CG7" i="114"/>
  <c r="CD7" i="114"/>
  <c r="CA7" i="114"/>
  <c r="BX7" i="114"/>
  <c r="BU7" i="114"/>
  <c r="BR7" i="114"/>
  <c r="BO7" i="114"/>
  <c r="BL7" i="114"/>
  <c r="AM7" i="114"/>
  <c r="AN7" i="114"/>
  <c r="AP7" i="114"/>
  <c r="AS7" i="114"/>
  <c r="AV7" i="114"/>
  <c r="AX7" i="114"/>
  <c r="AW7" i="114"/>
  <c r="AU7" i="114"/>
  <c r="AT7" i="114"/>
  <c r="AO7" i="114"/>
  <c r="AR7" i="114"/>
  <c r="AQ7" i="114"/>
  <c r="AL7" i="114"/>
  <c r="AK7" i="114"/>
  <c r="AJ7" i="114"/>
  <c r="AH7" i="114"/>
  <c r="AG7" i="114"/>
  <c r="AA7" i="114"/>
  <c r="R7" i="114"/>
  <c r="Q7" i="114"/>
  <c r="I7" i="114"/>
  <c r="DN6" i="114"/>
  <c r="DM6" i="114"/>
  <c r="BL6" i="114"/>
  <c r="CT6" i="114"/>
  <c r="CJ6" i="114"/>
  <c r="CG6" i="114"/>
  <c r="CD6" i="114"/>
  <c r="CA6" i="114"/>
  <c r="BX6" i="114"/>
  <c r="BU6" i="114"/>
  <c r="BR6" i="114"/>
  <c r="BO6" i="114"/>
  <c r="AM6" i="114"/>
  <c r="AN6" i="114"/>
  <c r="AP6" i="114"/>
  <c r="AS6" i="114"/>
  <c r="AV6" i="114"/>
  <c r="AX6" i="114"/>
  <c r="AW6" i="114"/>
  <c r="AU6" i="114"/>
  <c r="AT6" i="114"/>
  <c r="AO6" i="114"/>
  <c r="AR6" i="114"/>
  <c r="AQ6" i="114"/>
  <c r="AL6" i="114"/>
  <c r="AK6" i="114"/>
  <c r="AJ6" i="114"/>
  <c r="AH6" i="114"/>
  <c r="AG6" i="114"/>
  <c r="AA6" i="114"/>
  <c r="R6" i="114"/>
  <c r="Q6" i="114"/>
  <c r="I6" i="114"/>
  <c r="DN5" i="114"/>
  <c r="DM5" i="114"/>
  <c r="CT5" i="114"/>
  <c r="CJ5" i="114"/>
  <c r="CG5" i="114"/>
  <c r="CD5" i="114"/>
  <c r="CA5" i="114"/>
  <c r="BX5" i="114"/>
  <c r="BU5" i="114"/>
  <c r="BR5" i="114"/>
  <c r="BO5" i="114"/>
  <c r="BL5" i="114"/>
  <c r="AM5" i="114"/>
  <c r="AN5" i="114"/>
  <c r="AP5" i="114"/>
  <c r="AS5" i="114"/>
  <c r="AX5" i="114"/>
  <c r="AW5" i="114"/>
  <c r="AV5" i="114"/>
  <c r="AU5" i="114"/>
  <c r="AT5" i="114"/>
  <c r="AO5" i="114"/>
  <c r="AR5" i="114"/>
  <c r="AQ5" i="114"/>
  <c r="AL5" i="114"/>
  <c r="AK5" i="114"/>
  <c r="AJ5" i="114"/>
  <c r="AH5" i="114"/>
  <c r="AG5" i="114"/>
  <c r="AA5" i="114"/>
  <c r="T5" i="114"/>
  <c r="R5" i="114"/>
  <c r="Q5" i="114"/>
  <c r="I5" i="114"/>
  <c r="DN4" i="114"/>
  <c r="DM4" i="114"/>
  <c r="CT4" i="114"/>
  <c r="CJ4" i="114"/>
  <c r="CG4" i="114"/>
  <c r="CD4" i="114"/>
  <c r="CA4" i="114"/>
  <c r="BX4" i="114"/>
  <c r="BU4" i="114"/>
  <c r="BR4" i="114"/>
  <c r="BO4" i="114"/>
  <c r="BL4" i="114"/>
  <c r="AM4" i="114"/>
  <c r="AN4" i="114"/>
  <c r="AP4" i="114"/>
  <c r="AS4" i="114"/>
  <c r="AX4" i="114"/>
  <c r="AW4" i="114"/>
  <c r="AV4" i="114"/>
  <c r="AU4" i="114"/>
  <c r="AT4" i="114"/>
  <c r="AO4" i="114"/>
  <c r="AR4" i="114"/>
  <c r="AQ4" i="114"/>
  <c r="AL4" i="114"/>
  <c r="AK4" i="114"/>
  <c r="AJ4" i="114"/>
  <c r="AH4" i="114"/>
  <c r="AG4" i="114"/>
  <c r="AA4" i="114"/>
  <c r="T4" i="114"/>
  <c r="R4" i="114"/>
  <c r="Q4" i="114"/>
  <c r="I4" i="114"/>
  <c r="DN3" i="114"/>
  <c r="DM3" i="114"/>
  <c r="BL3" i="114"/>
  <c r="CT3" i="114"/>
  <c r="CJ3" i="114"/>
  <c r="CG3" i="114"/>
  <c r="CD3" i="114"/>
  <c r="CA3" i="114"/>
  <c r="BX3" i="114"/>
  <c r="BU3" i="114"/>
  <c r="BR3" i="114"/>
  <c r="BO3" i="114"/>
  <c r="AM3" i="114"/>
  <c r="AN3" i="114"/>
  <c r="AP3" i="114"/>
  <c r="AS3" i="114"/>
  <c r="AX3" i="114"/>
  <c r="AW3" i="114"/>
  <c r="AV3" i="114"/>
  <c r="AU3" i="114"/>
  <c r="AT3" i="114"/>
  <c r="AO3" i="114"/>
  <c r="AR3" i="114"/>
  <c r="AQ3" i="114"/>
  <c r="AL3" i="114"/>
  <c r="AK3" i="114"/>
  <c r="AJ3" i="114"/>
  <c r="AH3" i="114"/>
  <c r="AG3" i="114"/>
  <c r="AA3" i="114"/>
  <c r="T3" i="114"/>
  <c r="R3" i="114"/>
  <c r="Q3" i="114"/>
  <c r="I3" i="114"/>
  <c r="DN2" i="114"/>
  <c r="DM2" i="114"/>
  <c r="CT2" i="114"/>
  <c r="CJ2" i="114"/>
  <c r="CG2" i="114"/>
  <c r="CD2" i="114"/>
  <c r="CA2" i="114"/>
  <c r="BX2" i="114"/>
  <c r="BU2" i="114"/>
  <c r="BR2" i="114"/>
  <c r="BO2" i="114"/>
  <c r="BL2" i="114"/>
  <c r="AM2" i="114"/>
  <c r="AN2" i="114"/>
  <c r="AP2" i="114"/>
  <c r="AS2" i="114"/>
  <c r="AX2" i="114"/>
  <c r="AW2" i="114"/>
  <c r="AV2" i="114"/>
  <c r="AU2" i="114"/>
  <c r="AT2" i="114"/>
  <c r="AO2" i="114"/>
  <c r="AR2" i="114"/>
  <c r="AQ2" i="114"/>
  <c r="AL2" i="114"/>
  <c r="AK2" i="114"/>
  <c r="AJ2" i="114"/>
  <c r="AH2" i="114"/>
  <c r="AG2" i="114"/>
  <c r="AA2" i="114"/>
  <c r="T2" i="114"/>
  <c r="R2" i="114"/>
  <c r="Q2" i="114"/>
  <c r="I2" i="114"/>
  <c r="AA1" i="114"/>
  <c r="I1" i="114"/>
  <c r="U2" i="113"/>
  <c r="DN17" i="113"/>
  <c r="DM17" i="113"/>
  <c r="CT17" i="113"/>
  <c r="CJ17" i="113"/>
  <c r="CG17" i="113"/>
  <c r="CD17" i="113"/>
  <c r="CA17" i="113"/>
  <c r="BX17" i="113"/>
  <c r="BU17" i="113"/>
  <c r="BR17" i="113"/>
  <c r="BO17" i="113"/>
  <c r="BL17" i="113"/>
  <c r="AM17" i="113"/>
  <c r="AN17" i="113"/>
  <c r="AP17" i="113"/>
  <c r="AS17" i="113"/>
  <c r="AV17" i="113"/>
  <c r="AX17" i="113"/>
  <c r="AW17" i="113"/>
  <c r="AU17" i="113"/>
  <c r="AT17" i="113"/>
  <c r="AO17" i="113"/>
  <c r="AR17" i="113"/>
  <c r="AQ17" i="113"/>
  <c r="AL17" i="113"/>
  <c r="AK17" i="113"/>
  <c r="AJ17" i="113"/>
  <c r="AH17" i="113"/>
  <c r="AG17" i="113"/>
  <c r="AA17" i="113"/>
  <c r="R17" i="113"/>
  <c r="Q17" i="113"/>
  <c r="I17" i="113"/>
  <c r="DN18" i="113"/>
  <c r="DM18" i="113"/>
  <c r="CT18" i="113"/>
  <c r="CJ18" i="113"/>
  <c r="CG18" i="113"/>
  <c r="CD18" i="113"/>
  <c r="CA18" i="113"/>
  <c r="BX18" i="113"/>
  <c r="BU18" i="113"/>
  <c r="BR18" i="113"/>
  <c r="BO18" i="113"/>
  <c r="BL18" i="113"/>
  <c r="AM18" i="113"/>
  <c r="AN18" i="113"/>
  <c r="AP18" i="113"/>
  <c r="AS18" i="113"/>
  <c r="AV18" i="113"/>
  <c r="AX18" i="113"/>
  <c r="AW18" i="113"/>
  <c r="AU18" i="113"/>
  <c r="AT18" i="113"/>
  <c r="AO18" i="113"/>
  <c r="AR18" i="113"/>
  <c r="AQ18" i="113"/>
  <c r="AL18" i="113"/>
  <c r="AK18" i="113"/>
  <c r="AJ18" i="113"/>
  <c r="AH18" i="113"/>
  <c r="AG18" i="113"/>
  <c r="AA18" i="113"/>
  <c r="R18" i="113"/>
  <c r="Q18" i="113"/>
  <c r="I18" i="113"/>
  <c r="DN16" i="113"/>
  <c r="DM16" i="113"/>
  <c r="BL16" i="113"/>
  <c r="CT16" i="113"/>
  <c r="CJ16" i="113"/>
  <c r="CG16" i="113"/>
  <c r="CD16" i="113"/>
  <c r="CA16" i="113"/>
  <c r="BX16" i="113"/>
  <c r="BU16" i="113"/>
  <c r="BR16" i="113"/>
  <c r="BO16" i="113"/>
  <c r="AM16" i="113"/>
  <c r="AN16" i="113"/>
  <c r="AP16" i="113"/>
  <c r="AS16" i="113"/>
  <c r="AV16" i="113"/>
  <c r="AX16" i="113"/>
  <c r="AW16" i="113"/>
  <c r="AU16" i="113"/>
  <c r="AT16" i="113"/>
  <c r="AO16" i="113"/>
  <c r="AR16" i="113"/>
  <c r="AQ16" i="113"/>
  <c r="AL16" i="113"/>
  <c r="AK16" i="113"/>
  <c r="AJ16" i="113"/>
  <c r="AH16" i="113"/>
  <c r="AG16" i="113"/>
  <c r="AA16" i="113"/>
  <c r="R16" i="113"/>
  <c r="Q16" i="113"/>
  <c r="I16" i="113"/>
  <c r="DN15" i="113"/>
  <c r="DM15" i="113"/>
  <c r="CT15" i="113"/>
  <c r="CJ15" i="113"/>
  <c r="CG15" i="113"/>
  <c r="CD15" i="113"/>
  <c r="CA15" i="113"/>
  <c r="BX15" i="113"/>
  <c r="BU15" i="113"/>
  <c r="BR15" i="113"/>
  <c r="BO15" i="113"/>
  <c r="BL15" i="113"/>
  <c r="AM15" i="113"/>
  <c r="AN15" i="113"/>
  <c r="AP15" i="113"/>
  <c r="AS15" i="113"/>
  <c r="AV15" i="113"/>
  <c r="AX15" i="113"/>
  <c r="AW15" i="113"/>
  <c r="AU15" i="113"/>
  <c r="AT15" i="113"/>
  <c r="AO15" i="113"/>
  <c r="AR15" i="113"/>
  <c r="AQ15" i="113"/>
  <c r="AL15" i="113"/>
  <c r="AK15" i="113"/>
  <c r="AJ15" i="113"/>
  <c r="AH15" i="113"/>
  <c r="AG15" i="113"/>
  <c r="AA15" i="113"/>
  <c r="R15" i="113"/>
  <c r="Q15" i="113"/>
  <c r="I15" i="113"/>
  <c r="DN14" i="113"/>
  <c r="DM14" i="113"/>
  <c r="CT14" i="113"/>
  <c r="CJ14" i="113"/>
  <c r="CG14" i="113"/>
  <c r="CD14" i="113"/>
  <c r="CA14" i="113"/>
  <c r="BX14" i="113"/>
  <c r="BU14" i="113"/>
  <c r="BR14" i="113"/>
  <c r="BO14" i="113"/>
  <c r="BL14" i="113"/>
  <c r="AM14" i="113"/>
  <c r="AN14" i="113"/>
  <c r="AP14" i="113"/>
  <c r="AS14" i="113"/>
  <c r="AV14" i="113"/>
  <c r="AX14" i="113"/>
  <c r="AW14" i="113"/>
  <c r="AU14" i="113"/>
  <c r="AT14" i="113"/>
  <c r="AO14" i="113"/>
  <c r="AR14" i="113"/>
  <c r="AQ14" i="113"/>
  <c r="AL14" i="113"/>
  <c r="AK14" i="113"/>
  <c r="AJ14" i="113"/>
  <c r="AH14" i="113"/>
  <c r="AG14" i="113"/>
  <c r="AA14" i="113"/>
  <c r="R14" i="113"/>
  <c r="Q14" i="113"/>
  <c r="I14" i="113"/>
  <c r="DN13" i="113"/>
  <c r="DM13" i="113"/>
  <c r="CT13" i="113"/>
  <c r="CJ13" i="113"/>
  <c r="CG13" i="113"/>
  <c r="CD13" i="113"/>
  <c r="CA13" i="113"/>
  <c r="BX13" i="113"/>
  <c r="BU13" i="113"/>
  <c r="BR13" i="113"/>
  <c r="BO13" i="113"/>
  <c r="BL13" i="113"/>
  <c r="AM13" i="113"/>
  <c r="AN13" i="113"/>
  <c r="AP13" i="113"/>
  <c r="AS13" i="113"/>
  <c r="AV13" i="113"/>
  <c r="AX13" i="113"/>
  <c r="AW13" i="113"/>
  <c r="AU13" i="113"/>
  <c r="AT13" i="113"/>
  <c r="AO13" i="113"/>
  <c r="AR13" i="113"/>
  <c r="AQ13" i="113"/>
  <c r="AL13" i="113"/>
  <c r="AK13" i="113"/>
  <c r="AJ13" i="113"/>
  <c r="AH13" i="113"/>
  <c r="AG13" i="113"/>
  <c r="AA13" i="113"/>
  <c r="R13" i="113"/>
  <c r="Q13" i="113"/>
  <c r="I13" i="113"/>
  <c r="DN11" i="113"/>
  <c r="DM11" i="113"/>
  <c r="BL11" i="113"/>
  <c r="CT11" i="113"/>
  <c r="CJ11" i="113"/>
  <c r="CG11" i="113"/>
  <c r="CD11" i="113"/>
  <c r="CA11" i="113"/>
  <c r="BX11" i="113"/>
  <c r="BU11" i="113"/>
  <c r="BR11" i="113"/>
  <c r="BO11" i="113"/>
  <c r="AM11" i="113"/>
  <c r="AN11" i="113"/>
  <c r="AP11" i="113"/>
  <c r="AS11" i="113"/>
  <c r="AV11" i="113"/>
  <c r="AX11" i="113"/>
  <c r="AW11" i="113"/>
  <c r="AU11" i="113"/>
  <c r="AT11" i="113"/>
  <c r="AO11" i="113"/>
  <c r="AR11" i="113"/>
  <c r="AQ11" i="113"/>
  <c r="AL11" i="113"/>
  <c r="AK11" i="113"/>
  <c r="AJ11" i="113"/>
  <c r="AH11" i="113"/>
  <c r="AG11" i="113"/>
  <c r="AA11" i="113"/>
  <c r="R11" i="113"/>
  <c r="Q11" i="113"/>
  <c r="I11" i="113"/>
  <c r="DN12" i="113"/>
  <c r="DM12" i="113"/>
  <c r="CT12" i="113"/>
  <c r="CJ12" i="113"/>
  <c r="CG12" i="113"/>
  <c r="CD12" i="113"/>
  <c r="CA12" i="113"/>
  <c r="BX12" i="113"/>
  <c r="BU12" i="113"/>
  <c r="BR12" i="113"/>
  <c r="BO12" i="113"/>
  <c r="BL12" i="113"/>
  <c r="AM12" i="113"/>
  <c r="AN12" i="113"/>
  <c r="AP12" i="113"/>
  <c r="AS12" i="113"/>
  <c r="AV12" i="113"/>
  <c r="AX12" i="113"/>
  <c r="AW12" i="113"/>
  <c r="AU12" i="113"/>
  <c r="AT12" i="113"/>
  <c r="AO12" i="113"/>
  <c r="AR12" i="113"/>
  <c r="AQ12" i="113"/>
  <c r="AL12" i="113"/>
  <c r="AK12" i="113"/>
  <c r="AJ12" i="113"/>
  <c r="AH12" i="113"/>
  <c r="AG12" i="113"/>
  <c r="AA12" i="113"/>
  <c r="R12" i="113"/>
  <c r="Q12" i="113"/>
  <c r="I12" i="113"/>
  <c r="DN10" i="113"/>
  <c r="DM10" i="113"/>
  <c r="BL10" i="113"/>
  <c r="CT10" i="113"/>
  <c r="CJ10" i="113"/>
  <c r="CG10" i="113"/>
  <c r="CD10" i="113"/>
  <c r="CA10" i="113"/>
  <c r="BX10" i="113"/>
  <c r="BU10" i="113"/>
  <c r="BR10" i="113"/>
  <c r="BO10" i="113"/>
  <c r="AM10" i="113"/>
  <c r="AN10" i="113"/>
  <c r="AP10" i="113"/>
  <c r="AS10" i="113"/>
  <c r="AV10" i="113"/>
  <c r="AX10" i="113"/>
  <c r="AW10" i="113"/>
  <c r="AU10" i="113"/>
  <c r="AT10" i="113"/>
  <c r="AO10" i="113"/>
  <c r="AR10" i="113"/>
  <c r="AQ10" i="113"/>
  <c r="AL10" i="113"/>
  <c r="AK10" i="113"/>
  <c r="AJ10" i="113"/>
  <c r="AH10" i="113"/>
  <c r="AG10" i="113"/>
  <c r="AA10" i="113"/>
  <c r="R10" i="113"/>
  <c r="Q10" i="113"/>
  <c r="I10" i="113"/>
  <c r="DN9" i="113"/>
  <c r="DM9" i="113"/>
  <c r="BL9" i="113"/>
  <c r="CT9" i="113"/>
  <c r="CJ9" i="113"/>
  <c r="CG9" i="113"/>
  <c r="CD9" i="113"/>
  <c r="CA9" i="113"/>
  <c r="BX9" i="113"/>
  <c r="BU9" i="113"/>
  <c r="BR9" i="113"/>
  <c r="BO9" i="113"/>
  <c r="AM9" i="113"/>
  <c r="AN9" i="113"/>
  <c r="AP9" i="113"/>
  <c r="AS9" i="113"/>
  <c r="AV9" i="113"/>
  <c r="AX9" i="113"/>
  <c r="AW9" i="113"/>
  <c r="AU9" i="113"/>
  <c r="AT9" i="113"/>
  <c r="AO9" i="113"/>
  <c r="AR9" i="113"/>
  <c r="AQ9" i="113"/>
  <c r="AL9" i="113"/>
  <c r="AK9" i="113"/>
  <c r="AJ9" i="113"/>
  <c r="AH9" i="113"/>
  <c r="AG9" i="113"/>
  <c r="AA9" i="113"/>
  <c r="R9" i="113"/>
  <c r="Q9" i="113"/>
  <c r="I9" i="113"/>
  <c r="DN8" i="113"/>
  <c r="DM8" i="113"/>
  <c r="BL8" i="113"/>
  <c r="CT8" i="113"/>
  <c r="CJ8" i="113"/>
  <c r="CG8" i="113"/>
  <c r="CD8" i="113"/>
  <c r="CA8" i="113"/>
  <c r="BX8" i="113"/>
  <c r="BU8" i="113"/>
  <c r="BR8" i="113"/>
  <c r="BO8" i="113"/>
  <c r="AM8" i="113"/>
  <c r="AN8" i="113"/>
  <c r="AP8" i="113"/>
  <c r="AS8" i="113"/>
  <c r="AV8" i="113"/>
  <c r="AX8" i="113"/>
  <c r="AW8" i="113"/>
  <c r="AU8" i="113"/>
  <c r="AT8" i="113"/>
  <c r="AO8" i="113"/>
  <c r="AR8" i="113"/>
  <c r="AQ8" i="113"/>
  <c r="AL8" i="113"/>
  <c r="AK8" i="113"/>
  <c r="AJ8" i="113"/>
  <c r="AH8" i="113"/>
  <c r="AG8" i="113"/>
  <c r="AA8" i="113"/>
  <c r="R8" i="113"/>
  <c r="Q8" i="113"/>
  <c r="I8" i="113"/>
  <c r="DN5" i="113"/>
  <c r="DM5" i="113"/>
  <c r="BL5" i="113"/>
  <c r="CT5" i="113"/>
  <c r="CJ5" i="113"/>
  <c r="CG5" i="113"/>
  <c r="CD5" i="113"/>
  <c r="CA5" i="113"/>
  <c r="BX5" i="113"/>
  <c r="BU5" i="113"/>
  <c r="BR5" i="113"/>
  <c r="BO5" i="113"/>
  <c r="AM5" i="113"/>
  <c r="AN5" i="113"/>
  <c r="AP5" i="113"/>
  <c r="AS5" i="113"/>
  <c r="AV5" i="113"/>
  <c r="AX5" i="113"/>
  <c r="AW5" i="113"/>
  <c r="AU5" i="113"/>
  <c r="AT5" i="113"/>
  <c r="AO5" i="113"/>
  <c r="AR5" i="113"/>
  <c r="AQ5" i="113"/>
  <c r="AL5" i="113"/>
  <c r="AK5" i="113"/>
  <c r="AJ5" i="113"/>
  <c r="AH5" i="113"/>
  <c r="AG5" i="113"/>
  <c r="AA5" i="113"/>
  <c r="R5" i="113"/>
  <c r="Q5" i="113"/>
  <c r="I5" i="113"/>
  <c r="DN7" i="113"/>
  <c r="DM7" i="113"/>
  <c r="BL7" i="113"/>
  <c r="CT7" i="113"/>
  <c r="CJ7" i="113"/>
  <c r="CG7" i="113"/>
  <c r="CD7" i="113"/>
  <c r="CA7" i="113"/>
  <c r="BX7" i="113"/>
  <c r="BU7" i="113"/>
  <c r="BR7" i="113"/>
  <c r="BO7" i="113"/>
  <c r="AM7" i="113"/>
  <c r="AN7" i="113"/>
  <c r="AP7" i="113"/>
  <c r="AS7" i="113"/>
  <c r="AV7" i="113"/>
  <c r="AX7" i="113"/>
  <c r="AW7" i="113"/>
  <c r="AU7" i="113"/>
  <c r="AT7" i="113"/>
  <c r="AO7" i="113"/>
  <c r="AR7" i="113"/>
  <c r="AQ7" i="113"/>
  <c r="AL7" i="113"/>
  <c r="AK7" i="113"/>
  <c r="AJ7" i="113"/>
  <c r="AH7" i="113"/>
  <c r="AG7" i="113"/>
  <c r="AA7" i="113"/>
  <c r="R7" i="113"/>
  <c r="Q7" i="113"/>
  <c r="I7" i="113"/>
  <c r="DN6" i="113"/>
  <c r="DM6" i="113"/>
  <c r="BL6" i="113"/>
  <c r="CT6" i="113"/>
  <c r="CJ6" i="113"/>
  <c r="CG6" i="113"/>
  <c r="CD6" i="113"/>
  <c r="CA6" i="113"/>
  <c r="BX6" i="113"/>
  <c r="BU6" i="113"/>
  <c r="BR6" i="113"/>
  <c r="BO6" i="113"/>
  <c r="AM6" i="113"/>
  <c r="AN6" i="113"/>
  <c r="AP6" i="113"/>
  <c r="AS6" i="113"/>
  <c r="AV6" i="113"/>
  <c r="AX6" i="113"/>
  <c r="AW6" i="113"/>
  <c r="AU6" i="113"/>
  <c r="AT6" i="113"/>
  <c r="AO6" i="113"/>
  <c r="AR6" i="113"/>
  <c r="AQ6" i="113"/>
  <c r="AL6" i="113"/>
  <c r="AK6" i="113"/>
  <c r="AJ6" i="113"/>
  <c r="AH6" i="113"/>
  <c r="AG6" i="113"/>
  <c r="AA6" i="113"/>
  <c r="R6" i="113"/>
  <c r="Q6" i="113"/>
  <c r="I6" i="113"/>
  <c r="DN4" i="113"/>
  <c r="DM4" i="113"/>
  <c r="BL4" i="113"/>
  <c r="CT4" i="113"/>
  <c r="CJ4" i="113"/>
  <c r="CG4" i="113"/>
  <c r="CD4" i="113"/>
  <c r="CA4" i="113"/>
  <c r="BX4" i="113"/>
  <c r="BU4" i="113"/>
  <c r="BR4" i="113"/>
  <c r="BO4" i="113"/>
  <c r="AM4" i="113"/>
  <c r="AN4" i="113"/>
  <c r="AP4" i="113"/>
  <c r="AS4" i="113"/>
  <c r="AV4" i="113"/>
  <c r="AX4" i="113"/>
  <c r="AW4" i="113"/>
  <c r="AU4" i="113"/>
  <c r="AT4" i="113"/>
  <c r="AO4" i="113"/>
  <c r="AR4" i="113"/>
  <c r="AQ4" i="113"/>
  <c r="AL4" i="113"/>
  <c r="AK4" i="113"/>
  <c r="AJ4" i="113"/>
  <c r="AH4" i="113"/>
  <c r="AG4" i="113"/>
  <c r="AA4" i="113"/>
  <c r="R4" i="113"/>
  <c r="Q4" i="113"/>
  <c r="I4" i="113"/>
  <c r="DN3" i="113"/>
  <c r="DM3" i="113"/>
  <c r="BL3" i="113"/>
  <c r="CT3" i="113"/>
  <c r="CJ3" i="113"/>
  <c r="CG3" i="113"/>
  <c r="CD3" i="113"/>
  <c r="CA3" i="113"/>
  <c r="BX3" i="113"/>
  <c r="BU3" i="113"/>
  <c r="BR3" i="113"/>
  <c r="BO3" i="113"/>
  <c r="AM3" i="113"/>
  <c r="AN3" i="113"/>
  <c r="AP3" i="113"/>
  <c r="AS3" i="113"/>
  <c r="AV3" i="113"/>
  <c r="AX3" i="113"/>
  <c r="AW3" i="113"/>
  <c r="AU3" i="113"/>
  <c r="AT3" i="113"/>
  <c r="AO3" i="113"/>
  <c r="AR3" i="113"/>
  <c r="AQ3" i="113"/>
  <c r="AL3" i="113"/>
  <c r="AK3" i="113"/>
  <c r="AJ3" i="113"/>
  <c r="AH3" i="113"/>
  <c r="AG3" i="113"/>
  <c r="AA3" i="113"/>
  <c r="R3" i="113"/>
  <c r="Q3" i="113"/>
  <c r="I3" i="113"/>
  <c r="DN2" i="113"/>
  <c r="DM2" i="113"/>
  <c r="CY2" i="113"/>
  <c r="CT2" i="113"/>
  <c r="CJ2" i="113"/>
  <c r="CG2" i="113"/>
  <c r="CD2" i="113"/>
  <c r="CA2" i="113"/>
  <c r="BX2" i="113"/>
  <c r="BU2" i="113"/>
  <c r="BR2" i="113"/>
  <c r="BO2" i="113"/>
  <c r="BL2" i="113"/>
  <c r="AM2" i="113"/>
  <c r="AN2" i="113"/>
  <c r="AP2" i="113"/>
  <c r="AS2" i="113"/>
  <c r="AX2" i="113"/>
  <c r="AW2" i="113"/>
  <c r="AV2" i="113"/>
  <c r="AU2" i="113"/>
  <c r="AT2" i="113"/>
  <c r="AO2" i="113"/>
  <c r="AR2" i="113"/>
  <c r="AQ2" i="113"/>
  <c r="AL2" i="113"/>
  <c r="AK2" i="113"/>
  <c r="AJ2" i="113"/>
  <c r="AH2" i="113"/>
  <c r="AG2" i="113"/>
  <c r="AA2" i="113"/>
  <c r="T2" i="113"/>
  <c r="R2" i="113"/>
  <c r="Q2" i="113"/>
  <c r="I2" i="113"/>
  <c r="AA1" i="113"/>
  <c r="I1" i="113"/>
  <c r="B11" i="87"/>
  <c r="U5" i="112"/>
  <c r="U4" i="112"/>
  <c r="U3" i="112"/>
  <c r="U2" i="112"/>
  <c r="T3" i="112"/>
  <c r="T4" i="112"/>
  <c r="T5" i="112"/>
  <c r="AJ10" i="111"/>
  <c r="AK10" i="111"/>
  <c r="AL10" i="111"/>
  <c r="AP10" i="111"/>
  <c r="AS10" i="111"/>
  <c r="AT10" i="111"/>
  <c r="AU10" i="111"/>
  <c r="AV10" i="111"/>
  <c r="AW10" i="111"/>
  <c r="AX10" i="111"/>
  <c r="AJ11" i="111"/>
  <c r="AK11" i="111"/>
  <c r="AL11" i="111"/>
  <c r="AM11" i="111"/>
  <c r="AN11" i="111"/>
  <c r="AO11" i="111"/>
  <c r="AP11" i="111"/>
  <c r="AQ11" i="111"/>
  <c r="AR11" i="111"/>
  <c r="AS11" i="111"/>
  <c r="AT11" i="111"/>
  <c r="AU11" i="111"/>
  <c r="AV11" i="111"/>
  <c r="AW11" i="111"/>
  <c r="AX11" i="111"/>
  <c r="AJ4" i="111"/>
  <c r="AK4" i="111"/>
  <c r="AL4" i="111"/>
  <c r="AP4" i="111"/>
  <c r="AS4" i="111"/>
  <c r="AT4" i="111"/>
  <c r="AU4" i="111"/>
  <c r="AV4" i="111"/>
  <c r="AW4" i="111"/>
  <c r="AX4" i="111"/>
  <c r="AJ3" i="112"/>
  <c r="AK3" i="112"/>
  <c r="AJ4" i="112"/>
  <c r="AK4" i="112"/>
  <c r="AJ5" i="112"/>
  <c r="AK5" i="112"/>
  <c r="AJ6" i="112"/>
  <c r="AK6" i="112"/>
  <c r="AJ7" i="112"/>
  <c r="AK7" i="112"/>
  <c r="AJ10" i="112"/>
  <c r="AK10" i="112"/>
  <c r="AJ16" i="112"/>
  <c r="AK16" i="112"/>
  <c r="AJ17" i="112"/>
  <c r="AK17" i="112"/>
  <c r="AJ8" i="112"/>
  <c r="AK8" i="112"/>
  <c r="AJ9" i="112"/>
  <c r="AK9" i="112"/>
  <c r="AJ11" i="112"/>
  <c r="AK11" i="112"/>
  <c r="AJ13" i="112"/>
  <c r="AK13" i="112"/>
  <c r="AJ12" i="112"/>
  <c r="AK12" i="112"/>
  <c r="AJ15" i="112"/>
  <c r="AK15" i="112"/>
  <c r="AJ14" i="112"/>
  <c r="AK14" i="112"/>
  <c r="AJ18" i="112"/>
  <c r="AK18" i="112"/>
  <c r="AK2" i="112"/>
  <c r="DN18" i="112"/>
  <c r="DM18" i="112"/>
  <c r="BL18" i="112"/>
  <c r="CT18" i="112"/>
  <c r="CJ18" i="112"/>
  <c r="CG18" i="112"/>
  <c r="CD18" i="112"/>
  <c r="CA18" i="112"/>
  <c r="BX18" i="112"/>
  <c r="BU18" i="112"/>
  <c r="BR18" i="112"/>
  <c r="BO18" i="112"/>
  <c r="AM18" i="112"/>
  <c r="AN18" i="112"/>
  <c r="AP18" i="112"/>
  <c r="AS18" i="112"/>
  <c r="AV18" i="112"/>
  <c r="AX18" i="112"/>
  <c r="AW18" i="112"/>
  <c r="AU18" i="112"/>
  <c r="AT18" i="112"/>
  <c r="AO18" i="112"/>
  <c r="AR18" i="112"/>
  <c r="AQ18" i="112"/>
  <c r="AL18" i="112"/>
  <c r="AH18" i="112"/>
  <c r="AG18" i="112"/>
  <c r="AA18" i="112"/>
  <c r="R18" i="112"/>
  <c r="Q18" i="112"/>
  <c r="I18" i="112"/>
  <c r="DN14" i="112"/>
  <c r="DM14" i="112"/>
  <c r="CT14" i="112"/>
  <c r="CJ14" i="112"/>
  <c r="CG14" i="112"/>
  <c r="CD14" i="112"/>
  <c r="CA14" i="112"/>
  <c r="BX14" i="112"/>
  <c r="BU14" i="112"/>
  <c r="BR14" i="112"/>
  <c r="BO14" i="112"/>
  <c r="BL14" i="112"/>
  <c r="AM14" i="112"/>
  <c r="AN14" i="112"/>
  <c r="AP14" i="112"/>
  <c r="AS14" i="112"/>
  <c r="AV14" i="112"/>
  <c r="AX14" i="112"/>
  <c r="AW14" i="112"/>
  <c r="AU14" i="112"/>
  <c r="AT14" i="112"/>
  <c r="AO14" i="112"/>
  <c r="AR14" i="112"/>
  <c r="AQ14" i="112"/>
  <c r="AL14" i="112"/>
  <c r="AH14" i="112"/>
  <c r="AG14" i="112"/>
  <c r="AA14" i="112"/>
  <c r="R14" i="112"/>
  <c r="Q14" i="112"/>
  <c r="I14" i="112"/>
  <c r="DN15" i="112"/>
  <c r="DM15" i="112"/>
  <c r="BL15" i="112"/>
  <c r="CT15" i="112"/>
  <c r="CJ15" i="112"/>
  <c r="CG15" i="112"/>
  <c r="CD15" i="112"/>
  <c r="CA15" i="112"/>
  <c r="BX15" i="112"/>
  <c r="BU15" i="112"/>
  <c r="BR15" i="112"/>
  <c r="BO15" i="112"/>
  <c r="AM15" i="112"/>
  <c r="AN15" i="112"/>
  <c r="AP15" i="112"/>
  <c r="AS15" i="112"/>
  <c r="AV15" i="112"/>
  <c r="AX15" i="112"/>
  <c r="AW15" i="112"/>
  <c r="AU15" i="112"/>
  <c r="AT15" i="112"/>
  <c r="AO15" i="112"/>
  <c r="AR15" i="112"/>
  <c r="AQ15" i="112"/>
  <c r="AL15" i="112"/>
  <c r="AH15" i="112"/>
  <c r="AG15" i="112"/>
  <c r="AA15" i="112"/>
  <c r="R15" i="112"/>
  <c r="Q15" i="112"/>
  <c r="I15" i="112"/>
  <c r="DN12" i="112"/>
  <c r="DM12" i="112"/>
  <c r="BL12" i="112"/>
  <c r="CT12" i="112"/>
  <c r="CJ12" i="112"/>
  <c r="CG12" i="112"/>
  <c r="CD12" i="112"/>
  <c r="CA12" i="112"/>
  <c r="BX12" i="112"/>
  <c r="BU12" i="112"/>
  <c r="BR12" i="112"/>
  <c r="BO12" i="112"/>
  <c r="AM12" i="112"/>
  <c r="AN12" i="112"/>
  <c r="AP12" i="112"/>
  <c r="AS12" i="112"/>
  <c r="AV12" i="112"/>
  <c r="AX12" i="112"/>
  <c r="AW12" i="112"/>
  <c r="AU12" i="112"/>
  <c r="AT12" i="112"/>
  <c r="AO12" i="112"/>
  <c r="AR12" i="112"/>
  <c r="AQ12" i="112"/>
  <c r="AL12" i="112"/>
  <c r="AH12" i="112"/>
  <c r="AG12" i="112"/>
  <c r="AA12" i="112"/>
  <c r="R12" i="112"/>
  <c r="Q12" i="112"/>
  <c r="I12" i="112"/>
  <c r="DN13" i="112"/>
  <c r="DM13" i="112"/>
  <c r="BL13" i="112"/>
  <c r="CT13" i="112"/>
  <c r="CJ13" i="112"/>
  <c r="CG13" i="112"/>
  <c r="CD13" i="112"/>
  <c r="CA13" i="112"/>
  <c r="BX13" i="112"/>
  <c r="BU13" i="112"/>
  <c r="BR13" i="112"/>
  <c r="BO13" i="112"/>
  <c r="AM13" i="112"/>
  <c r="AN13" i="112"/>
  <c r="AP13" i="112"/>
  <c r="AS13" i="112"/>
  <c r="AV13" i="112"/>
  <c r="AX13" i="112"/>
  <c r="AW13" i="112"/>
  <c r="AU13" i="112"/>
  <c r="AT13" i="112"/>
  <c r="AO13" i="112"/>
  <c r="AR13" i="112"/>
  <c r="AQ13" i="112"/>
  <c r="AL13" i="112"/>
  <c r="AH13" i="112"/>
  <c r="AG13" i="112"/>
  <c r="AA13" i="112"/>
  <c r="R13" i="112"/>
  <c r="Q13" i="112"/>
  <c r="I13" i="112"/>
  <c r="DN11" i="112"/>
  <c r="DM11" i="112"/>
  <c r="BL11" i="112"/>
  <c r="CT11" i="112"/>
  <c r="CJ11" i="112"/>
  <c r="CG11" i="112"/>
  <c r="CD11" i="112"/>
  <c r="CA11" i="112"/>
  <c r="BX11" i="112"/>
  <c r="BU11" i="112"/>
  <c r="BR11" i="112"/>
  <c r="BO11" i="112"/>
  <c r="AM11" i="112"/>
  <c r="AN11" i="112"/>
  <c r="AP11" i="112"/>
  <c r="AS11" i="112"/>
  <c r="AV11" i="112"/>
  <c r="AX11" i="112"/>
  <c r="AW11" i="112"/>
  <c r="AU11" i="112"/>
  <c r="AT11" i="112"/>
  <c r="AO11" i="112"/>
  <c r="AR11" i="112"/>
  <c r="AQ11" i="112"/>
  <c r="AL11" i="112"/>
  <c r="AH11" i="112"/>
  <c r="AG11" i="112"/>
  <c r="AA11" i="112"/>
  <c r="R11" i="112"/>
  <c r="Q11" i="112"/>
  <c r="I11" i="112"/>
  <c r="DN9" i="112"/>
  <c r="DM9" i="112"/>
  <c r="BL9" i="112"/>
  <c r="CT9" i="112"/>
  <c r="CJ9" i="112"/>
  <c r="CG9" i="112"/>
  <c r="CD9" i="112"/>
  <c r="CA9" i="112"/>
  <c r="BX9" i="112"/>
  <c r="BU9" i="112"/>
  <c r="BR9" i="112"/>
  <c r="BO9" i="112"/>
  <c r="AM9" i="112"/>
  <c r="AN9" i="112"/>
  <c r="AP9" i="112"/>
  <c r="AS9" i="112"/>
  <c r="AV9" i="112"/>
  <c r="AX9" i="112"/>
  <c r="AW9" i="112"/>
  <c r="AU9" i="112"/>
  <c r="AT9" i="112"/>
  <c r="AO9" i="112"/>
  <c r="AR9" i="112"/>
  <c r="AQ9" i="112"/>
  <c r="AL9" i="112"/>
  <c r="AH9" i="112"/>
  <c r="AG9" i="112"/>
  <c r="AA9" i="112"/>
  <c r="R9" i="112"/>
  <c r="Q9" i="112"/>
  <c r="I9" i="112"/>
  <c r="DN8" i="112"/>
  <c r="DM8" i="112"/>
  <c r="BL8" i="112"/>
  <c r="CT8" i="112"/>
  <c r="CJ8" i="112"/>
  <c r="CG8" i="112"/>
  <c r="CD8" i="112"/>
  <c r="CA8" i="112"/>
  <c r="BX8" i="112"/>
  <c r="BU8" i="112"/>
  <c r="BR8" i="112"/>
  <c r="BO8" i="112"/>
  <c r="AM8" i="112"/>
  <c r="AN8" i="112"/>
  <c r="AP8" i="112"/>
  <c r="AS8" i="112"/>
  <c r="AV8" i="112"/>
  <c r="AX8" i="112"/>
  <c r="AW8" i="112"/>
  <c r="AU8" i="112"/>
  <c r="AT8" i="112"/>
  <c r="AO8" i="112"/>
  <c r="AR8" i="112"/>
  <c r="AQ8" i="112"/>
  <c r="AL8" i="112"/>
  <c r="AH8" i="112"/>
  <c r="AG8" i="112"/>
  <c r="AA8" i="112"/>
  <c r="R8" i="112"/>
  <c r="Q8" i="112"/>
  <c r="I8" i="112"/>
  <c r="DN17" i="112"/>
  <c r="DM17" i="112"/>
  <c r="CT17" i="112"/>
  <c r="CJ17" i="112"/>
  <c r="CG17" i="112"/>
  <c r="CD17" i="112"/>
  <c r="CA17" i="112"/>
  <c r="BX17" i="112"/>
  <c r="BU17" i="112"/>
  <c r="BR17" i="112"/>
  <c r="BO17" i="112"/>
  <c r="BL17" i="112"/>
  <c r="AM17" i="112"/>
  <c r="AN17" i="112"/>
  <c r="AP17" i="112"/>
  <c r="AS17" i="112"/>
  <c r="AV17" i="112"/>
  <c r="AX17" i="112"/>
  <c r="AW17" i="112"/>
  <c r="AU17" i="112"/>
  <c r="AT17" i="112"/>
  <c r="AO17" i="112"/>
  <c r="AR17" i="112"/>
  <c r="AQ17" i="112"/>
  <c r="AL17" i="112"/>
  <c r="AH17" i="112"/>
  <c r="AG17" i="112"/>
  <c r="AA17" i="112"/>
  <c r="R17" i="112"/>
  <c r="Q17" i="112"/>
  <c r="I17" i="112"/>
  <c r="DN16" i="112"/>
  <c r="DM16" i="112"/>
  <c r="CT16" i="112"/>
  <c r="CJ16" i="112"/>
  <c r="CG16" i="112"/>
  <c r="CD16" i="112"/>
  <c r="CA16" i="112"/>
  <c r="BX16" i="112"/>
  <c r="BU16" i="112"/>
  <c r="BR16" i="112"/>
  <c r="BO16" i="112"/>
  <c r="BL16" i="112"/>
  <c r="AM16" i="112"/>
  <c r="AN16" i="112"/>
  <c r="AP16" i="112"/>
  <c r="AS16" i="112"/>
  <c r="AV16" i="112"/>
  <c r="AX16" i="112"/>
  <c r="AW16" i="112"/>
  <c r="AU16" i="112"/>
  <c r="AT16" i="112"/>
  <c r="AO16" i="112"/>
  <c r="AR16" i="112"/>
  <c r="AQ16" i="112"/>
  <c r="AL16" i="112"/>
  <c r="AH16" i="112"/>
  <c r="AG16" i="112"/>
  <c r="AA16" i="112"/>
  <c r="R16" i="112"/>
  <c r="Q16" i="112"/>
  <c r="I16" i="112"/>
  <c r="DN10" i="112"/>
  <c r="DM10" i="112"/>
  <c r="CT10" i="112"/>
  <c r="CJ10" i="112"/>
  <c r="CG10" i="112"/>
  <c r="CD10" i="112"/>
  <c r="CA10" i="112"/>
  <c r="BX10" i="112"/>
  <c r="BU10" i="112"/>
  <c r="BR10" i="112"/>
  <c r="BO10" i="112"/>
  <c r="BL10" i="112"/>
  <c r="AM10" i="112"/>
  <c r="AN10" i="112"/>
  <c r="AP10" i="112"/>
  <c r="AS10" i="112"/>
  <c r="AV10" i="112"/>
  <c r="AX10" i="112"/>
  <c r="AW10" i="112"/>
  <c r="AU10" i="112"/>
  <c r="AT10" i="112"/>
  <c r="AO10" i="112"/>
  <c r="AR10" i="112"/>
  <c r="AQ10" i="112"/>
  <c r="AL10" i="112"/>
  <c r="AH10" i="112"/>
  <c r="AG10" i="112"/>
  <c r="AA10" i="112"/>
  <c r="R10" i="112"/>
  <c r="Q10" i="112"/>
  <c r="I10" i="112"/>
  <c r="DN7" i="112"/>
  <c r="DM7" i="112"/>
  <c r="BL7" i="112"/>
  <c r="CT7" i="112"/>
  <c r="CJ7" i="112"/>
  <c r="CG7" i="112"/>
  <c r="CD7" i="112"/>
  <c r="CA7" i="112"/>
  <c r="BX7" i="112"/>
  <c r="BU7" i="112"/>
  <c r="BR7" i="112"/>
  <c r="BO7" i="112"/>
  <c r="AM7" i="112"/>
  <c r="AN7" i="112"/>
  <c r="AP7" i="112"/>
  <c r="AS7" i="112"/>
  <c r="AV7" i="112"/>
  <c r="AX7" i="112"/>
  <c r="AW7" i="112"/>
  <c r="AU7" i="112"/>
  <c r="AT7" i="112"/>
  <c r="AO7" i="112"/>
  <c r="AR7" i="112"/>
  <c r="AQ7" i="112"/>
  <c r="AL7" i="112"/>
  <c r="AH7" i="112"/>
  <c r="AG7" i="112"/>
  <c r="AA7" i="112"/>
  <c r="R7" i="112"/>
  <c r="Q7" i="112"/>
  <c r="I7" i="112"/>
  <c r="DN6" i="112"/>
  <c r="DM6" i="112"/>
  <c r="BL6" i="112"/>
  <c r="CT6" i="112"/>
  <c r="CJ6" i="112"/>
  <c r="CG6" i="112"/>
  <c r="CD6" i="112"/>
  <c r="CA6" i="112"/>
  <c r="BX6" i="112"/>
  <c r="BU6" i="112"/>
  <c r="BR6" i="112"/>
  <c r="BO6" i="112"/>
  <c r="AM6" i="112"/>
  <c r="AN6" i="112"/>
  <c r="AP6" i="112"/>
  <c r="AS6" i="112"/>
  <c r="AV6" i="112"/>
  <c r="AX6" i="112"/>
  <c r="AW6" i="112"/>
  <c r="AU6" i="112"/>
  <c r="AT6" i="112"/>
  <c r="AO6" i="112"/>
  <c r="AR6" i="112"/>
  <c r="AQ6" i="112"/>
  <c r="AL6" i="112"/>
  <c r="AH6" i="112"/>
  <c r="AG6" i="112"/>
  <c r="AA6" i="112"/>
  <c r="R6" i="112"/>
  <c r="Q6" i="112"/>
  <c r="I6" i="112"/>
  <c r="DN5" i="112"/>
  <c r="DM5" i="112"/>
  <c r="CT5" i="112"/>
  <c r="CJ5" i="112"/>
  <c r="CG5" i="112"/>
  <c r="CD5" i="112"/>
  <c r="CA5" i="112"/>
  <c r="BX5" i="112"/>
  <c r="BU5" i="112"/>
  <c r="BR5" i="112"/>
  <c r="BO5" i="112"/>
  <c r="BL5" i="112"/>
  <c r="AM5" i="112"/>
  <c r="AN5" i="112"/>
  <c r="AP5" i="112"/>
  <c r="AS5" i="112"/>
  <c r="AX5" i="112"/>
  <c r="AW5" i="112"/>
  <c r="AV5" i="112"/>
  <c r="AU5" i="112"/>
  <c r="AT5" i="112"/>
  <c r="AO5" i="112"/>
  <c r="AR5" i="112"/>
  <c r="AQ5" i="112"/>
  <c r="AL5" i="112"/>
  <c r="AH5" i="112"/>
  <c r="AG5" i="112"/>
  <c r="AA5" i="112"/>
  <c r="R5" i="112"/>
  <c r="Q5" i="112"/>
  <c r="I5" i="112"/>
  <c r="DN4" i="112"/>
  <c r="DM4" i="112"/>
  <c r="CT4" i="112"/>
  <c r="CJ4" i="112"/>
  <c r="CG4" i="112"/>
  <c r="CD4" i="112"/>
  <c r="CA4" i="112"/>
  <c r="BX4" i="112"/>
  <c r="BU4" i="112"/>
  <c r="BR4" i="112"/>
  <c r="BO4" i="112"/>
  <c r="BL4" i="112"/>
  <c r="AM4" i="112"/>
  <c r="AN4" i="112"/>
  <c r="AP4" i="112"/>
  <c r="AS4" i="112"/>
  <c r="AX4" i="112"/>
  <c r="AW4" i="112"/>
  <c r="AV4" i="112"/>
  <c r="AU4" i="112"/>
  <c r="AT4" i="112"/>
  <c r="AO4" i="112"/>
  <c r="AR4" i="112"/>
  <c r="AQ4" i="112"/>
  <c r="AL4" i="112"/>
  <c r="AH4" i="112"/>
  <c r="AG4" i="112"/>
  <c r="AA4" i="112"/>
  <c r="R4" i="112"/>
  <c r="Q4" i="112"/>
  <c r="I4" i="112"/>
  <c r="DN3" i="112"/>
  <c r="DM3" i="112"/>
  <c r="CT3" i="112"/>
  <c r="CJ3" i="112"/>
  <c r="CG3" i="112"/>
  <c r="CD3" i="112"/>
  <c r="CA3" i="112"/>
  <c r="BX3" i="112"/>
  <c r="BU3" i="112"/>
  <c r="BR3" i="112"/>
  <c r="BO3" i="112"/>
  <c r="BL3" i="112"/>
  <c r="AM3" i="112"/>
  <c r="AN3" i="112"/>
  <c r="AP3" i="112"/>
  <c r="AS3" i="112"/>
  <c r="AX3" i="112"/>
  <c r="AW3" i="112"/>
  <c r="AV3" i="112"/>
  <c r="AU3" i="112"/>
  <c r="AT3" i="112"/>
  <c r="AO3" i="112"/>
  <c r="AR3" i="112"/>
  <c r="AQ3" i="112"/>
  <c r="AL3" i="112"/>
  <c r="AH3" i="112"/>
  <c r="AG3" i="112"/>
  <c r="AA3" i="112"/>
  <c r="R3" i="112"/>
  <c r="Q3" i="112"/>
  <c r="I3" i="112"/>
  <c r="DN2" i="112"/>
  <c r="DM2" i="112"/>
  <c r="CT2" i="112"/>
  <c r="CJ2" i="112"/>
  <c r="CG2" i="112"/>
  <c r="CD2" i="112"/>
  <c r="CA2" i="112"/>
  <c r="BX2" i="112"/>
  <c r="BU2" i="112"/>
  <c r="BR2" i="112"/>
  <c r="BO2" i="112"/>
  <c r="BL2" i="112"/>
  <c r="AM2" i="112"/>
  <c r="AN2" i="112"/>
  <c r="AP2" i="112"/>
  <c r="AS2" i="112"/>
  <c r="AX2" i="112"/>
  <c r="AW2" i="112"/>
  <c r="AV2" i="112"/>
  <c r="AU2" i="112"/>
  <c r="AT2" i="112"/>
  <c r="AO2" i="112"/>
  <c r="AR2" i="112"/>
  <c r="AQ2" i="112"/>
  <c r="AL2" i="112"/>
  <c r="AJ2" i="112"/>
  <c r="AH2" i="112"/>
  <c r="AG2" i="112"/>
  <c r="AA2" i="112"/>
  <c r="T2" i="112"/>
  <c r="R2" i="112"/>
  <c r="Q2" i="112"/>
  <c r="I2" i="112"/>
  <c r="AA1" i="112"/>
  <c r="I1" i="112"/>
  <c r="I10" i="111"/>
  <c r="I11" i="111"/>
  <c r="I4" i="111"/>
  <c r="I1" i="111"/>
  <c r="Q10" i="111"/>
  <c r="R10" i="111"/>
  <c r="AA10" i="111"/>
  <c r="AG10" i="111"/>
  <c r="AH10" i="111"/>
  <c r="BL10" i="111"/>
  <c r="BO10" i="111"/>
  <c r="BR10" i="111"/>
  <c r="BU10" i="111"/>
  <c r="BX10" i="111"/>
  <c r="CA10" i="111"/>
  <c r="CD10" i="111"/>
  <c r="CG10" i="111"/>
  <c r="CJ10" i="111"/>
  <c r="CT10" i="111"/>
  <c r="DM10" i="111"/>
  <c r="Q11" i="111"/>
  <c r="R11" i="111"/>
  <c r="AA11" i="111"/>
  <c r="AG11" i="111"/>
  <c r="AH11" i="111"/>
  <c r="BL11" i="111"/>
  <c r="BO11" i="111"/>
  <c r="BR11" i="111"/>
  <c r="BU11" i="111"/>
  <c r="BX11" i="111"/>
  <c r="CA11" i="111"/>
  <c r="CD11" i="111"/>
  <c r="CG11" i="111"/>
  <c r="CJ11" i="111"/>
  <c r="CT11" i="111"/>
  <c r="CY11" i="111"/>
  <c r="DM11" i="111"/>
  <c r="Q4" i="111"/>
  <c r="R4" i="111"/>
  <c r="AA4" i="111"/>
  <c r="AG4" i="111"/>
  <c r="AH4" i="111"/>
  <c r="BL4" i="111"/>
  <c r="BO4" i="111"/>
  <c r="BR4" i="111"/>
  <c r="BU4" i="111"/>
  <c r="BX4" i="111"/>
  <c r="CA4" i="111"/>
  <c r="CD4" i="111"/>
  <c r="CG4" i="111"/>
  <c r="CJ4" i="111"/>
  <c r="CT4" i="111"/>
  <c r="CY4" i="111"/>
  <c r="DM4" i="111"/>
  <c r="AA1" i="111"/>
  <c r="J25" i="91"/>
  <c r="J24" i="91"/>
  <c r="J23" i="91"/>
  <c r="J22" i="91"/>
  <c r="J21" i="91"/>
  <c r="B21" i="91"/>
  <c r="J20" i="91"/>
  <c r="B20" i="91"/>
  <c r="J19" i="91"/>
  <c r="B19" i="91"/>
  <c r="J18" i="91"/>
  <c r="B18" i="91"/>
  <c r="J17" i="91"/>
  <c r="B17" i="91"/>
  <c r="J16" i="91"/>
  <c r="G16" i="91"/>
  <c r="B16" i="91"/>
  <c r="J15" i="91"/>
  <c r="J14" i="91"/>
  <c r="G13" i="91"/>
  <c r="G12" i="91"/>
  <c r="N8" i="91"/>
  <c r="M8" i="91"/>
  <c r="L8" i="91"/>
  <c r="K8" i="91"/>
  <c r="J8" i="91"/>
  <c r="I8" i="91"/>
  <c r="G8" i="91"/>
  <c r="F8" i="91"/>
  <c r="N6" i="91"/>
  <c r="M6" i="91"/>
  <c r="L6" i="91"/>
  <c r="K6" i="91"/>
  <c r="J6" i="91"/>
  <c r="I6" i="91"/>
  <c r="H6" i="91"/>
  <c r="G6" i="91"/>
  <c r="F6" i="91"/>
  <c r="B3" i="91"/>
  <c r="H2" i="91"/>
  <c r="F2" i="91"/>
  <c r="K12" i="106"/>
  <c r="L24" i="106"/>
  <c r="L23" i="106"/>
  <c r="L22" i="106"/>
  <c r="L21" i="106"/>
  <c r="L20" i="106"/>
  <c r="C12" i="106"/>
  <c r="L19" i="106"/>
  <c r="L18" i="106"/>
  <c r="C10" i="106"/>
  <c r="L17" i="106"/>
  <c r="L16" i="106"/>
  <c r="C8" i="106"/>
  <c r="L15" i="106"/>
  <c r="L14" i="106"/>
  <c r="N9" i="106"/>
  <c r="M9" i="106"/>
  <c r="L9" i="106"/>
  <c r="K9" i="106"/>
  <c r="J9" i="106"/>
  <c r="I9" i="106"/>
  <c r="B1" i="106"/>
  <c r="N7" i="106"/>
  <c r="M7" i="106"/>
  <c r="L7" i="106"/>
  <c r="K7" i="106"/>
  <c r="J7" i="106"/>
  <c r="I7" i="106"/>
  <c r="H7" i="106"/>
  <c r="G7" i="106"/>
  <c r="F7" i="106"/>
  <c r="K2" i="106"/>
  <c r="J2" i="106"/>
  <c r="G18" i="101"/>
  <c r="G17" i="101"/>
  <c r="E9" i="88"/>
  <c r="E9" i="87"/>
  <c r="E7" i="88"/>
  <c r="E7" i="87"/>
  <c r="B1" i="76"/>
  <c r="B1" i="87"/>
  <c r="B1" i="88"/>
  <c r="B1" i="89"/>
  <c r="B1" i="90"/>
  <c r="G23" i="101"/>
  <c r="G21" i="101"/>
  <c r="C21" i="101"/>
  <c r="G20" i="101"/>
  <c r="C20" i="101"/>
  <c r="G19" i="101"/>
  <c r="C19" i="101"/>
  <c r="C18" i="101"/>
  <c r="C17" i="101"/>
  <c r="C16" i="101"/>
  <c r="C3" i="101"/>
  <c r="B11" i="101"/>
  <c r="C12" i="101"/>
  <c r="B13" i="101"/>
  <c r="N9" i="101"/>
  <c r="M9" i="101"/>
  <c r="L9" i="101"/>
  <c r="K9" i="101"/>
  <c r="J9" i="101"/>
  <c r="I9" i="101"/>
  <c r="G9" i="101"/>
  <c r="F9" i="101"/>
  <c r="B1" i="101"/>
  <c r="N7" i="101"/>
  <c r="M7" i="101"/>
  <c r="L7" i="101"/>
  <c r="K7" i="101"/>
  <c r="J7" i="101"/>
  <c r="I7" i="101"/>
  <c r="H7" i="101"/>
  <c r="G7" i="101"/>
  <c r="K2" i="101"/>
  <c r="J2" i="101"/>
  <c r="E7" i="91"/>
  <c r="F9" i="87"/>
  <c r="G9" i="87"/>
  <c r="I9" i="87"/>
  <c r="J9" i="87"/>
  <c r="K9" i="87"/>
  <c r="L9" i="87"/>
  <c r="M9" i="87"/>
  <c r="N9" i="87"/>
  <c r="F9" i="76"/>
  <c r="G9" i="76"/>
  <c r="I9" i="76"/>
  <c r="J9" i="76"/>
  <c r="K9" i="76"/>
  <c r="L9" i="76"/>
  <c r="M9" i="76"/>
  <c r="N9" i="76"/>
  <c r="F9" i="88"/>
  <c r="G9" i="88"/>
  <c r="I9" i="88"/>
  <c r="J9" i="88"/>
  <c r="K9" i="88"/>
  <c r="L9" i="88"/>
  <c r="M9" i="88"/>
  <c r="N9" i="88"/>
  <c r="F9" i="89"/>
  <c r="G9" i="89"/>
  <c r="I9" i="89"/>
  <c r="J9" i="89"/>
  <c r="K9" i="89"/>
  <c r="L9" i="89"/>
  <c r="M9" i="89"/>
  <c r="N9" i="89"/>
  <c r="J12" i="91"/>
  <c r="G18" i="91"/>
  <c r="G20" i="91"/>
  <c r="G18" i="90"/>
  <c r="G20" i="90"/>
  <c r="G18" i="89"/>
  <c r="G20" i="89"/>
  <c r="G18" i="88"/>
  <c r="G20" i="88"/>
  <c r="G18" i="87"/>
  <c r="G20" i="87"/>
  <c r="K2" i="91"/>
  <c r="J2" i="91"/>
  <c r="K2" i="90"/>
  <c r="J2" i="90"/>
  <c r="K2" i="89"/>
  <c r="J2" i="89"/>
  <c r="K2" i="88"/>
  <c r="J2" i="88"/>
  <c r="K2" i="87"/>
  <c r="J2" i="87"/>
  <c r="G20" i="76"/>
  <c r="K2" i="76"/>
  <c r="J2" i="76"/>
  <c r="G7" i="76"/>
  <c r="G21" i="76"/>
  <c r="H7" i="76"/>
  <c r="I7" i="76"/>
  <c r="J7" i="76"/>
  <c r="K22" i="76"/>
  <c r="K23" i="76"/>
  <c r="K24" i="76"/>
  <c r="F7" i="76"/>
  <c r="G32" i="91"/>
  <c r="C32" i="91"/>
  <c r="K25" i="91"/>
  <c r="G25" i="91"/>
  <c r="K24" i="91"/>
  <c r="K23" i="91"/>
  <c r="C23" i="91"/>
  <c r="K22" i="91"/>
  <c r="K21" i="91"/>
  <c r="G21" i="91"/>
  <c r="C21" i="91"/>
  <c r="K20" i="91"/>
  <c r="C20" i="91"/>
  <c r="K19" i="91"/>
  <c r="C19" i="91"/>
  <c r="K18" i="91"/>
  <c r="C18" i="91"/>
  <c r="K17" i="91"/>
  <c r="G17" i="91"/>
  <c r="C17" i="91"/>
  <c r="K16" i="91"/>
  <c r="C16" i="91"/>
  <c r="K15" i="91"/>
  <c r="K14" i="91"/>
  <c r="B4" i="91"/>
  <c r="B5" i="91"/>
  <c r="C3" i="91"/>
  <c r="C7" i="91"/>
  <c r="B10" i="91"/>
  <c r="C8" i="91"/>
  <c r="B11" i="91"/>
  <c r="C12" i="91"/>
  <c r="B13" i="91"/>
  <c r="N9" i="91"/>
  <c r="M9" i="91"/>
  <c r="L9" i="91"/>
  <c r="K9" i="91"/>
  <c r="J9" i="91"/>
  <c r="I9" i="91"/>
  <c r="G9" i="91"/>
  <c r="F9" i="91"/>
  <c r="E9" i="91"/>
  <c r="B1" i="91"/>
  <c r="A9" i="91"/>
  <c r="A8" i="91"/>
  <c r="N7" i="91"/>
  <c r="M7" i="91"/>
  <c r="L7" i="91"/>
  <c r="K7" i="91"/>
  <c r="J7" i="91"/>
  <c r="I7" i="91"/>
  <c r="H7" i="91"/>
  <c r="G7" i="91"/>
  <c r="F7" i="91"/>
  <c r="G32" i="90"/>
  <c r="K25" i="90"/>
  <c r="K24" i="90"/>
  <c r="K23" i="90"/>
  <c r="G23" i="90"/>
  <c r="K22" i="90"/>
  <c r="K21" i="90"/>
  <c r="G21" i="90"/>
  <c r="C21" i="90"/>
  <c r="K20" i="90"/>
  <c r="C20" i="90"/>
  <c r="K19" i="90"/>
  <c r="G19" i="90"/>
  <c r="C19" i="90"/>
  <c r="K18" i="90"/>
  <c r="C18" i="90"/>
  <c r="K17" i="90"/>
  <c r="G17" i="90"/>
  <c r="C17" i="90"/>
  <c r="K16" i="90"/>
  <c r="C16" i="90"/>
  <c r="K15" i="90"/>
  <c r="K14" i="90"/>
  <c r="B11" i="90"/>
  <c r="C12" i="90"/>
  <c r="B13" i="90"/>
  <c r="N9" i="90"/>
  <c r="M9" i="90"/>
  <c r="L9" i="90"/>
  <c r="K9" i="90"/>
  <c r="J9" i="90"/>
  <c r="I9" i="90"/>
  <c r="G9" i="90"/>
  <c r="F9" i="90"/>
  <c r="A9" i="90"/>
  <c r="A8" i="90"/>
  <c r="N7" i="90"/>
  <c r="M7" i="90"/>
  <c r="L7" i="90"/>
  <c r="K7" i="90"/>
  <c r="J7" i="90"/>
  <c r="I7" i="90"/>
  <c r="H7" i="90"/>
  <c r="G7" i="90"/>
  <c r="F7" i="90"/>
  <c r="G32" i="89"/>
  <c r="K25" i="89"/>
  <c r="K24" i="89"/>
  <c r="K23" i="89"/>
  <c r="G23" i="89"/>
  <c r="K22" i="89"/>
  <c r="K21" i="89"/>
  <c r="G21" i="89"/>
  <c r="C21" i="89"/>
  <c r="K20" i="89"/>
  <c r="C20" i="89"/>
  <c r="K19" i="89"/>
  <c r="G19" i="89"/>
  <c r="C19" i="89"/>
  <c r="K18" i="89"/>
  <c r="C18" i="89"/>
  <c r="K17" i="89"/>
  <c r="G17" i="89"/>
  <c r="C17" i="89"/>
  <c r="K16" i="89"/>
  <c r="C16" i="89"/>
  <c r="K15" i="89"/>
  <c r="K14" i="89"/>
  <c r="B11" i="89"/>
  <c r="C12" i="89"/>
  <c r="B13" i="89"/>
  <c r="A9" i="89"/>
  <c r="A8" i="89"/>
  <c r="N7" i="89"/>
  <c r="M7" i="89"/>
  <c r="L7" i="89"/>
  <c r="K7" i="89"/>
  <c r="J7" i="89"/>
  <c r="I7" i="89"/>
  <c r="H7" i="89"/>
  <c r="G7" i="89"/>
  <c r="F7" i="89"/>
  <c r="G32" i="88"/>
  <c r="K25" i="88"/>
  <c r="K24" i="88"/>
  <c r="K23" i="88"/>
  <c r="G23" i="88"/>
  <c r="K22" i="88"/>
  <c r="K21" i="88"/>
  <c r="G21" i="88"/>
  <c r="C21" i="88"/>
  <c r="K20" i="88"/>
  <c r="C20" i="88"/>
  <c r="K19" i="88"/>
  <c r="G19" i="88"/>
  <c r="C19" i="88"/>
  <c r="K18" i="88"/>
  <c r="C18" i="88"/>
  <c r="K17" i="88"/>
  <c r="G17" i="88"/>
  <c r="C17" i="88"/>
  <c r="K16" i="88"/>
  <c r="C16" i="88"/>
  <c r="K15" i="88"/>
  <c r="K14" i="88"/>
  <c r="B11" i="88"/>
  <c r="C12" i="88"/>
  <c r="B13" i="88"/>
  <c r="A9" i="88"/>
  <c r="A8" i="88"/>
  <c r="N7" i="88"/>
  <c r="M7" i="88"/>
  <c r="L7" i="88"/>
  <c r="K7" i="88"/>
  <c r="J7" i="88"/>
  <c r="I7" i="88"/>
  <c r="H7" i="88"/>
  <c r="G7" i="88"/>
  <c r="F7" i="88"/>
  <c r="G32" i="87"/>
  <c r="K25" i="87"/>
  <c r="K24" i="87"/>
  <c r="K23" i="87"/>
  <c r="G23" i="87"/>
  <c r="K22" i="87"/>
  <c r="K21" i="87"/>
  <c r="G21" i="87"/>
  <c r="C21" i="87"/>
  <c r="K20" i="87"/>
  <c r="C20" i="87"/>
  <c r="K19" i="87"/>
  <c r="G19" i="87"/>
  <c r="C19" i="87"/>
  <c r="K18" i="87"/>
  <c r="C18" i="87"/>
  <c r="K17" i="87"/>
  <c r="G17" i="87"/>
  <c r="C17" i="87"/>
  <c r="K16" i="87"/>
  <c r="C16" i="87"/>
  <c r="K15" i="87"/>
  <c r="K14" i="87"/>
  <c r="C12" i="87"/>
  <c r="B13" i="87"/>
  <c r="A9" i="87"/>
  <c r="A8" i="87"/>
  <c r="N7" i="87"/>
  <c r="M7" i="87"/>
  <c r="L7" i="87"/>
  <c r="K7" i="87"/>
  <c r="J7" i="87"/>
  <c r="I7" i="87"/>
  <c r="H7" i="87"/>
  <c r="G7" i="87"/>
  <c r="F7" i="87"/>
  <c r="A9" i="76"/>
  <c r="K25" i="76"/>
  <c r="B11" i="76"/>
  <c r="C12" i="76"/>
  <c r="B13" i="76"/>
  <c r="K7" i="76"/>
  <c r="L7" i="76"/>
  <c r="K15" i="76"/>
  <c r="G17" i="76"/>
  <c r="G32" i="76"/>
  <c r="K19" i="76"/>
  <c r="K18" i="76"/>
  <c r="C21" i="76"/>
  <c r="N7" i="76"/>
  <c r="M7" i="76"/>
  <c r="K17" i="76"/>
  <c r="C20" i="76"/>
  <c r="K21" i="76"/>
  <c r="K16" i="76"/>
  <c r="C19" i="76"/>
  <c r="K20" i="76"/>
  <c r="C18" i="76"/>
  <c r="K14" i="76"/>
  <c r="C17" i="76"/>
  <c r="A8" i="76"/>
  <c r="C16" i="76"/>
  <c r="C17" i="3"/>
  <c r="C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D19" i="3"/>
  <c r="E19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K25" i="101"/>
  <c r="K24" i="101"/>
  <c r="K23" i="101"/>
  <c r="K22" i="101"/>
  <c r="K21" i="101"/>
  <c r="K20" i="101"/>
  <c r="K19" i="101"/>
  <c r="K18" i="101"/>
  <c r="K17" i="101"/>
  <c r="K16" i="101"/>
  <c r="K15" i="101"/>
  <c r="K14" i="101"/>
  <c r="B18" i="121"/>
  <c r="B19" i="121"/>
  <c r="B20" i="121"/>
  <c r="E9" i="121"/>
  <c r="E10" i="121"/>
  <c r="D20" i="121"/>
  <c r="F17" i="121"/>
  <c r="F19" i="121"/>
  <c r="A23" i="121"/>
  <c r="B23" i="121"/>
  <c r="C23" i="121"/>
  <c r="D23" i="121"/>
  <c r="E23" i="121"/>
  <c r="J1" i="121"/>
  <c r="I5" i="121"/>
  <c r="I6" i="121"/>
  <c r="I7" i="121"/>
  <c r="I8" i="121"/>
  <c r="I9" i="121"/>
  <c r="I10" i="121"/>
  <c r="D28" i="121"/>
  <c r="E28" i="121"/>
  <c r="A30" i="121"/>
  <c r="C30" i="121"/>
  <c r="E30" i="121"/>
  <c r="A32" i="121"/>
  <c r="B32" i="121"/>
  <c r="C32" i="121"/>
  <c r="D32" i="121"/>
  <c r="E32" i="121"/>
  <c r="A34" i="121"/>
  <c r="B34" i="121"/>
  <c r="C34" i="121"/>
  <c r="D34" i="121"/>
  <c r="E34" i="121"/>
  <c r="F12" i="121"/>
  <c r="D19" i="121"/>
  <c r="D17" i="121"/>
  <c r="H1" i="121"/>
  <c r="B2" i="121"/>
  <c r="A3" i="121"/>
  <c r="I17" i="121"/>
  <c r="I19" i="121"/>
  <c r="I21" i="121"/>
  <c r="I23" i="121"/>
  <c r="I25" i="121"/>
  <c r="I27" i="121"/>
  <c r="I29" i="121"/>
  <c r="I31" i="121"/>
  <c r="B8" i="121"/>
  <c r="B17" i="121"/>
  <c r="C1" i="121"/>
  <c r="E24" i="121"/>
  <c r="D24" i="121"/>
  <c r="C24" i="121"/>
  <c r="C25" i="121"/>
  <c r="B24" i="121"/>
  <c r="D25" i="121"/>
  <c r="E25" i="121"/>
  <c r="F8" i="121"/>
  <c r="F14" i="121"/>
  <c r="F10" i="121"/>
  <c r="D13" i="121"/>
  <c r="F18" i="121"/>
  <c r="B6" i="121"/>
  <c r="B10" i="121"/>
  <c r="B5" i="121"/>
  <c r="B7" i="121"/>
  <c r="B12" i="121"/>
  <c r="B11" i="121"/>
  <c r="B9" i="121"/>
  <c r="B13" i="121"/>
  <c r="E11" i="121"/>
  <c r="E7" i="121"/>
  <c r="E8" i="121"/>
  <c r="B15" i="121"/>
  <c r="I20" i="121"/>
  <c r="I26" i="121"/>
  <c r="I16" i="121"/>
  <c r="I22" i="121"/>
  <c r="I28" i="121"/>
  <c r="I18" i="121"/>
  <c r="I24" i="121"/>
  <c r="I30" i="121"/>
  <c r="H12" i="121"/>
  <c r="A28" i="121"/>
  <c r="C28" i="121"/>
  <c r="B30" i="121"/>
  <c r="D30" i="121"/>
  <c r="B35" i="121"/>
  <c r="B14" i="121"/>
  <c r="E1" i="121"/>
  <c r="F20" i="121"/>
  <c r="D18" i="121"/>
  <c r="E6" i="121"/>
  <c r="E5" i="121"/>
  <c r="F1" i="121"/>
  <c r="F6" i="121"/>
</calcChain>
</file>

<file path=xl/sharedStrings.xml><?xml version="1.0" encoding="utf-8"?>
<sst xmlns="http://schemas.openxmlformats.org/spreadsheetml/2006/main" count="5027" uniqueCount="1548">
  <si>
    <t>Date</t>
  </si>
  <si>
    <t>Type</t>
  </si>
  <si>
    <t>Assurance</t>
  </si>
  <si>
    <t>Prix /mois</t>
  </si>
  <si>
    <t>Prix /an</t>
  </si>
  <si>
    <t>Date d'Effet</t>
  </si>
  <si>
    <t>Mut. Resil.</t>
  </si>
  <si>
    <t>Note Perso</t>
  </si>
  <si>
    <t>Type de Comm.</t>
  </si>
  <si>
    <t>Comm. Perso</t>
  </si>
  <si>
    <t>EL MRABAH</t>
  </si>
  <si>
    <t>Santé Collective</t>
  </si>
  <si>
    <t>SWISSLIFE</t>
  </si>
  <si>
    <t>X</t>
  </si>
  <si>
    <t>Linéaire</t>
  </si>
  <si>
    <t>BELMADANI</t>
  </si>
  <si>
    <t>Prev. Pro</t>
  </si>
  <si>
    <t>ALPTIS</t>
  </si>
  <si>
    <t>Précompte</t>
  </si>
  <si>
    <t>TEMMINE</t>
  </si>
  <si>
    <t>Santé Individuelle</t>
  </si>
  <si>
    <t>NEOLIANE</t>
  </si>
  <si>
    <t>CIPRES</t>
  </si>
  <si>
    <t>FARGIER</t>
  </si>
  <si>
    <t>SPI</t>
  </si>
  <si>
    <t>DELFORGE</t>
  </si>
  <si>
    <t>SLPI</t>
  </si>
  <si>
    <t>Leads</t>
  </si>
  <si>
    <t>Tarif Temp</t>
  </si>
  <si>
    <t>Charges</t>
  </si>
  <si>
    <t>Type Résil</t>
  </si>
  <si>
    <t>ALLIANZ</t>
  </si>
  <si>
    <t>MILLER</t>
  </si>
  <si>
    <t>APRIL</t>
  </si>
  <si>
    <t>GM</t>
  </si>
  <si>
    <t>Classique</t>
  </si>
  <si>
    <t>UNEO</t>
  </si>
  <si>
    <t>Validation</t>
  </si>
  <si>
    <t>Resil</t>
  </si>
  <si>
    <t>Formule/Note</t>
  </si>
  <si>
    <t>e4</t>
  </si>
  <si>
    <t>BONAZZI</t>
  </si>
  <si>
    <t>alp1be</t>
  </si>
  <si>
    <t>ASAF</t>
  </si>
  <si>
    <t>MAGNANON</t>
  </si>
  <si>
    <t>tn1</t>
  </si>
  <si>
    <t>BOULDI</t>
  </si>
  <si>
    <t>SLPE</t>
  </si>
  <si>
    <t>Annulé</t>
  </si>
  <si>
    <t>NGOMA</t>
  </si>
  <si>
    <t>SAMSON</t>
  </si>
  <si>
    <t>BITEAU</t>
  </si>
  <si>
    <t>TECHER</t>
  </si>
  <si>
    <t>ESPITALIER</t>
  </si>
  <si>
    <t>BEN NASR</t>
  </si>
  <si>
    <t>GUERNIER</t>
  </si>
  <si>
    <t>Groupama</t>
  </si>
  <si>
    <t>V</t>
  </si>
  <si>
    <t>HOFFMANN</t>
  </si>
  <si>
    <t>alp5be</t>
  </si>
  <si>
    <t>BARRIER</t>
  </si>
  <si>
    <t>VOINOT</t>
  </si>
  <si>
    <t>MMA</t>
  </si>
  <si>
    <t>AIT TAYEB</t>
  </si>
  <si>
    <t>AVIVA</t>
  </si>
  <si>
    <t>CEGEMA</t>
  </si>
  <si>
    <t>APIVIA</t>
  </si>
  <si>
    <t>ADIS/AXA</t>
  </si>
  <si>
    <t>PRAECONIS</t>
  </si>
  <si>
    <t>SMATIS</t>
  </si>
  <si>
    <t>Chatel avec Echeancier</t>
  </si>
  <si>
    <t>Chatel sans Echeancier</t>
  </si>
  <si>
    <t>Rétractation</t>
  </si>
  <si>
    <t>Revalorisation</t>
  </si>
  <si>
    <t xml:space="preserve">ACPR </t>
  </si>
  <si>
    <t>Changement Statut</t>
  </si>
  <si>
    <t>Démission d'Association</t>
  </si>
  <si>
    <t>Autre</t>
  </si>
  <si>
    <t>OK</t>
  </si>
  <si>
    <t>Reçue</t>
  </si>
  <si>
    <t>Envoyée</t>
  </si>
  <si>
    <t>KO</t>
  </si>
  <si>
    <t>Chien Chat 50</t>
  </si>
  <si>
    <t>Chien Chat 80</t>
  </si>
  <si>
    <t>Chien Chat 100</t>
  </si>
  <si>
    <t>Prev. Part</t>
  </si>
  <si>
    <t>Contrat Papier</t>
  </si>
  <si>
    <t>Signature</t>
  </si>
  <si>
    <t>Refus</t>
  </si>
  <si>
    <t>Sans Suite</t>
  </si>
  <si>
    <t>Report</t>
  </si>
  <si>
    <t>Déjà Signé</t>
  </si>
  <si>
    <t>Report + Médical</t>
  </si>
  <si>
    <t>Validation Compagnie</t>
  </si>
  <si>
    <t>Validation Médicale</t>
  </si>
  <si>
    <t>Refus Médical</t>
  </si>
  <si>
    <t>Ponctuel</t>
  </si>
  <si>
    <t>Retour</t>
  </si>
  <si>
    <t>Programmée</t>
  </si>
  <si>
    <t>A faire</t>
  </si>
  <si>
    <t xml:space="preserve">Programmation </t>
  </si>
  <si>
    <t>Santé</t>
  </si>
  <si>
    <t>Contrats</t>
  </si>
  <si>
    <t>Contrats Santé</t>
  </si>
  <si>
    <t>C.A.</t>
  </si>
  <si>
    <t>Contrats Prev.</t>
  </si>
  <si>
    <t>Préc. Brut</t>
  </si>
  <si>
    <t>Lin. Brut</t>
  </si>
  <si>
    <t>RSI</t>
  </si>
  <si>
    <t>sp3</t>
  </si>
  <si>
    <t>Gain €/Lead</t>
  </si>
  <si>
    <t>Coeff.</t>
  </si>
  <si>
    <t>Client</t>
  </si>
  <si>
    <t>MACHOUX</t>
  </si>
  <si>
    <t>sp1</t>
  </si>
  <si>
    <t>Précompte 1</t>
  </si>
  <si>
    <t>Précompte 2</t>
  </si>
  <si>
    <t>Préc. Net</t>
  </si>
  <si>
    <t>%</t>
  </si>
  <si>
    <t>Comm.</t>
  </si>
  <si>
    <t>LOUBERE</t>
  </si>
  <si>
    <t>PINA</t>
  </si>
  <si>
    <t>€</t>
  </si>
  <si>
    <t>NEOLIANE Prev</t>
  </si>
  <si>
    <t>Renf.</t>
  </si>
  <si>
    <t>IJ25</t>
  </si>
  <si>
    <t>Lin. Net</t>
  </si>
  <si>
    <t>sp4</t>
  </si>
  <si>
    <t>ev6</t>
  </si>
  <si>
    <t>LALONDE</t>
  </si>
  <si>
    <t>tn1od2</t>
  </si>
  <si>
    <t>n1</t>
  </si>
  <si>
    <t>spi5</t>
  </si>
  <si>
    <t>PREV PRO</t>
  </si>
  <si>
    <t>Collectif</t>
  </si>
  <si>
    <t>SO PREV</t>
  </si>
  <si>
    <t>SENSEO</t>
  </si>
  <si>
    <t>Précompte - P2</t>
  </si>
  <si>
    <t>Magnanon</t>
  </si>
  <si>
    <t>Ben Nasr</t>
  </si>
  <si>
    <t>COLIN</t>
  </si>
  <si>
    <t>France Mut</t>
  </si>
  <si>
    <t>Études</t>
  </si>
  <si>
    <t>BOUCHET</t>
  </si>
  <si>
    <t>GAV</t>
  </si>
  <si>
    <t>PTIA</t>
  </si>
  <si>
    <t>GILLERAT</t>
  </si>
  <si>
    <t>alp1</t>
  </si>
  <si>
    <t>Reprise</t>
  </si>
  <si>
    <t>LBP</t>
  </si>
  <si>
    <t>CHAOUCHE</t>
  </si>
  <si>
    <t>JAYAL</t>
  </si>
  <si>
    <t>GENNERET</t>
  </si>
  <si>
    <t>COIGNARD</t>
  </si>
  <si>
    <t>tn3od2h2</t>
  </si>
  <si>
    <t>Coignard</t>
  </si>
  <si>
    <t>DOUYERE</t>
  </si>
  <si>
    <t>TOUNSADI</t>
  </si>
  <si>
    <t>POY</t>
  </si>
  <si>
    <t>sen2od</t>
  </si>
  <si>
    <t>Prime Net</t>
  </si>
  <si>
    <t>PEZAT</t>
  </si>
  <si>
    <t>RC Pro</t>
  </si>
  <si>
    <t>1er Contact</t>
  </si>
  <si>
    <t>IJTC50</t>
  </si>
  <si>
    <t>Campagne</t>
  </si>
  <si>
    <t>Cabinet</t>
  </si>
  <si>
    <t>Parrainage</t>
  </si>
  <si>
    <t>Shark</t>
  </si>
  <si>
    <t>Re-signature</t>
  </si>
  <si>
    <t>Lead</t>
  </si>
  <si>
    <t>Old</t>
  </si>
  <si>
    <t>Couplage</t>
  </si>
  <si>
    <t>Frigo</t>
  </si>
  <si>
    <t>Annulation</t>
  </si>
  <si>
    <t>Contrat Papier + Médical</t>
  </si>
  <si>
    <t>Linéaire Échu</t>
  </si>
  <si>
    <t>ETAT Resil</t>
  </si>
  <si>
    <t>Panier Moyen</t>
  </si>
  <si>
    <t>Nom</t>
  </si>
  <si>
    <t>Prénom</t>
  </si>
  <si>
    <t>Ref.</t>
  </si>
  <si>
    <t>CP</t>
  </si>
  <si>
    <t>Années</t>
  </si>
  <si>
    <t>email</t>
  </si>
  <si>
    <t>Tel 1</t>
  </si>
  <si>
    <t>Tel 2</t>
  </si>
  <si>
    <t>RIB</t>
  </si>
  <si>
    <t>N° Sécu 1</t>
  </si>
  <si>
    <t>N° Sécu 2</t>
  </si>
  <si>
    <t>ddn1</t>
  </si>
  <si>
    <t>ddn2</t>
  </si>
  <si>
    <t>ddne1</t>
  </si>
  <si>
    <t>ddne2</t>
  </si>
  <si>
    <t>ddne3</t>
  </si>
  <si>
    <t>ddne4</t>
  </si>
  <si>
    <t>ddne5</t>
  </si>
  <si>
    <t>ddne6</t>
  </si>
  <si>
    <t>ddne7</t>
  </si>
  <si>
    <t>Régime</t>
  </si>
  <si>
    <t>ss</t>
  </si>
  <si>
    <t>ssf</t>
  </si>
  <si>
    <t>tns</t>
  </si>
  <si>
    <t>tnsss</t>
  </si>
  <si>
    <t>msatns</t>
  </si>
  <si>
    <t>msa</t>
  </si>
  <si>
    <t>am</t>
  </si>
  <si>
    <t>Assuré(s)</t>
  </si>
  <si>
    <t>% 2017</t>
  </si>
  <si>
    <t>% 2018</t>
  </si>
  <si>
    <t>% 2019</t>
  </si>
  <si>
    <t>% 2020</t>
  </si>
  <si>
    <t>reg1</t>
  </si>
  <si>
    <t>reg2</t>
  </si>
  <si>
    <t>rege1</t>
  </si>
  <si>
    <t>rege2</t>
  </si>
  <si>
    <t>rege3</t>
  </si>
  <si>
    <t>rege4</t>
  </si>
  <si>
    <t>rege5</t>
  </si>
  <si>
    <t>rege6</t>
  </si>
  <si>
    <t>rege7</t>
  </si>
  <si>
    <t>Jusqu'à 2019</t>
  </si>
  <si>
    <t>Jusqu'à 2020</t>
  </si>
  <si>
    <t>Jusqu'à 2018</t>
  </si>
  <si>
    <t xml:space="preserve"> € 2020</t>
  </si>
  <si>
    <t xml:space="preserve"> € 2019</t>
  </si>
  <si>
    <t xml:space="preserve"> € 2018</t>
  </si>
  <si>
    <t xml:space="preserve"> € 2016</t>
  </si>
  <si>
    <t xml:space="preserve"> € 2017</t>
  </si>
  <si>
    <t>bordereau FEVRIER 2018 MATHIEU</t>
  </si>
  <si>
    <t>age1</t>
  </si>
  <si>
    <t>age2</t>
  </si>
  <si>
    <t>agee1</t>
  </si>
  <si>
    <t>agee2</t>
  </si>
  <si>
    <t>agee3</t>
  </si>
  <si>
    <t>agee4</t>
  </si>
  <si>
    <t>agee5</t>
  </si>
  <si>
    <t>ev5</t>
  </si>
  <si>
    <t>geco</t>
  </si>
  <si>
    <t>aess2</t>
  </si>
  <si>
    <t>g3c1</t>
  </si>
  <si>
    <t>Christian</t>
  </si>
  <si>
    <t>Paul</t>
  </si>
  <si>
    <t>g6c2</t>
  </si>
  <si>
    <t>WIROTH</t>
  </si>
  <si>
    <t>Noemie</t>
  </si>
  <si>
    <t>sp5sc</t>
  </si>
  <si>
    <t>Marie</t>
  </si>
  <si>
    <t>g4c1</t>
  </si>
  <si>
    <t>i3</t>
  </si>
  <si>
    <t>i2</t>
  </si>
  <si>
    <t>i1</t>
  </si>
  <si>
    <t>v3</t>
  </si>
  <si>
    <t>v2</t>
  </si>
  <si>
    <t>i4</t>
  </si>
  <si>
    <t>s6</t>
  </si>
  <si>
    <t>Tintet</t>
  </si>
  <si>
    <t>Roy</t>
  </si>
  <si>
    <t>A</t>
  </si>
  <si>
    <t>E</t>
  </si>
  <si>
    <t>Pré 2018 OK</t>
  </si>
  <si>
    <t>Pré 2018 KO</t>
  </si>
  <si>
    <t>Pré 2018 à Voir</t>
  </si>
  <si>
    <t>Impayé</t>
  </si>
  <si>
    <t>Radié</t>
  </si>
  <si>
    <t>Pas Trouvé</t>
  </si>
  <si>
    <t>A Trouver</t>
  </si>
  <si>
    <t>A Jour</t>
  </si>
  <si>
    <t>Résilié</t>
  </si>
  <si>
    <t>Profil</t>
  </si>
  <si>
    <t>n° mois</t>
  </si>
  <si>
    <t>Mois Numérique</t>
  </si>
  <si>
    <t>Mois Abrév</t>
  </si>
  <si>
    <t>Sécurité</t>
  </si>
  <si>
    <t>Orgueil</t>
  </si>
  <si>
    <t>Nouveauté</t>
  </si>
  <si>
    <t>Confort</t>
  </si>
  <si>
    <t>Argent</t>
  </si>
  <si>
    <t>Sympathie</t>
  </si>
  <si>
    <t>Profil Client</t>
  </si>
  <si>
    <t>Optique</t>
  </si>
  <si>
    <t>Dentaire</t>
  </si>
  <si>
    <t>Med. Nat.</t>
  </si>
  <si>
    <t>Agence</t>
  </si>
  <si>
    <t>Hospi</t>
  </si>
  <si>
    <t>0/3/7</t>
  </si>
  <si>
    <t>3/0/7</t>
  </si>
  <si>
    <t>3/3/7</t>
  </si>
  <si>
    <t>0/3/15</t>
  </si>
  <si>
    <t>3/0/15</t>
  </si>
  <si>
    <t>3/3/15</t>
  </si>
  <si>
    <t>15/15/15</t>
  </si>
  <si>
    <t>0/3/30</t>
  </si>
  <si>
    <t>3/3/30</t>
  </si>
  <si>
    <t>30/30/30</t>
  </si>
  <si>
    <t>60/60/60</t>
  </si>
  <si>
    <t>90/90/90</t>
  </si>
  <si>
    <t>365/365/365</t>
  </si>
  <si>
    <t>Prev Pro</t>
  </si>
  <si>
    <t>So Prev</t>
  </si>
  <si>
    <t>Senséo</t>
  </si>
  <si>
    <t>Formule</t>
  </si>
  <si>
    <t>Besoins Santé</t>
  </si>
  <si>
    <t>Franchise</t>
  </si>
  <si>
    <t>Autoentrepreneur</t>
  </si>
  <si>
    <t xml:space="preserve">Nom Propre </t>
  </si>
  <si>
    <t>Société</t>
  </si>
  <si>
    <t>NC</t>
  </si>
  <si>
    <t>CIPAV</t>
  </si>
  <si>
    <t>Salarié</t>
  </si>
  <si>
    <t>Métier</t>
  </si>
  <si>
    <t>Age</t>
  </si>
  <si>
    <t>Dépass.</t>
  </si>
  <si>
    <t>RO</t>
  </si>
  <si>
    <t>CARPIMKO</t>
  </si>
  <si>
    <t>AMEXA</t>
  </si>
  <si>
    <t>CNBF-LPA</t>
  </si>
  <si>
    <t>CARMF</t>
  </si>
  <si>
    <t>MDA</t>
  </si>
  <si>
    <t>AGESSA</t>
  </si>
  <si>
    <t>CARCDSF</t>
  </si>
  <si>
    <t>CRN</t>
  </si>
  <si>
    <t>CAVP</t>
  </si>
  <si>
    <t>CARPV</t>
  </si>
  <si>
    <t>CAVEC</t>
  </si>
  <si>
    <t>CAVOM</t>
  </si>
  <si>
    <t>CAVIMAC</t>
  </si>
  <si>
    <t>CAVAMAC</t>
  </si>
  <si>
    <t>Statut</t>
  </si>
  <si>
    <t>Micro</t>
  </si>
  <si>
    <t>SASU</t>
  </si>
  <si>
    <t>EIRL</t>
  </si>
  <si>
    <t>SARL</t>
  </si>
  <si>
    <t>EURL</t>
  </si>
  <si>
    <t>SAS</t>
  </si>
  <si>
    <t>SA</t>
  </si>
  <si>
    <t>SNC</t>
  </si>
  <si>
    <t>SELARL</t>
  </si>
  <si>
    <t>Date Création</t>
  </si>
  <si>
    <t>Salaire</t>
  </si>
  <si>
    <t>CD</t>
  </si>
  <si>
    <t>Fumeur</t>
  </si>
  <si>
    <t>Médical</t>
  </si>
  <si>
    <t>Avec</t>
  </si>
  <si>
    <t>Avec RO</t>
  </si>
  <si>
    <t>Rente Conj.</t>
  </si>
  <si>
    <t>Rente Ed.</t>
  </si>
  <si>
    <t>Dos</t>
  </si>
  <si>
    <t>Psy</t>
  </si>
  <si>
    <t>Notes</t>
  </si>
  <si>
    <t>Oui</t>
  </si>
  <si>
    <t>Non</t>
  </si>
  <si>
    <t>Coupl. Santé</t>
  </si>
  <si>
    <t>Plus Tard</t>
  </si>
  <si>
    <t>Pas Demandé</t>
  </si>
  <si>
    <t>Portabilité</t>
  </si>
  <si>
    <t>OK - Couplé</t>
  </si>
  <si>
    <t>Programmé</t>
  </si>
  <si>
    <t>Groupe</t>
  </si>
  <si>
    <t>Étude à Faire</t>
  </si>
  <si>
    <t>Étude KO</t>
  </si>
  <si>
    <t>Très Courtes</t>
  </si>
  <si>
    <t>Courtes</t>
  </si>
  <si>
    <t>Normales</t>
  </si>
  <si>
    <t>Longues</t>
  </si>
  <si>
    <t>Sans</t>
  </si>
  <si>
    <t>Invalidité</t>
  </si>
  <si>
    <t>Barème Croisé 33%</t>
  </si>
  <si>
    <t>Barème Croisé 20%</t>
  </si>
  <si>
    <t>Barème Croisé 16%</t>
  </si>
  <si>
    <t>Barème Croisé 15%</t>
  </si>
  <si>
    <t>Professionnel</t>
  </si>
  <si>
    <t>Barème Professionnel 15%</t>
  </si>
  <si>
    <t>Fonctionnel</t>
  </si>
  <si>
    <t>Amélioré</t>
  </si>
  <si>
    <t>Barème Professionnel 16%</t>
  </si>
  <si>
    <t>Oui + Exclusions</t>
  </si>
  <si>
    <t>Oui Sans Exclusions</t>
  </si>
  <si>
    <t>NAF</t>
  </si>
  <si>
    <t>Important</t>
  </si>
  <si>
    <t>Intéressé</t>
  </si>
  <si>
    <t>Important + Passif</t>
  </si>
  <si>
    <t>Remise(s)</t>
  </si>
  <si>
    <t>Remises</t>
  </si>
  <si>
    <t>Oui - Créateur</t>
  </si>
  <si>
    <t>?</t>
  </si>
  <si>
    <t>Oui - Couplage</t>
  </si>
  <si>
    <t>Oui - Couplage + Créateur</t>
  </si>
  <si>
    <t>Oui - Geste Comm</t>
  </si>
  <si>
    <t>Frais Pro</t>
  </si>
  <si>
    <t>42401 42794</t>
  </si>
  <si>
    <t>42430 42825</t>
  </si>
  <si>
    <t>42461 42855</t>
  </si>
  <si>
    <t>42491 42886</t>
  </si>
  <si>
    <t>42522 42916</t>
  </si>
  <si>
    <t>42552 42947</t>
  </si>
  <si>
    <t>42583 42978</t>
  </si>
  <si>
    <t>42614 43008</t>
  </si>
  <si>
    <t>42644 43039</t>
  </si>
  <si>
    <t>42675 43069</t>
  </si>
  <si>
    <t>42705 43100</t>
  </si>
  <si>
    <t>42736 43131</t>
  </si>
  <si>
    <t>42767 43159</t>
  </si>
  <si>
    <t>42795 43190</t>
  </si>
  <si>
    <t>42826 43220</t>
  </si>
  <si>
    <t>42856 43251</t>
  </si>
  <si>
    <t>42887 43281</t>
  </si>
  <si>
    <t>42917 43312</t>
  </si>
  <si>
    <t>42948 43343</t>
  </si>
  <si>
    <t>42979 43373</t>
  </si>
  <si>
    <t>43009 43404</t>
  </si>
  <si>
    <t>43040 43434</t>
  </si>
  <si>
    <t>43070 43465</t>
  </si>
  <si>
    <t>43101 43496</t>
  </si>
  <si>
    <t>43132 43524</t>
  </si>
  <si>
    <t>43160 43555</t>
  </si>
  <si>
    <t>43191 43585</t>
  </si>
  <si>
    <t>43221 43616</t>
  </si>
  <si>
    <t>43252 43646</t>
  </si>
  <si>
    <t>43282 43677</t>
  </si>
  <si>
    <t>43313 43708</t>
  </si>
  <si>
    <t>43344 43738</t>
  </si>
  <si>
    <t>43374 43769</t>
  </si>
  <si>
    <t>43405 43799</t>
  </si>
  <si>
    <t>43435 43830</t>
  </si>
  <si>
    <t>43466 43861</t>
  </si>
  <si>
    <t>43497 43890</t>
  </si>
  <si>
    <t>43525 43921</t>
  </si>
  <si>
    <t>43556 43951</t>
  </si>
  <si>
    <t>43586 43982</t>
  </si>
  <si>
    <t>43617 44012</t>
  </si>
  <si>
    <t>43647 44043</t>
  </si>
  <si>
    <t>43678 44074</t>
  </si>
  <si>
    <t>43709 44104</t>
  </si>
  <si>
    <t>43739 44135</t>
  </si>
  <si>
    <t>43770 44165</t>
  </si>
  <si>
    <t>43800 44196</t>
  </si>
  <si>
    <t>43831 44227</t>
  </si>
  <si>
    <t>43862 44255</t>
  </si>
  <si>
    <t>43891 44286</t>
  </si>
  <si>
    <t>43922 44316</t>
  </si>
  <si>
    <t>43952 44347</t>
  </si>
  <si>
    <t>43983 44377</t>
  </si>
  <si>
    <t>44013 44408</t>
  </si>
  <si>
    <t>44044 44439</t>
  </si>
  <si>
    <t>44075 44469</t>
  </si>
  <si>
    <t>44105 44500</t>
  </si>
  <si>
    <t>44136 44530</t>
  </si>
  <si>
    <t>44166 44561</t>
  </si>
  <si>
    <t>44197 44592</t>
  </si>
  <si>
    <t>44228 44620</t>
  </si>
  <si>
    <t>44256 44651</t>
  </si>
  <si>
    <t>44287 44681</t>
  </si>
  <si>
    <t>44317 44712</t>
  </si>
  <si>
    <t>44348 44742</t>
  </si>
  <si>
    <t>44378 44773</t>
  </si>
  <si>
    <t>44409 44804</t>
  </si>
  <si>
    <t>44440 44834</t>
  </si>
  <si>
    <t>44470 44865</t>
  </si>
  <si>
    <t>44501 44895</t>
  </si>
  <si>
    <t>44531 44926</t>
  </si>
  <si>
    <t>44562 44957</t>
  </si>
  <si>
    <t>44593 44985</t>
  </si>
  <si>
    <t>44621 45016</t>
  </si>
  <si>
    <t>44652 45046</t>
  </si>
  <si>
    <t>44682 45077</t>
  </si>
  <si>
    <t>44713 45107</t>
  </si>
  <si>
    <t>44743 45138</t>
  </si>
  <si>
    <t>44774 45169</t>
  </si>
  <si>
    <t>44805 45199</t>
  </si>
  <si>
    <t>44835 45230</t>
  </si>
  <si>
    <t>44866 45260</t>
  </si>
  <si>
    <t>44896 45291</t>
  </si>
  <si>
    <t>44927 45322</t>
  </si>
  <si>
    <t>44958 45351</t>
  </si>
  <si>
    <t>44986 45382</t>
  </si>
  <si>
    <t>45017 45412</t>
  </si>
  <si>
    <t>45047 45443</t>
  </si>
  <si>
    <t>45078 45473</t>
  </si>
  <si>
    <t>45108 45504</t>
  </si>
  <si>
    <t>45139 45535</t>
  </si>
  <si>
    <t>45170 45565</t>
  </si>
  <si>
    <t xml:space="preserve"> </t>
  </si>
  <si>
    <t>RAS</t>
  </si>
  <si>
    <t>Reserve de</t>
  </si>
  <si>
    <t>Mois N°</t>
  </si>
  <si>
    <t>Validés</t>
  </si>
  <si>
    <t>Stats Production</t>
  </si>
  <si>
    <t>Stats Campagne</t>
  </si>
  <si>
    <t>NEOLIANE 
Santé</t>
  </si>
  <si>
    <t>Primes</t>
  </si>
  <si>
    <t>Compagnies</t>
  </si>
  <si>
    <t>Regul</t>
  </si>
  <si>
    <t>Régularisation</t>
  </si>
  <si>
    <t>Prime Nette</t>
  </si>
  <si>
    <t>N° Mois</t>
  </si>
  <si>
    <t>NEOLIANE 
Prev</t>
  </si>
  <si>
    <t>Validés / Leads</t>
  </si>
  <si>
    <t>Cout Leads</t>
  </si>
  <si>
    <t>GENEVIEVE LEVY EDITION</t>
  </si>
  <si>
    <t>Causes</t>
  </si>
  <si>
    <t>Primes Production</t>
  </si>
  <si>
    <t>TEBOUL</t>
  </si>
  <si>
    <t>Raj 6€ Renfort</t>
  </si>
  <si>
    <t>Infos Man.</t>
  </si>
  <si>
    <t>Infos</t>
  </si>
  <si>
    <t>Tout</t>
  </si>
  <si>
    <t>ORIAS</t>
  </si>
  <si>
    <t>P2</t>
  </si>
  <si>
    <t>Contrats Prev. P.</t>
  </si>
  <si>
    <t>nwiroth@gmail.com</t>
  </si>
  <si>
    <t>1er Anniv</t>
  </si>
  <si>
    <t>Année</t>
  </si>
  <si>
    <t>Mini</t>
  </si>
  <si>
    <t>Trans.</t>
  </si>
  <si>
    <t>Inter.</t>
  </si>
  <si>
    <t>à vérif.</t>
  </si>
  <si>
    <t>Doublons</t>
  </si>
  <si>
    <t>SIMON</t>
  </si>
  <si>
    <t>Gwenaele</t>
  </si>
  <si>
    <t>sp2</t>
  </si>
  <si>
    <t>gwenaele.tardy@yahoo.fr</t>
  </si>
  <si>
    <t>06 82 99 28 66</t>
  </si>
  <si>
    <t>Hypnothérapeuthe</t>
  </si>
  <si>
    <t>8690F</t>
  </si>
  <si>
    <t>Problème Thyroïde</t>
  </si>
  <si>
    <t>Hotel Mont Blanc</t>
  </si>
  <si>
    <t>g2c1b1</t>
  </si>
  <si>
    <t>g2b1</t>
  </si>
  <si>
    <t>ev3</t>
  </si>
  <si>
    <t>Patrick</t>
  </si>
  <si>
    <t>g3c1b2</t>
  </si>
  <si>
    <t>7022Z</t>
  </si>
  <si>
    <t>Céline</t>
  </si>
  <si>
    <t>Mathieu</t>
  </si>
  <si>
    <t>alp2</t>
  </si>
  <si>
    <t>alpeco</t>
  </si>
  <si>
    <t>tn2h1</t>
  </si>
  <si>
    <t>Michel</t>
  </si>
  <si>
    <t>tn2od2h1</t>
  </si>
  <si>
    <t>tn2od2h2</t>
  </si>
  <si>
    <t>sen3</t>
  </si>
  <si>
    <t>atn2</t>
  </si>
  <si>
    <t>eq+50200</t>
  </si>
  <si>
    <t>cess1</t>
  </si>
  <si>
    <t>Sexe</t>
  </si>
  <si>
    <t>Monsieur</t>
  </si>
  <si>
    <t>Madame</t>
  </si>
  <si>
    <t>gh</t>
  </si>
  <si>
    <t>gecoc1</t>
  </si>
  <si>
    <t>gecob1</t>
  </si>
  <si>
    <t>gecoc1b1</t>
  </si>
  <si>
    <t>g1</t>
  </si>
  <si>
    <t>g1c1</t>
  </si>
  <si>
    <t>g1b1</t>
  </si>
  <si>
    <t>g1c1b1</t>
  </si>
  <si>
    <t>g2</t>
  </si>
  <si>
    <t>g2c1</t>
  </si>
  <si>
    <t>g2c1b2</t>
  </si>
  <si>
    <t>g2c2</t>
  </si>
  <si>
    <t>g2c2b1</t>
  </si>
  <si>
    <t>g2c2b2</t>
  </si>
  <si>
    <t>g2b2</t>
  </si>
  <si>
    <t>g3</t>
  </si>
  <si>
    <t>g3c1b1</t>
  </si>
  <si>
    <t>g3c2</t>
  </si>
  <si>
    <t>g3c2b1</t>
  </si>
  <si>
    <t>g3c2b2</t>
  </si>
  <si>
    <t>g3b1</t>
  </si>
  <si>
    <t>g3b2</t>
  </si>
  <si>
    <t>g4</t>
  </si>
  <si>
    <t>g4c1b1</t>
  </si>
  <si>
    <t>g4c1b2</t>
  </si>
  <si>
    <t>g4c2</t>
  </si>
  <si>
    <t>g4c2b1</t>
  </si>
  <si>
    <t>g4c2b2</t>
  </si>
  <si>
    <t>g4b1</t>
  </si>
  <si>
    <t>g4b2</t>
  </si>
  <si>
    <t>g5</t>
  </si>
  <si>
    <t>g5c1</t>
  </si>
  <si>
    <t>g5c1b1</t>
  </si>
  <si>
    <t>g5c1b2</t>
  </si>
  <si>
    <t>g5c2</t>
  </si>
  <si>
    <t>g5c2b1</t>
  </si>
  <si>
    <t>g5c2b2</t>
  </si>
  <si>
    <t>g5b1</t>
  </si>
  <si>
    <t>g5b2</t>
  </si>
  <si>
    <t>g6</t>
  </si>
  <si>
    <t>g6c1</t>
  </si>
  <si>
    <t>g6c1b1</t>
  </si>
  <si>
    <t>g6c1b2</t>
  </si>
  <si>
    <t>g6c2b1</t>
  </si>
  <si>
    <t>g6c2b2</t>
  </si>
  <si>
    <t>g6b1</t>
  </si>
  <si>
    <t>g6b2</t>
  </si>
  <si>
    <t>ev1</t>
  </si>
  <si>
    <t>ev2</t>
  </si>
  <si>
    <t>ev2h</t>
  </si>
  <si>
    <t>ev3h</t>
  </si>
  <si>
    <t>ev4</t>
  </si>
  <si>
    <t>ev4h</t>
  </si>
  <si>
    <t>sp5</t>
  </si>
  <si>
    <t>sp6</t>
  </si>
  <si>
    <t>sp7</t>
  </si>
  <si>
    <t>aess1</t>
  </si>
  <si>
    <t>aess3</t>
  </si>
  <si>
    <t>aess4</t>
  </si>
  <si>
    <t>aess5</t>
  </si>
  <si>
    <t>aess6</t>
  </si>
  <si>
    <t>fam1</t>
  </si>
  <si>
    <t>fam2</t>
  </si>
  <si>
    <t>fam2hod</t>
  </si>
  <si>
    <t>fam3</t>
  </si>
  <si>
    <t>fam3hod</t>
  </si>
  <si>
    <t>fam4</t>
  </si>
  <si>
    <t>fam4hod</t>
  </si>
  <si>
    <t>fam5</t>
  </si>
  <si>
    <t>fam5hod</t>
  </si>
  <si>
    <t>fam6</t>
  </si>
  <si>
    <t>fam6hod</t>
  </si>
  <si>
    <t>sen1</t>
  </si>
  <si>
    <t>sen2</t>
  </si>
  <si>
    <t>sen2odh</t>
  </si>
  <si>
    <t>sen2h</t>
  </si>
  <si>
    <t>sen3od</t>
  </si>
  <si>
    <t>sen3odh</t>
  </si>
  <si>
    <t>sen3h</t>
  </si>
  <si>
    <t>sen4</t>
  </si>
  <si>
    <t>sen4od</t>
  </si>
  <si>
    <t>sen4odh</t>
  </si>
  <si>
    <t>sen4h</t>
  </si>
  <si>
    <t>sen5</t>
  </si>
  <si>
    <t>sen5od</t>
  </si>
  <si>
    <t>sen5odh</t>
  </si>
  <si>
    <t>sen5h</t>
  </si>
  <si>
    <t>tn1od1</t>
  </si>
  <si>
    <t>tn1od1h1</t>
  </si>
  <si>
    <t>tn1od1h2</t>
  </si>
  <si>
    <t>tn1od2h1</t>
  </si>
  <si>
    <t>tn1od2h2</t>
  </si>
  <si>
    <t>tn1h1</t>
  </si>
  <si>
    <t>tn1h2</t>
  </si>
  <si>
    <t>tn2</t>
  </si>
  <si>
    <t>tn2od1</t>
  </si>
  <si>
    <t>tn2od2</t>
  </si>
  <si>
    <t>tn2od1h1</t>
  </si>
  <si>
    <t>tn2od1h2</t>
  </si>
  <si>
    <t>tn2h2</t>
  </si>
  <si>
    <t>tn3</t>
  </si>
  <si>
    <t>tn3od1</t>
  </si>
  <si>
    <t>tn3od2</t>
  </si>
  <si>
    <t>tn3od1h1</t>
  </si>
  <si>
    <t>tn3od1h2</t>
  </si>
  <si>
    <t>tn3od2h1</t>
  </si>
  <si>
    <t>tn3h1</t>
  </si>
  <si>
    <t>tn3h2</t>
  </si>
  <si>
    <t>tn4</t>
  </si>
  <si>
    <t>tn4od1</t>
  </si>
  <si>
    <t>tn4od2</t>
  </si>
  <si>
    <t>tn4od1h1</t>
  </si>
  <si>
    <t>tn4od1h2</t>
  </si>
  <si>
    <t>tn4od2h1</t>
  </si>
  <si>
    <t>tn4od2h2</t>
  </si>
  <si>
    <t>tn4h1</t>
  </si>
  <si>
    <t>tn4h2</t>
  </si>
  <si>
    <t>tn5</t>
  </si>
  <si>
    <t>tn5od1</t>
  </si>
  <si>
    <t>tn5od2</t>
  </si>
  <si>
    <t>tn5od1h1</t>
  </si>
  <si>
    <t>tn5od1h2</t>
  </si>
  <si>
    <t>tn5od2h1</t>
  </si>
  <si>
    <t>tn5od2h2</t>
  </si>
  <si>
    <t>tn5h1</t>
  </si>
  <si>
    <t>tn5h2</t>
  </si>
  <si>
    <t>ess1</t>
  </si>
  <si>
    <t>ess1h</t>
  </si>
  <si>
    <t>ess2</t>
  </si>
  <si>
    <t>ess2h</t>
  </si>
  <si>
    <t>ess3</t>
  </si>
  <si>
    <t>ess3h</t>
  </si>
  <si>
    <t>alp1doa</t>
  </si>
  <si>
    <t>alp1h</t>
  </si>
  <si>
    <t>alp1doabe</t>
  </si>
  <si>
    <t>alp1doah</t>
  </si>
  <si>
    <t>alp1tt</t>
  </si>
  <si>
    <t>alp1beh</t>
  </si>
  <si>
    <t>alp2doa</t>
  </si>
  <si>
    <t>alp2be</t>
  </si>
  <si>
    <t>alp2h</t>
  </si>
  <si>
    <t>alp2doabe</t>
  </si>
  <si>
    <t>alp2doah</t>
  </si>
  <si>
    <t>alp2tt</t>
  </si>
  <si>
    <t>alp2beh</t>
  </si>
  <si>
    <t>alp3</t>
  </si>
  <si>
    <t>alp3doa</t>
  </si>
  <si>
    <t>alp3be</t>
  </si>
  <si>
    <t>alp3h</t>
  </si>
  <si>
    <t>alp3doabe</t>
  </si>
  <si>
    <t>alp3doah</t>
  </si>
  <si>
    <t>alp3tt</t>
  </si>
  <si>
    <t>alp3beh</t>
  </si>
  <si>
    <t>alp4</t>
  </si>
  <si>
    <t>alp4doa</t>
  </si>
  <si>
    <t>alp4be</t>
  </si>
  <si>
    <t>alp4h</t>
  </si>
  <si>
    <t>alp4doabe</t>
  </si>
  <si>
    <t>alp4doah</t>
  </si>
  <si>
    <t>alp4tt</t>
  </si>
  <si>
    <t>alp4beh</t>
  </si>
  <si>
    <t>alp5</t>
  </si>
  <si>
    <t>alp5doa</t>
  </si>
  <si>
    <t>alp5h</t>
  </si>
  <si>
    <t>alp5doabe</t>
  </si>
  <si>
    <t>alp5doah</t>
  </si>
  <si>
    <t>alp5tt</t>
  </si>
  <si>
    <t>alp5beh</t>
  </si>
  <si>
    <t>spi1</t>
  </si>
  <si>
    <t>spi1s</t>
  </si>
  <si>
    <t>spi2</t>
  </si>
  <si>
    <t>spi2s</t>
  </si>
  <si>
    <t>spi3</t>
  </si>
  <si>
    <t>spi3s</t>
  </si>
  <si>
    <t>spi4</t>
  </si>
  <si>
    <t>spi4s</t>
  </si>
  <si>
    <t>spi5s</t>
  </si>
  <si>
    <t>e1</t>
  </si>
  <si>
    <t>e1+</t>
  </si>
  <si>
    <t>e1++</t>
  </si>
  <si>
    <t>e2</t>
  </si>
  <si>
    <t>e2+</t>
  </si>
  <si>
    <t>e2++</t>
  </si>
  <si>
    <t>e3</t>
  </si>
  <si>
    <t>e3+</t>
  </si>
  <si>
    <t>e3++</t>
  </si>
  <si>
    <t>e4+</t>
  </si>
  <si>
    <t>e4++</t>
  </si>
  <si>
    <t>e5</t>
  </si>
  <si>
    <t>e5+</t>
  </si>
  <si>
    <t>e5++</t>
  </si>
  <si>
    <t>e6</t>
  </si>
  <si>
    <t>e6+</t>
  </si>
  <si>
    <t>e6++</t>
  </si>
  <si>
    <t>n1c</t>
  </si>
  <si>
    <t>n1me</t>
  </si>
  <si>
    <t>n1cme</t>
  </si>
  <si>
    <t>n2</t>
  </si>
  <si>
    <t>n2c</t>
  </si>
  <si>
    <t>n2me</t>
  </si>
  <si>
    <t>n2cme</t>
  </si>
  <si>
    <t>n3</t>
  </si>
  <si>
    <t>n3c</t>
  </si>
  <si>
    <t>n3me</t>
  </si>
  <si>
    <t>n3cme</t>
  </si>
  <si>
    <t>n4</t>
  </si>
  <si>
    <t>n4c</t>
  </si>
  <si>
    <t>n4me</t>
  </si>
  <si>
    <t>n4cme</t>
  </si>
  <si>
    <t>n5</t>
  </si>
  <si>
    <t>n5c</t>
  </si>
  <si>
    <t>n5me</t>
  </si>
  <si>
    <t>n5cme</t>
  </si>
  <si>
    <t>v1</t>
  </si>
  <si>
    <t>v4</t>
  </si>
  <si>
    <t>s1</t>
  </si>
  <si>
    <t>s2</t>
  </si>
  <si>
    <t>s3</t>
  </si>
  <si>
    <t>s4</t>
  </si>
  <si>
    <t>s5</t>
  </si>
  <si>
    <t>s7</t>
  </si>
  <si>
    <t>ch</t>
  </si>
  <si>
    <t>cess1a</t>
  </si>
  <si>
    <t>cess2</t>
  </si>
  <si>
    <t>cess2a</t>
  </si>
  <si>
    <t>cess2b</t>
  </si>
  <si>
    <t>cess2ab</t>
  </si>
  <si>
    <t>w1</t>
  </si>
  <si>
    <t>w1a</t>
  </si>
  <si>
    <t>w1b</t>
  </si>
  <si>
    <t>w1ab</t>
  </si>
  <si>
    <t>w2</t>
  </si>
  <si>
    <t>w2a</t>
  </si>
  <si>
    <t>w2b</t>
  </si>
  <si>
    <t>w2ab</t>
  </si>
  <si>
    <t>w3</t>
  </si>
  <si>
    <t>w3a</t>
  </si>
  <si>
    <t>w3b</t>
  </si>
  <si>
    <t>w3ab</t>
  </si>
  <si>
    <t>w4</t>
  </si>
  <si>
    <t>w4a</t>
  </si>
  <si>
    <t>w4b</t>
  </si>
  <si>
    <t>w4ab</t>
  </si>
  <si>
    <t>ph1</t>
  </si>
  <si>
    <t>ph2</t>
  </si>
  <si>
    <t>ph3</t>
  </si>
  <si>
    <t>ph4</t>
  </si>
  <si>
    <t>ph5</t>
  </si>
  <si>
    <t>ph6</t>
  </si>
  <si>
    <t>ph7</t>
  </si>
  <si>
    <t>slsen1</t>
  </si>
  <si>
    <t>slsen2</t>
  </si>
  <si>
    <t>slsen3</t>
  </si>
  <si>
    <t>slsen4</t>
  </si>
  <si>
    <t>slsen5</t>
  </si>
  <si>
    <t>slsen6</t>
  </si>
  <si>
    <t>sc3</t>
  </si>
  <si>
    <t>sc4</t>
  </si>
  <si>
    <t>sc5</t>
  </si>
  <si>
    <t>sc6</t>
  </si>
  <si>
    <t>eq-50100</t>
  </si>
  <si>
    <t>eq-50125</t>
  </si>
  <si>
    <t>eq-50150</t>
  </si>
  <si>
    <t>eq-50200</t>
  </si>
  <si>
    <t>eq+50100</t>
  </si>
  <si>
    <t>eq+50125</t>
  </si>
  <si>
    <t>eq+50150</t>
  </si>
  <si>
    <t>abro</t>
  </si>
  <si>
    <t>asil</t>
  </si>
  <si>
    <t>agol</t>
  </si>
  <si>
    <t>apla</t>
  </si>
  <si>
    <t>atn1</t>
  </si>
  <si>
    <t>atn3</t>
  </si>
  <si>
    <t>atn4</t>
  </si>
  <si>
    <t>atn5</t>
  </si>
  <si>
    <t>acsa</t>
  </si>
  <si>
    <t>acsb</t>
  </si>
  <si>
    <t>acsc</t>
  </si>
  <si>
    <t>smatn1</t>
  </si>
  <si>
    <t>smatn2</t>
  </si>
  <si>
    <t>smatn3</t>
  </si>
  <si>
    <t>smatn4</t>
  </si>
  <si>
    <t>ciptn1</t>
  </si>
  <si>
    <t>ciptn2</t>
  </si>
  <si>
    <t>ciptn3</t>
  </si>
  <si>
    <t>ciptn4</t>
  </si>
  <si>
    <t>ciptn1nr</t>
  </si>
  <si>
    <t>ciptn2nr</t>
  </si>
  <si>
    <t>ciptn3nr</t>
  </si>
  <si>
    <t>ciptn4nr</t>
  </si>
  <si>
    <t>aprmod1</t>
  </si>
  <si>
    <t>aprmod2</t>
  </si>
  <si>
    <t>aprmod3</t>
  </si>
  <si>
    <t>aprmod4</t>
  </si>
  <si>
    <t>aprmod5</t>
  </si>
  <si>
    <t>aprmod6</t>
  </si>
  <si>
    <t>aprmod7</t>
  </si>
  <si>
    <t>aprmod8</t>
  </si>
  <si>
    <t>aprmod9</t>
  </si>
  <si>
    <t>aprmod10</t>
  </si>
  <si>
    <t>aprmod11</t>
  </si>
  <si>
    <t>aprmod12</t>
  </si>
  <si>
    <t>aprani</t>
  </si>
  <si>
    <t>aprani+</t>
  </si>
  <si>
    <t>apranir1</t>
  </si>
  <si>
    <t>apranir2</t>
  </si>
  <si>
    <t>apranir3</t>
  </si>
  <si>
    <t>apranir4</t>
  </si>
  <si>
    <t>apranir5</t>
  </si>
  <si>
    <t>aprtpe1</t>
  </si>
  <si>
    <t>aprtpe2</t>
  </si>
  <si>
    <t>aprtpe3</t>
  </si>
  <si>
    <t>aprtpe4</t>
  </si>
  <si>
    <t>aprtpe5</t>
  </si>
  <si>
    <t>aprtper1</t>
  </si>
  <si>
    <t>aprtper2</t>
  </si>
  <si>
    <t>aprtper3</t>
  </si>
  <si>
    <t>aprtper4</t>
  </si>
  <si>
    <t>aprtper5</t>
  </si>
  <si>
    <t>cipani</t>
  </si>
  <si>
    <t>cipaniess</t>
  </si>
  <si>
    <t>cipanisec</t>
  </si>
  <si>
    <t>cipaniconf</t>
  </si>
  <si>
    <t>cipaniexcel</t>
  </si>
  <si>
    <t>cipani+</t>
  </si>
  <si>
    <t>cipani+ess</t>
  </si>
  <si>
    <t>cipani+sec</t>
  </si>
  <si>
    <t>cipani+conf</t>
  </si>
  <si>
    <t>cipani+excel</t>
  </si>
  <si>
    <t>cipess</t>
  </si>
  <si>
    <t>cipesssec</t>
  </si>
  <si>
    <t>cipessconf</t>
  </si>
  <si>
    <t>cipessexcel</t>
  </si>
  <si>
    <t>cipsecu</t>
  </si>
  <si>
    <t>cipsecuconf</t>
  </si>
  <si>
    <t>cipsecuexcel</t>
  </si>
  <si>
    <t>cipconf</t>
  </si>
  <si>
    <t>cipconfexcel</t>
  </si>
  <si>
    <t>cipexc</t>
  </si>
  <si>
    <t>cipexc+</t>
  </si>
  <si>
    <t>AlpColANI</t>
  </si>
  <si>
    <t>AlpColANIs</t>
  </si>
  <si>
    <t>AlpCol1</t>
  </si>
  <si>
    <t>AlpCol1s</t>
  </si>
  <si>
    <t>AlpCol2</t>
  </si>
  <si>
    <t>AlpCol2s</t>
  </si>
  <si>
    <t>AlpCol3</t>
  </si>
  <si>
    <t>AlpCol3s</t>
  </si>
  <si>
    <t>AlpCol4</t>
  </si>
  <si>
    <t>AlpCol4s</t>
  </si>
  <si>
    <t>AlpCol5</t>
  </si>
  <si>
    <t>AlpCol5s</t>
  </si>
  <si>
    <t>AlpColsen</t>
  </si>
  <si>
    <t>AlpCols1</t>
  </si>
  <si>
    <t>AlpCols2</t>
  </si>
  <si>
    <t>AlpCols3</t>
  </si>
  <si>
    <t>AlpColod1</t>
  </si>
  <si>
    <t>AlpColod2</t>
  </si>
  <si>
    <t>AlpColod3</t>
  </si>
  <si>
    <t>Abréviation</t>
  </si>
  <si>
    <t>APRIL Globale 2</t>
  </si>
  <si>
    <t>AXA-ASAF Famille 1</t>
  </si>
  <si>
    <t>AXA-ASAF Famille 2</t>
  </si>
  <si>
    <t>AXA-ASAF Famille 3</t>
  </si>
  <si>
    <t>AXA-ASAF Famille 4</t>
  </si>
  <si>
    <t>AXA-ASAF Famille 5</t>
  </si>
  <si>
    <t>AXA-ASAF Famille 6</t>
  </si>
  <si>
    <t>AXA-ASAF Seniors 1</t>
  </si>
  <si>
    <t>AXA-ASAF Seniors 2</t>
  </si>
  <si>
    <t>AXA-ASAF Seniors 3</t>
  </si>
  <si>
    <t>AXA-ASAF Seniors 4</t>
  </si>
  <si>
    <t>AXA-ASAF Seniors 5</t>
  </si>
  <si>
    <t>AXA-ASAF TNS 1</t>
  </si>
  <si>
    <t>AXA-ASAF TNS 2</t>
  </si>
  <si>
    <t>AXA-ASAF TNS 3</t>
  </si>
  <si>
    <t>AXA-ASAF TNS 4</t>
  </si>
  <si>
    <t>AXA-ASAF TNS 5</t>
  </si>
  <si>
    <t>AXA-ASAF Essentiel 1</t>
  </si>
  <si>
    <t>AXA-ASAF Essentiel 2</t>
  </si>
  <si>
    <t>AXA-ASAF Essentiel 3</t>
  </si>
  <si>
    <t>ALPTIS Plurielle Eco</t>
  </si>
  <si>
    <t>ALPTIS Plurielle 1</t>
  </si>
  <si>
    <t>ALPTIS Plurielle 2</t>
  </si>
  <si>
    <t>ALPTIS Plurielle 3</t>
  </si>
  <si>
    <t>ALPTIS Plurielle 4</t>
  </si>
  <si>
    <t>ALPTIS Plurielle 5</t>
  </si>
  <si>
    <t>ALPTIS SPI 1</t>
  </si>
  <si>
    <t>ALPTIS SPI 2</t>
  </si>
  <si>
    <t>ALPTIS SPI 3</t>
  </si>
  <si>
    <t>ALPTIS SPI 4</t>
  </si>
  <si>
    <t>ALPTIS SPI 5</t>
  </si>
  <si>
    <t>SWISSLIFE Pack Hospi 1</t>
  </si>
  <si>
    <t>SWISSLIFE Pack Hospi 2</t>
  </si>
  <si>
    <t>SWISSLIFE Pack Hospi 3</t>
  </si>
  <si>
    <t>SWISSLIFE Pack Hospi 4</t>
  </si>
  <si>
    <t>SWISSLIFE Pack Hospi 5</t>
  </si>
  <si>
    <t>SWISSLIFE Pack Hospi 6</t>
  </si>
  <si>
    <t>SWISSLIFE Pack Hospi 7</t>
  </si>
  <si>
    <t>SWISSLIFE Senior 1</t>
  </si>
  <si>
    <t>SWISSLIFE Senior 2</t>
  </si>
  <si>
    <t>SWISSLIFE Senior 3</t>
  </si>
  <si>
    <t>SWISSLIFE Senior 4</t>
  </si>
  <si>
    <t>SWISSLIFE Senior 5</t>
  </si>
  <si>
    <t>SWISSLIFE Senior 6</t>
  </si>
  <si>
    <t>SWISSLIFE Surcomplémentaire 3</t>
  </si>
  <si>
    <t>SWISSLIFE Surcomplémentaire 4</t>
  </si>
  <si>
    <t>SWISSLIFE Surcomplémentaire 5</t>
  </si>
  <si>
    <t>SWISSLIFE Surcomplémentaire 6</t>
  </si>
  <si>
    <t>APIVIA Equilibre 100</t>
  </si>
  <si>
    <t>APIVIA Equilibre 125</t>
  </si>
  <si>
    <t>APIVIA Equilibre 150</t>
  </si>
  <si>
    <t>APIVIA Equilibre 200</t>
  </si>
  <si>
    <t>APIVIA  Exclusive Bronze</t>
  </si>
  <si>
    <t>APIVIA  Exclusive Silver</t>
  </si>
  <si>
    <t>APIVIA  Exclusive Gold</t>
  </si>
  <si>
    <t>APIVIA  Exclusive Platine</t>
  </si>
  <si>
    <t>APIVIA  TNS 1</t>
  </si>
  <si>
    <t>APIVIA  TNS 2</t>
  </si>
  <si>
    <t>APIVIA  TNS 3</t>
  </si>
  <si>
    <t>APIVIA  TNS 4</t>
  </si>
  <si>
    <t>APIVIA  TNS 5</t>
  </si>
  <si>
    <t>APIVIA  ACS A</t>
  </si>
  <si>
    <t>APIVIA  ACS B</t>
  </si>
  <si>
    <t>APIVIA  ACS C</t>
  </si>
  <si>
    <t>APRIL - Globale Hospi</t>
  </si>
  <si>
    <t xml:space="preserve">APRIL - Globale Éco </t>
  </si>
  <si>
    <t>APRIL - Globale 1</t>
  </si>
  <si>
    <t>APRIL - Globale 3</t>
  </si>
  <si>
    <t>APRIL - Globale 4</t>
  </si>
  <si>
    <t>APRIL - Globale 5</t>
  </si>
  <si>
    <t>APRIL - Globale 6</t>
  </si>
  <si>
    <t>APRIL - Évolutive 1</t>
  </si>
  <si>
    <t>APRIL - Évolutive 2</t>
  </si>
  <si>
    <t>APRIL - Évolutive 2 Hospi</t>
  </si>
  <si>
    <t>APRIL - Évolutive 3</t>
  </si>
  <si>
    <t>APRIL - Évolutive 3 Hospi</t>
  </si>
  <si>
    <t>APRIL - Évolutive 4</t>
  </si>
  <si>
    <t>APRIL - Évolutive 4 Hospi</t>
  </si>
  <si>
    <t>APRIL - Évolutive 5</t>
  </si>
  <si>
    <t>APRIL - Évolutive 6</t>
  </si>
  <si>
    <t>APRIL - Santé Pro 1</t>
  </si>
  <si>
    <t>APRIL - Santé Pro 2</t>
  </si>
  <si>
    <t>APRIL - Santé Pro 3</t>
  </si>
  <si>
    <t>APRIL - Santé Pro 4</t>
  </si>
  <si>
    <t>APRIL - Santé Pro 5</t>
  </si>
  <si>
    <t>APRIL - Santé Pro 6</t>
  </si>
  <si>
    <t>APRIL - Santé Pro 7</t>
  </si>
  <si>
    <t>APRIL - Essentielle+ 1</t>
  </si>
  <si>
    <t>APRIL - Essentielle+ 2</t>
  </si>
  <si>
    <t>APRIL - Essentielle+ 3</t>
  </si>
  <si>
    <t>APRIL - Essentielle+ 4</t>
  </si>
  <si>
    <t>APRIL - Essentielle+ 5</t>
  </si>
  <si>
    <t>APRIL - Essentielle+ 6</t>
  </si>
  <si>
    <t>NÉOLIANE - Initial+ 1</t>
  </si>
  <si>
    <t>NÉOLIANE - Initial+ 2</t>
  </si>
  <si>
    <t>NÉOLIANE - Initial+ 3</t>
  </si>
  <si>
    <t>NÉOLIANE - Initial+ 4</t>
  </si>
  <si>
    <t>NÉOLIANE - Équilibre 1</t>
  </si>
  <si>
    <t>NÉOLIANE - Équilibre 2</t>
  </si>
  <si>
    <t>NÉOLIANE - Équilibre 3</t>
  </si>
  <si>
    <t>NÉOLIANE - Équilibre 4</t>
  </si>
  <si>
    <t>NÉOLIANE - Équilibre 5</t>
  </si>
  <si>
    <t>NÉOLIANE - Équilibre 6</t>
  </si>
  <si>
    <t>NÉOLIANE - Énergie 1</t>
  </si>
  <si>
    <t>NÉOLIANE - Énergie 2</t>
  </si>
  <si>
    <t>NÉOLIANE - Énergie 3</t>
  </si>
  <si>
    <t>NÉOLIANE - Énergie 4</t>
  </si>
  <si>
    <t>NÉOLIANE - Énergie 5</t>
  </si>
  <si>
    <t>NÉOLIANE - Vitalité 1</t>
  </si>
  <si>
    <t>NÉOLIANE - Vitalité 2</t>
  </si>
  <si>
    <t>NÉOLIANE - Vitalité 3</t>
  </si>
  <si>
    <t>NÉOLIANE - Vitalité 4</t>
  </si>
  <si>
    <t>NÉOLIANE - Sérénité 1</t>
  </si>
  <si>
    <t>NÉOLIANE - Sérénité 2</t>
  </si>
  <si>
    <t>NÉOLIANE - Sérénité 3</t>
  </si>
  <si>
    <t>NÉOLIANE - Sérénité 4</t>
  </si>
  <si>
    <t>NÉOLIANE - Sérénité 5</t>
  </si>
  <si>
    <t>NÉOLIANE - Sérénité 6</t>
  </si>
  <si>
    <t>NÉOLIANE - Sérénité 7</t>
  </si>
  <si>
    <t>CEGEMA - Hospi</t>
  </si>
  <si>
    <t>CEGEMA - Essentiel 1</t>
  </si>
  <si>
    <t>CEGEMA - Essentiel 2</t>
  </si>
  <si>
    <t>CEGEMA - W1</t>
  </si>
  <si>
    <t>CEGEMA - W2</t>
  </si>
  <si>
    <t>CEGEMA - W3</t>
  </si>
  <si>
    <t>CEGEMA - W4</t>
  </si>
  <si>
    <t>SMATIS - Sécurité</t>
  </si>
  <si>
    <t>SMATIS - Confort</t>
  </si>
  <si>
    <t>SMATIS - Renfort</t>
  </si>
  <si>
    <t>SMATIS - Optimum</t>
  </si>
  <si>
    <t xml:space="preserve">CIPRES TNS - Essentiel </t>
  </si>
  <si>
    <t>CIPRES TNS - Sécurité</t>
  </si>
  <si>
    <t>CIPRES TNS - Confort</t>
  </si>
  <si>
    <t>CIPRES TNS - Excellence</t>
  </si>
  <si>
    <t>CIPRES TNS - Essentiel (NR)</t>
  </si>
  <si>
    <t>CIPRES TNS - Sécurité (NR)</t>
  </si>
  <si>
    <t>CIPRES TNS - Confort (NR)</t>
  </si>
  <si>
    <t>CIPRES TNS - Excellence (NR)</t>
  </si>
  <si>
    <t>APRIL - Modulaire 1</t>
  </si>
  <si>
    <t>APRIL - Modulaire 2</t>
  </si>
  <si>
    <t>APRIL - Modulaire 3</t>
  </si>
  <si>
    <t>APRIL - Modulaire 4</t>
  </si>
  <si>
    <t>APRIL - Modulaire 5</t>
  </si>
  <si>
    <t>APRIL - Modulaire 6</t>
  </si>
  <si>
    <t>APRIL - Modulaire 7</t>
  </si>
  <si>
    <t>APRIL - Modulaire 8</t>
  </si>
  <si>
    <t>APRIL - Modulaire 9</t>
  </si>
  <si>
    <t>APRIL - Modulaire 10</t>
  </si>
  <si>
    <t>APRIL - Modulaire 11</t>
  </si>
  <si>
    <t>APRIL - Modulaire 12</t>
  </si>
  <si>
    <t>APRIL Renfort - Modulaire 1</t>
  </si>
  <si>
    <t>APRIL Renfort - Modulaire 2</t>
  </si>
  <si>
    <t>APRIL Renfort - Modulaire 3</t>
  </si>
  <si>
    <t>APRIL Renfort - Modulaire 4</t>
  </si>
  <si>
    <t>APRIL Renfort - Modulaire 5</t>
  </si>
  <si>
    <t>APRIL - ANI</t>
  </si>
  <si>
    <t>APRIL - ANI +</t>
  </si>
  <si>
    <t>APRIL Renfort - ANI 1</t>
  </si>
  <si>
    <t>APRIL Renfort - ANI 2</t>
  </si>
  <si>
    <t>APRIL Renfort - ANI 3</t>
  </si>
  <si>
    <t>APRIL Renfort - ANI 4</t>
  </si>
  <si>
    <t>APRIL Renfort - ANI 5</t>
  </si>
  <si>
    <t>APRIL - TPE 1</t>
  </si>
  <si>
    <t>APRIL - TPE 2</t>
  </si>
  <si>
    <t>APRIL - TPE 3</t>
  </si>
  <si>
    <t>APRIL - TPE 4</t>
  </si>
  <si>
    <t>APRIL - TPE 5</t>
  </si>
  <si>
    <t>APRIL TPE - Renfort 1</t>
  </si>
  <si>
    <t>APRIL TPE - Renfort 2</t>
  </si>
  <si>
    <t>APRIL TPE - Renfort 3</t>
  </si>
  <si>
    <t>APRIL TPE - Renfort 4</t>
  </si>
  <si>
    <t>APRIL TPE - Renfort 5</t>
  </si>
  <si>
    <t>CIPRES Collectif - ANI</t>
  </si>
  <si>
    <t>CIPRES Ani - Essentiel</t>
  </si>
  <si>
    <t>CIPRES Ani - Sécurité</t>
  </si>
  <si>
    <t>CIPRES Ani - Confort</t>
  </si>
  <si>
    <t>CIPRES Ani - Excellence</t>
  </si>
  <si>
    <t>CIPRES Collectif - ANI+</t>
  </si>
  <si>
    <t>CIPRES Ani+ - Essentiel</t>
  </si>
  <si>
    <t>CIPRES Ani+ - Sécurité</t>
  </si>
  <si>
    <t>CIPRES Ani+ - Confort</t>
  </si>
  <si>
    <t>CIPRES Ani+ - Excellence</t>
  </si>
  <si>
    <t xml:space="preserve">CIPRES Collectif - Essentiel </t>
  </si>
  <si>
    <t>CIPRES Essentiel - Sécurité</t>
  </si>
  <si>
    <t>CIPRES Essentiel - Confort</t>
  </si>
  <si>
    <t>CIPRES Essentiel - Excellence</t>
  </si>
  <si>
    <t xml:space="preserve">CIPRES Collectif - Sécurité </t>
  </si>
  <si>
    <t>CIPRES Sécurité - Confort</t>
  </si>
  <si>
    <t>CIPRES Sécurité - Excellence</t>
  </si>
  <si>
    <t>CIPRES Collectif - Confort</t>
  </si>
  <si>
    <t>CIPRES Confort - Excellence</t>
  </si>
  <si>
    <t xml:space="preserve">CIPRES Collectif - Excellence </t>
  </si>
  <si>
    <t>CIPRES - Excellence +</t>
  </si>
  <si>
    <t>ALPTIS - Niveau ANI</t>
  </si>
  <si>
    <t>ALPTIS - Niveau 1</t>
  </si>
  <si>
    <t>ALPTIS - Niveau 2</t>
  </si>
  <si>
    <t>ALPTIS - Niveau 3</t>
  </si>
  <si>
    <t>ALPTIS - Niveau 4</t>
  </si>
  <si>
    <t>ALPTIS - Niveau 5</t>
  </si>
  <si>
    <t>ALPTIS - Pack Sérenité</t>
  </si>
  <si>
    <t>ALPTIS - Renfort Soin 1</t>
  </si>
  <si>
    <t>ALPTIS - Renfort Soin 2</t>
  </si>
  <si>
    <t>ALPTIS - Renfort Soin 3</t>
  </si>
  <si>
    <t>ALPTIS - Renfort OD 1</t>
  </si>
  <si>
    <t>ALPTIS - Renfort OD 2</t>
  </si>
  <si>
    <t>ALPTIS - Renfort OD 3</t>
  </si>
  <si>
    <t>Samir</t>
  </si>
  <si>
    <t>Yannick</t>
  </si>
  <si>
    <t>Benjamin</t>
  </si>
  <si>
    <t>Sébastien</t>
  </si>
  <si>
    <t>Montants</t>
  </si>
  <si>
    <t>Primes Totales</t>
  </si>
  <si>
    <t>CA Total</t>
  </si>
  <si>
    <t>Primes Nettes</t>
  </si>
  <si>
    <t>Envoi/Contact</t>
  </si>
  <si>
    <t>Campagnes</t>
  </si>
  <si>
    <t>Prev Pro - Santé - Prev. Part</t>
  </si>
  <si>
    <t>P2 ( m+1 )</t>
  </si>
  <si>
    <t>Facture</t>
  </si>
  <si>
    <t>BRUT</t>
  </si>
  <si>
    <t>NET</t>
  </si>
  <si>
    <t>agee7</t>
  </si>
  <si>
    <t>agee6</t>
  </si>
  <si>
    <t>Santoni</t>
  </si>
  <si>
    <t>Rappel m-3</t>
  </si>
  <si>
    <t>Tewfik</t>
  </si>
  <si>
    <t>1730413081027 31</t>
  </si>
  <si>
    <t>2730613001183 26</t>
  </si>
  <si>
    <t>Contact M. TINTET</t>
  </si>
  <si>
    <t>valerie.panaiva@orange.fr</t>
  </si>
  <si>
    <t>PANAIVA MONTEGUT</t>
  </si>
  <si>
    <t>Valerie</t>
  </si>
  <si>
    <t>ged.lili@yahoo.fr</t>
  </si>
  <si>
    <t>Jean-Noel</t>
  </si>
  <si>
    <t>jean-noel.fargier@orange.fr</t>
  </si>
  <si>
    <t>Fatma</t>
  </si>
  <si>
    <t>Abdelmajid</t>
  </si>
  <si>
    <t>Fabrice</t>
  </si>
  <si>
    <t>Olga</t>
  </si>
  <si>
    <t>Infirmière</t>
  </si>
  <si>
    <t>corre.celine@gmail.com</t>
  </si>
  <si>
    <t>FR76 1558 9297 1802 7934 4084 058</t>
  </si>
  <si>
    <t xml:space="preserve"> 8690D</t>
  </si>
  <si>
    <t>Gros Devis Dentaire</t>
  </si>
  <si>
    <t>Chauffagiste</t>
  </si>
  <si>
    <t>4322A</t>
  </si>
  <si>
    <t>Pris pour Acces SPI Santé</t>
  </si>
  <si>
    <t>Yoann</t>
  </si>
  <si>
    <t>yoann.bonazzi@gmail.com</t>
  </si>
  <si>
    <t>Conseil / consultant</t>
  </si>
  <si>
    <t>9400-17780</t>
  </si>
  <si>
    <t>DI808153</t>
  </si>
  <si>
    <t>angeliquemagnanon@hotmail.fr</t>
  </si>
  <si>
    <t>06 10 61 54 42</t>
  </si>
  <si>
    <t>Psychomotricienne</t>
  </si>
  <si>
    <t>Angélique</t>
  </si>
  <si>
    <t>Chauffeur Poids Lourd</t>
  </si>
  <si>
    <t>UK295340</t>
  </si>
  <si>
    <t>Bouldichristian@outlook.com</t>
  </si>
  <si>
    <t>Naima</t>
  </si>
  <si>
    <t>Devis Dentaire sur 2 Ans</t>
  </si>
  <si>
    <t>ANIMATRICE TITULAIRE</t>
  </si>
  <si>
    <t>FR76 3000 3037 9200 0500 6590 018</t>
  </si>
  <si>
    <t>Retour April</t>
  </si>
  <si>
    <t>Conseiller-Consultant</t>
  </si>
  <si>
    <t>Hans</t>
  </si>
  <si>
    <t>DA061291</t>
  </si>
  <si>
    <t>hansamson@gmail.com</t>
  </si>
  <si>
    <t>fr</t>
  </si>
  <si>
    <t>marieanicia.techer@gmail.com</t>
  </si>
  <si>
    <t>06 50 01 29 35</t>
  </si>
  <si>
    <t>2591197422151 88</t>
  </si>
  <si>
    <t>Mohsen</t>
  </si>
  <si>
    <t>Larbi</t>
  </si>
  <si>
    <t>9400-18220 9400-18222</t>
  </si>
  <si>
    <t>sarrabenamara@yahoo.fr</t>
  </si>
  <si>
    <t>06 35 29 87 65</t>
  </si>
  <si>
    <t>Fille M. BEN AMARA</t>
  </si>
  <si>
    <t>Consultant Informatique</t>
  </si>
  <si>
    <t>6202A</t>
  </si>
  <si>
    <t>IU660399</t>
  </si>
  <si>
    <t>larbi.temmine@gmail.com</t>
  </si>
  <si>
    <t>Marie-Christine</t>
  </si>
  <si>
    <t>Compagne Mme HOFFMANN</t>
  </si>
  <si>
    <t>marcel007@sfr.fr</t>
  </si>
  <si>
    <t>Hesitait avec SP April</t>
  </si>
  <si>
    <t>Graphiste</t>
  </si>
  <si>
    <t>yacasa@yahoo.fr</t>
  </si>
  <si>
    <t>Sandrine</t>
  </si>
  <si>
    <t>07 82 31 38 07</t>
  </si>
  <si>
    <t>FR76 1610 6600 2086 4673 1824 195</t>
  </si>
  <si>
    <t>2780554184046 95</t>
  </si>
  <si>
    <t>2670745234040 94</t>
  </si>
  <si>
    <t>1790399351257 30</t>
  </si>
  <si>
    <t>1930269275290 57</t>
  </si>
  <si>
    <t>1681207064175 55</t>
  </si>
  <si>
    <t>2840329019085 20</t>
  </si>
  <si>
    <t>8121Z</t>
  </si>
  <si>
    <t>Service à la Pers. (Nettoyage)</t>
  </si>
  <si>
    <t>1650257463192 91</t>
  </si>
  <si>
    <t>FR76 3043 8001 0040 0005 4720 496</t>
  </si>
  <si>
    <t>FR95 2004 1010 0716 7405 5Y03 846</t>
  </si>
  <si>
    <t>FR76 1460 7000 7026 0214 1955 216</t>
  </si>
  <si>
    <t>FR76 1336 9000 1031 2289 0301 477</t>
  </si>
  <si>
    <t>FR76 1055 8022 9210 6564 0030 059</t>
  </si>
  <si>
    <t>FR90 2004 1010 1261 3440 0S03 309</t>
  </si>
  <si>
    <t>FR764 0618 8028 2000 4080 1887 16</t>
  </si>
  <si>
    <t>FR47 3000 2008 8700 0001 7815 H18</t>
  </si>
  <si>
    <t>FR76 1027 8060 9300 0200 1470 108</t>
  </si>
  <si>
    <t>FR76 3000 4029 1300 0101 3383 259</t>
  </si>
  <si>
    <t>FR76 1751 5900 0004 1925 3056 233</t>
  </si>
  <si>
    <t>FR76 1027 8042 6100 0181 8674 510</t>
  </si>
  <si>
    <t>michel.guernier@wanadoo.fr</t>
  </si>
  <si>
    <t>gabriel.ngoma@gmail.com</t>
  </si>
  <si>
    <t>FR50 2004 1000 0152 3375 2S02 065</t>
  </si>
  <si>
    <t>Envoyé par Courtier - M. Salah</t>
  </si>
  <si>
    <t>Lucile-Aline</t>
  </si>
  <si>
    <t>Celine</t>
  </si>
  <si>
    <t>FR28 2004 1010 1241 6578 6U03 393</t>
  </si>
  <si>
    <t>9003A</t>
  </si>
  <si>
    <t>Vente Energies Renouvelables</t>
  </si>
  <si>
    <t>4752A</t>
  </si>
  <si>
    <t>PX638380</t>
  </si>
  <si>
    <t>jmachoux@gmail.com</t>
  </si>
  <si>
    <t>FR59 3000 2008 2400 0000 6143 V89</t>
  </si>
  <si>
    <t>Julien</t>
  </si>
  <si>
    <t>MARTINEAU FIGUETTE</t>
  </si>
  <si>
    <t>Jean</t>
  </si>
  <si>
    <t>UB888390</t>
  </si>
  <si>
    <t>lacomdejean@axiome.me</t>
  </si>
  <si>
    <t>FR76 1317 9000 0102 5567 0000 184</t>
  </si>
  <si>
    <t>Christophe</t>
  </si>
  <si>
    <t>gemini.colin@free.fr</t>
  </si>
  <si>
    <t>1760675119009 30</t>
  </si>
  <si>
    <t>2700492050045 71</t>
  </si>
  <si>
    <t>FR76 3000 3033 7300 0500 3492 982</t>
  </si>
  <si>
    <t>Designer</t>
  </si>
  <si>
    <t>7410Z</t>
  </si>
  <si>
    <t>loubere.emmanuel@gmail.com</t>
  </si>
  <si>
    <t>Emmanuel</t>
  </si>
  <si>
    <t>FR76 3000 3023 1200 0500 7498 895</t>
  </si>
  <si>
    <t>Coursier</t>
  </si>
  <si>
    <t>5320Z</t>
  </si>
  <si>
    <t>Guillaume</t>
  </si>
  <si>
    <t>Kinésiologue</t>
  </si>
  <si>
    <t>guillaume.pina@gmail.com</t>
  </si>
  <si>
    <t>06 67 94 36 03</t>
  </si>
  <si>
    <t>FR76 1250 6250 0014 2077 8001 082</t>
  </si>
  <si>
    <t>2320725532001 44</t>
  </si>
  <si>
    <t>Eric</t>
  </si>
  <si>
    <t>FOUSSAL DE BELERD</t>
  </si>
  <si>
    <t>ef2bxx@gmail.com</t>
  </si>
  <si>
    <t>FR79 2004 1010 1614 1212 9P03 727</t>
  </si>
  <si>
    <t>1580119031028 18</t>
  </si>
  <si>
    <t>2530867021148 82</t>
  </si>
  <si>
    <t>Taxi</t>
  </si>
  <si>
    <t>4932Z</t>
  </si>
  <si>
    <t>Consultant Finance</t>
  </si>
  <si>
    <t>SD198290</t>
  </si>
  <si>
    <t>FR69 3000 2005 4300 0000 8418 R62</t>
  </si>
  <si>
    <t>Abdessamad</t>
  </si>
  <si>
    <t>elmrabah@gmail.com</t>
  </si>
  <si>
    <t>06 80 80 06 38</t>
  </si>
  <si>
    <t>FR76 1325 9046 8213 7326 0030 058</t>
  </si>
  <si>
    <t>2705036600000K98</t>
  </si>
  <si>
    <t>Joanna</t>
  </si>
  <si>
    <t>SANTONI LECOMTE</t>
  </si>
  <si>
    <t>joanna.lecomte@orange.fr</t>
  </si>
  <si>
    <t>Responsable Admin.</t>
  </si>
  <si>
    <t>Avocat</t>
  </si>
  <si>
    <t>Maeva</t>
  </si>
  <si>
    <t>maevabiteau.avocat@gmail.com</t>
  </si>
  <si>
    <t>FR76 3004 7142 8400 0203 1650 182</t>
  </si>
  <si>
    <t>6910Z</t>
  </si>
  <si>
    <t>PERRAUDIN NARDONE</t>
  </si>
  <si>
    <t xml:space="preserve"> 09/01/2014</t>
  </si>
  <si>
    <t>joannaperraudin@gmail.com</t>
  </si>
  <si>
    <t>Resil Santé Anticipée acceptée</t>
  </si>
  <si>
    <t>Lettre 31/10 prête</t>
  </si>
  <si>
    <t/>
  </si>
  <si>
    <t>2820993053047 26</t>
  </si>
  <si>
    <t>2680567482007 63</t>
  </si>
  <si>
    <t>2810916281017 97</t>
  </si>
  <si>
    <t>Limite m-2</t>
  </si>
  <si>
    <t>Si Résil</t>
  </si>
  <si>
    <t>06 61 11 22 89</t>
  </si>
  <si>
    <t>FR76 1780 6002 7704 1146 7259 441</t>
  </si>
  <si>
    <t>9400-19238</t>
  </si>
  <si>
    <t>juless.coignard@gmail.com</t>
  </si>
  <si>
    <t>06 67 66 78 23</t>
  </si>
  <si>
    <t>FR23 3000 2026 5400 0000 4129 J91</t>
  </si>
  <si>
    <t>1900413055627 57</t>
  </si>
  <si>
    <t>bouchet-sebastien@orange.fr</t>
  </si>
  <si>
    <t>1761013055414 82</t>
  </si>
  <si>
    <t>FR76 1027 8089 8100 0204 3650 112</t>
  </si>
  <si>
    <t>Jules</t>
  </si>
  <si>
    <t>Sebastien</t>
  </si>
  <si>
    <t>severine.pezat@sfr.fr</t>
  </si>
  <si>
    <t>FR76 1310 6005 0030 0148 7188 484</t>
  </si>
  <si>
    <t>1710431555218 73</t>
  </si>
  <si>
    <t>2730382121114 16</t>
  </si>
  <si>
    <t>FR76 1240 6001 0980 0049 7660 071</t>
  </si>
  <si>
    <t>2820241018078 09</t>
  </si>
  <si>
    <t>Implant?</t>
  </si>
  <si>
    <t>Plaquiste</t>
  </si>
  <si>
    <t>4331Z</t>
  </si>
  <si>
    <t>Fabienne</t>
  </si>
  <si>
    <t>680299400/500</t>
  </si>
  <si>
    <t>fabienne.lalonde@orange.fr</t>
  </si>
  <si>
    <t>FR39 2004 1010 0716 4809 1B03 813</t>
  </si>
  <si>
    <t>8690D</t>
  </si>
  <si>
    <t>Restaurateur Véhicule</t>
  </si>
  <si>
    <t>4532Z</t>
  </si>
  <si>
    <t>Electricien</t>
  </si>
  <si>
    <t>4321A</t>
  </si>
  <si>
    <t>douyere.contact@gmail.com</t>
  </si>
  <si>
    <t>FR76 1005 7194 0700 0779 4460 352</t>
  </si>
  <si>
    <t>Alaa</t>
  </si>
  <si>
    <t>alaa.tounsadi@gmail.com</t>
  </si>
  <si>
    <t>FR76 4061 8802 9900 0402 5442 728</t>
  </si>
  <si>
    <t>Ingénieur Informatique</t>
  </si>
  <si>
    <t>7112B</t>
  </si>
  <si>
    <t>9400-19426</t>
  </si>
  <si>
    <t>patrick.poy@laposte.net</t>
  </si>
  <si>
    <t>06 03 25 16 00</t>
  </si>
  <si>
    <t>FR76 1440 6101 1505 6478 2700 009</t>
  </si>
  <si>
    <t>1541059606031 67</t>
  </si>
  <si>
    <t>2540175049004 76</t>
  </si>
  <si>
    <t xml:space="preserve">Jean-Michel </t>
  </si>
  <si>
    <t>delforgejm@orange.fr</t>
  </si>
  <si>
    <t>FR58 2004 1010 0517 2976 2W02 691</t>
  </si>
  <si>
    <t>1811049099247 40</t>
  </si>
  <si>
    <t>2810591521062 75</t>
  </si>
  <si>
    <t>benjamin.espitalier@gmail.com</t>
  </si>
  <si>
    <t>FR25 3000 2004 2600 0044 5418 W18</t>
  </si>
  <si>
    <t>DJ</t>
  </si>
  <si>
    <t>LAGARDE</t>
  </si>
  <si>
    <t>9329Z</t>
  </si>
  <si>
    <t>Agent Immobilier</t>
  </si>
  <si>
    <t>6831Z</t>
  </si>
  <si>
    <t>Medecin</t>
  </si>
  <si>
    <t>8621Z</t>
  </si>
  <si>
    <t>sylvia.lagarde@gmail.com</t>
  </si>
  <si>
    <t>saittayeb@gmail.com</t>
  </si>
  <si>
    <t>FR76 3000 3007 1700 0204 7528 923</t>
  </si>
  <si>
    <t>Sylvia</t>
  </si>
  <si>
    <t>FR76 1680 7001 0436 0520 6121 455</t>
  </si>
  <si>
    <t>Avocate</t>
  </si>
  <si>
    <t>MATMUT</t>
  </si>
  <si>
    <t>CA</t>
  </si>
  <si>
    <t>PRO BTP</t>
  </si>
  <si>
    <t>Avoir plus de recule sur AVC puis tarifer ALPTIS (2019)</t>
  </si>
  <si>
    <t>Contrat Groupe</t>
  </si>
  <si>
    <t>AVIVA - AMIS</t>
  </si>
  <si>
    <t>GM / FP</t>
  </si>
  <si>
    <t>Titre</t>
  </si>
  <si>
    <t>Stats Suivi</t>
  </si>
  <si>
    <t>Fiches</t>
  </si>
  <si>
    <t>Objet Mail</t>
  </si>
  <si>
    <t>Contenu Mail</t>
  </si>
  <si>
    <t>Fiches Partielles</t>
  </si>
  <si>
    <t xml:space="preserve">Fiches Complètes - En Attente </t>
  </si>
  <si>
    <t>Fiches Complètes - A Jour</t>
  </si>
  <si>
    <t>Fiches KO</t>
  </si>
  <si>
    <t>+10%</t>
  </si>
  <si>
    <t>Oui + Surprimes</t>
  </si>
  <si>
    <t>CMU</t>
  </si>
  <si>
    <t>DateCréation</t>
  </si>
  <si>
    <t>2770418033212 32</t>
  </si>
  <si>
    <t>Tel1</t>
  </si>
  <si>
    <t>Tel2</t>
  </si>
  <si>
    <t>Stats Prev Pro</t>
  </si>
  <si>
    <t>Vide(s)</t>
  </si>
  <si>
    <t>Age Moyen</t>
  </si>
  <si>
    <t>Salaire Moyen</t>
  </si>
  <si>
    <t>Sans RO</t>
  </si>
  <si>
    <t>Avec FP</t>
  </si>
  <si>
    <t>Sans FP</t>
  </si>
  <si>
    <t>Frais Pro Moyen</t>
  </si>
  <si>
    <t>Cotisation Moyenne</t>
  </si>
  <si>
    <t>Avec CD</t>
  </si>
  <si>
    <t>Sans CD</t>
  </si>
  <si>
    <t>Captital Décès Moyen</t>
  </si>
  <si>
    <t>Réduite</t>
  </si>
  <si>
    <t>Inval. Classique</t>
  </si>
  <si>
    <t>Résilié - Groupe</t>
  </si>
  <si>
    <t>Résilié - ACS</t>
  </si>
  <si>
    <t>J+</t>
  </si>
  <si>
    <t>Date Signature</t>
  </si>
  <si>
    <t>Date de Naissance</t>
  </si>
  <si>
    <t>Ancienneté</t>
  </si>
  <si>
    <t>Échéance Actuelle</t>
  </si>
  <si>
    <t>Limite Actuelle</t>
  </si>
  <si>
    <t>Adultes(s)</t>
  </si>
  <si>
    <t>Enfants(s)</t>
  </si>
  <si>
    <t>Tarif 2016</t>
  </si>
  <si>
    <t>Tarif 2017</t>
  </si>
  <si>
    <t>Tarif 2018</t>
  </si>
  <si>
    <t>Tarif 2019</t>
  </si>
  <si>
    <t>Tarif 2020</t>
  </si>
  <si>
    <t>Anniversaire A1</t>
  </si>
  <si>
    <t>Anniversaire A2</t>
  </si>
  <si>
    <t>Régime A1</t>
  </si>
  <si>
    <t>Anniversaire E1</t>
  </si>
  <si>
    <t>Anniversaire E2</t>
  </si>
  <si>
    <t>Anniversaire E3</t>
  </si>
  <si>
    <t>Régime E1</t>
  </si>
  <si>
    <t>Régime E2</t>
  </si>
  <si>
    <t>Régime E3</t>
  </si>
  <si>
    <t>Anniversaire E4</t>
  </si>
  <si>
    <t>Régime E4</t>
  </si>
  <si>
    <t>Anniversaire E5</t>
  </si>
  <si>
    <t>Régime E5</t>
  </si>
  <si>
    <t>Anniversaire E6</t>
  </si>
  <si>
    <t>Régime E6</t>
  </si>
  <si>
    <t>Régime A2</t>
  </si>
  <si>
    <t>Objet Mail 
Étude N+1/N+2</t>
  </si>
  <si>
    <t>Contenu Mail 
Étude N+1/N+2</t>
  </si>
  <si>
    <t>% N-1</t>
  </si>
  <si>
    <t>% depuis Départ</t>
  </si>
  <si>
    <t>Validation Contrat</t>
  </si>
  <si>
    <t>Type de Résiliation</t>
  </si>
  <si>
    <t>Mutuelle Résiliée</t>
  </si>
  <si>
    <t>Téléphones Assurances</t>
  </si>
  <si>
    <t>Secretariat : 9h30-13h / 14h-18h</t>
  </si>
  <si>
    <t xml:space="preserve">
</t>
  </si>
  <si>
    <t>09 74 50 94 94</t>
  </si>
  <si>
    <t>04 91 13 30 90</t>
  </si>
  <si>
    <t>Service Client</t>
  </si>
  <si>
    <t>09 74 50 20 20</t>
  </si>
  <si>
    <t>Prestation</t>
  </si>
  <si>
    <t>04 72 36 16 30</t>
  </si>
  <si>
    <t>Carole</t>
  </si>
  <si>
    <t>06 79 47 01 06</t>
  </si>
  <si>
    <t>Brigitte</t>
  </si>
  <si>
    <t>06 83 83 94 74</t>
  </si>
  <si>
    <t>Prévoyance</t>
  </si>
  <si>
    <t>09 74 50 75 75</t>
  </si>
  <si>
    <t>Indemnisation</t>
  </si>
  <si>
    <t>04 26 29 20 39</t>
  </si>
  <si>
    <t>NCDEM16</t>
  </si>
  <si>
    <t>Thomas Roux</t>
  </si>
  <si>
    <t>06 73 63 79 81</t>
  </si>
  <si>
    <t>Partenaire</t>
  </si>
  <si>
    <t>05 46 99 40 01</t>
  </si>
  <si>
    <t>03 88 65 88 51</t>
  </si>
  <si>
    <t>Entreprise</t>
  </si>
  <si>
    <t>04 72 36 74 59</t>
  </si>
  <si>
    <t>José Sanchez</t>
  </si>
  <si>
    <t>04 69 73 27 65</t>
  </si>
  <si>
    <t>Pré-V.</t>
  </si>
  <si>
    <t>0 969 329 319</t>
  </si>
  <si>
    <t>04 26 29 36 61</t>
  </si>
  <si>
    <t>Après-V.</t>
  </si>
  <si>
    <t>0 969 327 317</t>
  </si>
  <si>
    <t>NR 1930</t>
  </si>
  <si>
    <t>04 89 22 83 65</t>
  </si>
  <si>
    <t>Aude</t>
  </si>
  <si>
    <t>07 86 80 37 50</t>
  </si>
  <si>
    <t>pour Clients</t>
  </si>
  <si>
    <t>04 92 17 53 58</t>
  </si>
  <si>
    <t>Mutua Gestion</t>
  </si>
  <si>
    <t>05 61 43 83 83</t>
  </si>
  <si>
    <r>
      <t>CEGEMA</t>
    </r>
    <r>
      <rPr>
        <b/>
        <sz val="1"/>
        <color theme="1"/>
        <rFont val="Calibri"/>
        <family val="2"/>
        <scheme val="minor"/>
      </rPr>
      <t/>
    </r>
  </si>
  <si>
    <t>DW5</t>
  </si>
  <si>
    <t>04 92 02 64 26</t>
  </si>
  <si>
    <t>Mickael Morabito</t>
  </si>
  <si>
    <t>06 18 74 62 86</t>
  </si>
  <si>
    <t xml:space="preserve">Santé </t>
  </si>
  <si>
    <t>0 825 317 317</t>
  </si>
  <si>
    <t>Serv. Interm,</t>
  </si>
  <si>
    <t>03 28 52 11 55</t>
  </si>
  <si>
    <r>
      <t>ASAF</t>
    </r>
    <r>
      <rPr>
        <b/>
        <sz val="2"/>
        <color theme="1"/>
        <rFont val="Calibri"/>
        <family val="2"/>
        <scheme val="minor"/>
      </rPr>
      <t/>
    </r>
  </si>
  <si>
    <t>8ZE</t>
  </si>
  <si>
    <t>04 89 88 36 46</t>
  </si>
  <si>
    <t>+ 6</t>
  </si>
  <si>
    <t>Région</t>
  </si>
  <si>
    <t>04 91 45 62 05</t>
  </si>
  <si>
    <t>Ludo DASNOY</t>
  </si>
  <si>
    <t>7 70 72 62 61</t>
  </si>
  <si>
    <t>Téléphones Utiles</t>
  </si>
  <si>
    <t>Téléphones Équipe</t>
  </si>
  <si>
    <t>SÉCURITÉ SOCIALE</t>
  </si>
  <si>
    <t>36 46</t>
  </si>
  <si>
    <t>Laurent</t>
  </si>
  <si>
    <r>
      <t xml:space="preserve">04 91 20 29 </t>
    </r>
    <r>
      <rPr>
        <b/>
        <sz val="11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 xml:space="preserve"> </t>
    </r>
  </si>
  <si>
    <t>36 48</t>
  </si>
  <si>
    <t>André</t>
  </si>
  <si>
    <r>
      <t xml:space="preserve">04 91 20 29 </t>
    </r>
    <r>
      <rPr>
        <b/>
        <sz val="11"/>
        <color theme="1"/>
        <rFont val="Calibri"/>
        <family val="2"/>
        <scheme val="minor"/>
      </rPr>
      <t>29</t>
    </r>
  </si>
  <si>
    <t>RAM</t>
  </si>
  <si>
    <t>0 811 012 012</t>
  </si>
  <si>
    <t>Gam</t>
  </si>
  <si>
    <r>
      <t xml:space="preserve">04 91 20 29 </t>
    </r>
    <r>
      <rPr>
        <b/>
        <sz val="11"/>
        <color theme="1"/>
        <rFont val="Calibri"/>
        <family val="2"/>
        <scheme val="minor"/>
      </rPr>
      <t>25</t>
    </r>
  </si>
  <si>
    <t>GO COURTAGE</t>
  </si>
  <si>
    <t>09 67 19 46 39</t>
  </si>
  <si>
    <t>Mehdi</t>
  </si>
  <si>
    <r>
      <t xml:space="preserve">04 91 20 29 </t>
    </r>
    <r>
      <rPr>
        <b/>
        <sz val="11"/>
        <color theme="1"/>
        <rFont val="Calibri"/>
        <family val="2"/>
        <scheme val="minor"/>
      </rPr>
      <t>30</t>
    </r>
  </si>
  <si>
    <t>GO COURTAGE - Olivier Matrant</t>
  </si>
  <si>
    <t>06 84 85 66 51</t>
  </si>
  <si>
    <t>Marcellin</t>
  </si>
  <si>
    <r>
      <t xml:space="preserve">04 91 20 29 </t>
    </r>
    <r>
      <rPr>
        <b/>
        <sz val="11"/>
        <color theme="1"/>
        <rFont val="Calibri"/>
        <family val="2"/>
        <scheme val="minor"/>
      </rPr>
      <t>21</t>
    </r>
  </si>
  <si>
    <t>SIMULASSURE - Romain Alleno</t>
  </si>
  <si>
    <t>06 59 93 10 85</t>
  </si>
  <si>
    <t>Infos Pratiques</t>
  </si>
  <si>
    <t>Kiplink</t>
  </si>
  <si>
    <t>04 72 90 10 70</t>
  </si>
  <si>
    <t>Alsace-Moselle</t>
  </si>
  <si>
    <t>57 - 67 - 68</t>
  </si>
  <si>
    <t>0 892 045 555</t>
  </si>
  <si>
    <t>PMSS</t>
  </si>
  <si>
    <t>01 76 62 82 12</t>
  </si>
  <si>
    <t>Gestion</t>
  </si>
  <si>
    <t xml:space="preserve">cEDLITO </t>
  </si>
  <si>
    <t>mATHIEU</t>
  </si>
  <si>
    <t>06/06/2017</t>
  </si>
  <si>
    <t>01/12/2016</t>
  </si>
  <si>
    <t>55.96</t>
  </si>
  <si>
    <t>2</t>
  </si>
  <si>
    <t>1</t>
  </si>
  <si>
    <t>COLLARD Stéphane - APRIL - Santé Individuelle</t>
  </si>
  <si>
    <t>FR76 0000 0000 0000 0000 0000</t>
  </si>
  <si>
    <t>0</t>
  </si>
  <si>
    <t>01/01/2017</t>
  </si>
  <si>
    <t>68,67</t>
  </si>
  <si>
    <t>824,04</t>
  </si>
  <si>
    <t>25</t>
  </si>
  <si>
    <t>22,6611</t>
  </si>
  <si>
    <t>206,01</t>
  </si>
  <si>
    <t>183,3489</t>
  </si>
  <si>
    <t>01/01/2018</t>
  </si>
  <si>
    <t>1,43287671232877</t>
  </si>
  <si>
    <t>01/01/2019</t>
  </si>
  <si>
    <t>31/10/2018</t>
  </si>
  <si>
    <t>01/10/2018</t>
  </si>
  <si>
    <t>74,93</t>
  </si>
  <si>
    <t>9,11606232707151E-02</t>
  </si>
  <si>
    <t>75,68</t>
  </si>
  <si>
    <t>1,00093420525824E-02</t>
  </si>
  <si>
    <t>0,102082423183341</t>
  </si>
  <si>
    <t>PARITEC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</si>
</sst>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#,##0\ &quot;€&quot;;[Red]\-#,##0\ &quot;€&quot;"/>
    <numFmt numFmtId="164" formatCode="#,##0\ &quot;€&quot;"/>
    <numFmt numFmtId="165" formatCode="#,##0.00\ &quot;€&quot;"/>
    <numFmt numFmtId="166" formatCode="0.0%"/>
    <numFmt numFmtId="167" formatCode="#,##0.0\ &quot;€&quot;"/>
    <numFmt numFmtId="168" formatCode="00000"/>
    <numFmt numFmtId="169" formatCode="0#&quot; &quot;##&quot; &quot;##&quot; &quot;##&quot; &quot;##"/>
    <numFmt numFmtId="170" formatCode="[$-40C]mmm\-yy;@"/>
    <numFmt numFmtId="171" formatCode="[$-F800]dddd\,\ mmmm\ dd\,\ yyyy"/>
    <numFmt numFmtId="172" formatCode="[$-40C]mmmm\-yy;@"/>
  </numFmts>
  <fonts count="4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4"/>
      <color theme="1"/>
      <name val="Arial"/>
      <family val="2"/>
    </font>
    <font>
      <sz val="12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BE3E1"/>
        <bgColor indexed="64"/>
      </patternFill>
    </fill>
    <fill>
      <patternFill patternType="solid">
        <fgColor rgb="FFEADCF4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C16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rgb="FFFFE0C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76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17B7B"/>
        <bgColor indexed="64"/>
      </patternFill>
    </fill>
    <fill>
      <patternFill patternType="solid">
        <fgColor rgb="FF99FFCC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0" tint="-0.1499984740745262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95">
    <xf numFmtId="0" fontId="0" fillId="0" borderId="0" xfId="0"/>
    <xf numFmtId="0" fontId="11" fillId="0" borderId="1" xfId="0" applyFont="1" applyBorder="1" applyAlignment="1">
      <alignment horizontal="center" vertical="center"/>
    </xf>
    <xf numFmtId="170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0" fontId="6" fillId="0" borderId="1" xfId="0" applyNumberFormat="1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49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25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5" fontId="11" fillId="8" borderId="1" xfId="0" applyNumberFormat="1" applyFont="1" applyFill="1" applyBorder="1" applyAlignment="1" applyProtection="1">
      <alignment horizontal="center" vertical="center"/>
      <protection locked="0"/>
    </xf>
    <xf numFmtId="165" fontId="11" fillId="8" borderId="12" xfId="0" applyNumberFormat="1" applyFont="1" applyFill="1" applyBorder="1" applyAlignment="1" applyProtection="1">
      <alignment horizontal="center" vertical="center"/>
      <protection locked="0"/>
    </xf>
    <xf numFmtId="1" fontId="11" fillId="0" borderId="0" xfId="0" applyNumberFormat="1" applyFont="1" applyAlignment="1" applyProtection="1">
      <alignment horizontal="center" vertical="center"/>
      <protection locked="0"/>
    </xf>
    <xf numFmtId="165" fontId="11" fillId="8" borderId="1" xfId="0" quotePrefix="1" applyNumberFormat="1" applyFont="1" applyFill="1" applyBorder="1" applyAlignment="1" applyProtection="1">
      <alignment horizontal="center" vertical="center"/>
      <protection locked="0"/>
    </xf>
    <xf numFmtId="49" fontId="11" fillId="8" borderId="18" xfId="0" applyNumberFormat="1" applyFont="1" applyFill="1" applyBorder="1" applyAlignment="1" applyProtection="1">
      <alignment horizontal="center" vertical="center"/>
      <protection locked="0"/>
    </xf>
    <xf numFmtId="49" fontId="11" fillId="8" borderId="17" xfId="0" applyNumberFormat="1" applyFont="1" applyFill="1" applyBorder="1" applyAlignment="1" applyProtection="1">
      <alignment horizontal="center" vertical="center"/>
      <protection locked="0"/>
    </xf>
    <xf numFmtId="49" fontId="11" fillId="8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27" fillId="0" borderId="0" xfId="0" applyNumberFormat="1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11" fillId="18" borderId="17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164" fontId="11" fillId="17" borderId="1" xfId="0" applyNumberFormat="1" applyFont="1" applyFill="1" applyBorder="1" applyAlignment="1" applyProtection="1">
      <alignment horizontal="center" vertical="center"/>
    </xf>
    <xf numFmtId="9" fontId="9" fillId="3" borderId="11" xfId="0" applyNumberFormat="1" applyFont="1" applyFill="1" applyBorder="1" applyAlignment="1" applyProtection="1">
      <alignment horizontal="center" vertical="center"/>
    </xf>
    <xf numFmtId="164" fontId="22" fillId="3" borderId="1" xfId="0" applyNumberFormat="1" applyFont="1" applyFill="1" applyBorder="1" applyAlignment="1" applyProtection="1">
      <alignment horizontal="center" vertical="center"/>
    </xf>
    <xf numFmtId="164" fontId="22" fillId="3" borderId="6" xfId="0" applyNumberFormat="1" applyFont="1" applyFill="1" applyBorder="1" applyAlignment="1" applyProtection="1">
      <alignment horizontal="center" vertical="center"/>
    </xf>
    <xf numFmtId="1" fontId="22" fillId="3" borderId="10" xfId="0" applyNumberFormat="1" applyFont="1" applyFill="1" applyBorder="1" applyAlignment="1" applyProtection="1">
      <alignment horizontal="center" vertical="center"/>
    </xf>
    <xf numFmtId="1" fontId="22" fillId="3" borderId="11" xfId="0" applyNumberFormat="1" applyFont="1" applyFill="1" applyBorder="1" applyAlignment="1" applyProtection="1">
      <alignment horizontal="center" vertical="center"/>
    </xf>
    <xf numFmtId="1" fontId="22" fillId="8" borderId="14" xfId="0" applyNumberFormat="1" applyFont="1" applyFill="1" applyBorder="1" applyAlignment="1" applyProtection="1">
      <alignment horizontal="center" vertical="center"/>
      <protection locked="0"/>
    </xf>
    <xf numFmtId="1" fontId="22" fillId="3" borderId="6" xfId="0" applyNumberFormat="1" applyFont="1" applyFill="1" applyBorder="1" applyAlignment="1" applyProtection="1">
      <alignment horizontal="center" vertical="center"/>
    </xf>
    <xf numFmtId="1" fontId="22" fillId="3" borderId="21" xfId="0" applyNumberFormat="1" applyFont="1" applyFill="1" applyBorder="1" applyAlignment="1" applyProtection="1">
      <alignment horizontal="center" vertical="center"/>
    </xf>
    <xf numFmtId="166" fontId="22" fillId="3" borderId="11" xfId="0" applyNumberFormat="1" applyFont="1" applyFill="1" applyBorder="1" applyAlignment="1" applyProtection="1">
      <alignment horizontal="center" vertical="center"/>
    </xf>
    <xf numFmtId="164" fontId="22" fillId="3" borderId="27" xfId="0" applyNumberFormat="1" applyFont="1" applyFill="1" applyBorder="1" applyAlignment="1" applyProtection="1">
      <alignment horizontal="center" vertical="center"/>
    </xf>
    <xf numFmtId="2" fontId="22" fillId="3" borderId="6" xfId="0" applyNumberFormat="1" applyFont="1" applyFill="1" applyBorder="1" applyAlignment="1" applyProtection="1">
      <alignment horizontal="center" vertical="center"/>
    </xf>
    <xf numFmtId="1" fontId="22" fillId="8" borderId="10" xfId="0" applyNumberFormat="1" applyFont="1" applyFill="1" applyBorder="1" applyAlignment="1" applyProtection="1">
      <alignment horizontal="center" vertical="center"/>
      <protection locked="0"/>
    </xf>
    <xf numFmtId="9" fontId="22" fillId="3" borderId="14" xfId="0" applyNumberFormat="1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18" borderId="31" xfId="0" applyFont="1" applyFill="1" applyBorder="1" applyAlignment="1" applyProtection="1">
      <alignment horizontal="center" vertical="center"/>
      <protection locked="0"/>
    </xf>
    <xf numFmtId="0" fontId="11" fillId="6" borderId="18" xfId="0" applyFont="1" applyFill="1" applyBorder="1" applyAlignment="1" applyProtection="1">
      <alignment horizontal="center" vertical="center"/>
    </xf>
    <xf numFmtId="172" fontId="12" fillId="9" borderId="15" xfId="0" applyNumberFormat="1" applyFont="1" applyFill="1" applyBorder="1" applyAlignment="1" applyProtection="1">
      <alignment horizontal="center" vertical="center"/>
      <protection locked="0"/>
    </xf>
    <xf numFmtId="166" fontId="20" fillId="20" borderId="33" xfId="0" applyNumberFormat="1" applyFont="1" applyFill="1" applyBorder="1" applyAlignment="1" applyProtection="1">
      <alignment horizontal="center" vertical="center"/>
      <protection locked="0"/>
    </xf>
    <xf numFmtId="165" fontId="11" fillId="20" borderId="12" xfId="0" applyNumberFormat="1" applyFont="1" applyFill="1" applyBorder="1" applyAlignment="1" applyProtection="1">
      <alignment horizontal="center" vertical="center"/>
      <protection locked="0"/>
    </xf>
    <xf numFmtId="165" fontId="11" fillId="20" borderId="14" xfId="0" applyNumberFormat="1" applyFont="1" applyFill="1" applyBorder="1" applyAlignment="1" applyProtection="1">
      <alignment horizontal="center" vertical="center"/>
      <protection locked="0"/>
    </xf>
    <xf numFmtId="164" fontId="11" fillId="9" borderId="22" xfId="0" applyNumberFormat="1" applyFont="1" applyFill="1" applyBorder="1" applyAlignment="1" applyProtection="1">
      <alignment horizontal="center" vertical="center"/>
    </xf>
    <xf numFmtId="164" fontId="11" fillId="9" borderId="21" xfId="0" applyNumberFormat="1" applyFont="1" applyFill="1" applyBorder="1" applyAlignment="1" applyProtection="1">
      <alignment horizontal="center" vertical="center"/>
    </xf>
    <xf numFmtId="10" fontId="9" fillId="3" borderId="12" xfId="0" applyNumberFormat="1" applyFont="1" applyFill="1" applyBorder="1" applyAlignment="1" applyProtection="1">
      <alignment horizontal="center" vertical="center"/>
    </xf>
    <xf numFmtId="10" fontId="9" fillId="3" borderId="14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6" fontId="9" fillId="3" borderId="14" xfId="0" applyNumberFormat="1" applyFont="1" applyFill="1" applyBorder="1" applyAlignment="1" applyProtection="1">
      <alignment horizontal="center" vertical="center"/>
    </xf>
    <xf numFmtId="9" fontId="9" fillId="3" borderId="10" xfId="0" applyNumberFormat="1" applyFont="1" applyFill="1" applyBorder="1" applyAlignment="1" applyProtection="1">
      <alignment horizontal="center" vertical="center"/>
    </xf>
    <xf numFmtId="9" fontId="9" fillId="15" borderId="14" xfId="0" applyNumberFormat="1" applyFont="1" applyFill="1" applyBorder="1" applyAlignment="1" applyProtection="1">
      <alignment horizontal="center" vertical="center"/>
    </xf>
    <xf numFmtId="164" fontId="22" fillId="6" borderId="12" xfId="0" applyNumberFormat="1" applyFont="1" applyFill="1" applyBorder="1" applyAlignment="1" applyProtection="1">
      <alignment horizontal="center" vertical="center"/>
    </xf>
    <xf numFmtId="9" fontId="9" fillId="6" borderId="14" xfId="0" applyNumberFormat="1" applyFont="1" applyFill="1" applyBorder="1" applyAlignment="1" applyProtection="1">
      <alignment horizontal="center" vertical="center"/>
    </xf>
    <xf numFmtId="167" fontId="11" fillId="8" borderId="11" xfId="0" applyNumberFormat="1" applyFont="1" applyFill="1" applyBorder="1" applyAlignment="1" applyProtection="1">
      <alignment horizontal="center" vertical="center"/>
      <protection locked="0"/>
    </xf>
    <xf numFmtId="167" fontId="11" fillId="8" borderId="14" xfId="0" applyNumberFormat="1" applyFont="1" applyFill="1" applyBorder="1" applyAlignment="1" applyProtection="1">
      <alignment horizontal="center" vertical="center"/>
      <protection locked="0"/>
    </xf>
    <xf numFmtId="49" fontId="11" fillId="16" borderId="1" xfId="0" applyNumberFormat="1" applyFont="1" applyFill="1" applyBorder="1" applyAlignment="1" applyProtection="1">
      <alignment horizontal="center" vertical="center"/>
      <protection locked="0"/>
    </xf>
    <xf numFmtId="49" fontId="11" fillId="16" borderId="12" xfId="0" applyNumberFormat="1" applyFont="1" applyFill="1" applyBorder="1" applyAlignment="1" applyProtection="1">
      <alignment horizontal="center" vertical="center"/>
      <protection locked="0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11" fillId="9" borderId="30" xfId="0" applyNumberFormat="1" applyFont="1" applyFill="1" applyBorder="1" applyAlignment="1" applyProtection="1">
      <alignment horizontal="center" vertical="center"/>
    </xf>
    <xf numFmtId="10" fontId="9" fillId="3" borderId="29" xfId="0" applyNumberFormat="1" applyFont="1" applyFill="1" applyBorder="1" applyAlignment="1" applyProtection="1">
      <alignment horizontal="center" vertical="center"/>
    </xf>
    <xf numFmtId="0" fontId="3" fillId="9" borderId="31" xfId="0" applyFont="1" applyFill="1" applyBorder="1" applyAlignment="1" applyProtection="1">
      <alignment horizontal="center" vertical="center"/>
    </xf>
    <xf numFmtId="0" fontId="3" fillId="9" borderId="41" xfId="0" applyFont="1" applyFill="1" applyBorder="1" applyAlignment="1" applyProtection="1">
      <alignment horizontal="center" vertical="center"/>
    </xf>
    <xf numFmtId="0" fontId="3" fillId="9" borderId="41" xfId="0" applyFont="1" applyFill="1" applyBorder="1" applyAlignment="1" applyProtection="1">
      <alignment horizontal="center" vertical="center" wrapText="1"/>
    </xf>
    <xf numFmtId="0" fontId="3" fillId="9" borderId="32" xfId="0" applyFont="1" applyFill="1" applyBorder="1" applyAlignment="1" applyProtection="1">
      <alignment horizontal="center" vertical="center"/>
    </xf>
    <xf numFmtId="10" fontId="11" fillId="20" borderId="9" xfId="1" applyNumberFormat="1" applyFont="1" applyFill="1" applyBorder="1" applyAlignment="1" applyProtection="1">
      <alignment horizontal="center" vertical="center"/>
      <protection locked="0"/>
    </xf>
    <xf numFmtId="10" fontId="11" fillId="20" borderId="10" xfId="1" applyNumberFormat="1" applyFont="1" applyFill="1" applyBorder="1" applyAlignment="1" applyProtection="1">
      <alignment horizontal="center" vertical="center"/>
      <protection locked="0"/>
    </xf>
    <xf numFmtId="164" fontId="4" fillId="14" borderId="30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4" fontId="4" fillId="14" borderId="21" xfId="0" applyNumberFormat="1" applyFont="1" applyFill="1" applyBorder="1" applyAlignment="1" applyProtection="1">
      <alignment horizontal="center" vertical="center"/>
    </xf>
    <xf numFmtId="164" fontId="5" fillId="14" borderId="7" xfId="0" applyNumberFormat="1" applyFont="1" applyFill="1" applyBorder="1" applyAlignment="1" applyProtection="1">
      <alignment horizontal="center" vertical="center"/>
    </xf>
    <xf numFmtId="164" fontId="5" fillId="9" borderId="7" xfId="0" applyNumberFormat="1" applyFont="1" applyFill="1" applyBorder="1" applyAlignment="1" applyProtection="1">
      <alignment horizontal="center" vertical="center"/>
    </xf>
    <xf numFmtId="49" fontId="11" fillId="17" borderId="1" xfId="0" applyNumberFormat="1" applyFont="1" applyFill="1" applyBorder="1" applyAlignment="1" applyProtection="1">
      <alignment horizontal="center" vertical="center"/>
      <protection locked="0"/>
    </xf>
    <xf numFmtId="49" fontId="11" fillId="17" borderId="12" xfId="0" applyNumberFormat="1" applyFont="1" applyFill="1" applyBorder="1" applyAlignment="1" applyProtection="1">
      <alignment horizontal="center" vertical="center"/>
      <protection locked="0"/>
    </xf>
    <xf numFmtId="49" fontId="11" fillId="19" borderId="1" xfId="0" applyNumberFormat="1" applyFont="1" applyFill="1" applyBorder="1" applyAlignment="1" applyProtection="1">
      <alignment horizontal="center" vertical="center"/>
      <protection locked="0"/>
    </xf>
    <xf numFmtId="49" fontId="11" fillId="19" borderId="12" xfId="0" applyNumberFormat="1" applyFont="1" applyFill="1" applyBorder="1" applyAlignment="1" applyProtection="1">
      <alignment horizontal="center" vertical="center"/>
      <protection locked="0"/>
    </xf>
    <xf numFmtId="1" fontId="11" fillId="15" borderId="11" xfId="0" applyNumberFormat="1" applyFont="1" applyFill="1" applyBorder="1" applyAlignment="1" applyProtection="1">
      <alignment horizontal="center" vertical="center"/>
      <protection locked="0"/>
    </xf>
    <xf numFmtId="1" fontId="11" fillId="15" borderId="14" xfId="0" applyNumberFormat="1" applyFont="1" applyFill="1" applyBorder="1" applyAlignment="1" applyProtection="1">
      <alignment horizontal="center" vertical="center"/>
      <protection locked="0"/>
    </xf>
    <xf numFmtId="164" fontId="3" fillId="18" borderId="17" xfId="0" applyNumberFormat="1" applyFont="1" applyFill="1" applyBorder="1" applyAlignment="1" applyProtection="1">
      <alignment horizontal="center" vertical="center"/>
    </xf>
    <xf numFmtId="167" fontId="20" fillId="20" borderId="4" xfId="0" applyNumberFormat="1" applyFont="1" applyFill="1" applyBorder="1" applyAlignment="1" applyProtection="1">
      <alignment horizontal="center" vertical="center"/>
      <protection locked="0"/>
    </xf>
    <xf numFmtId="0" fontId="4" fillId="18" borderId="16" xfId="0" applyFont="1" applyFill="1" applyBorder="1" applyAlignment="1" applyProtection="1">
      <alignment horizontal="center" vertical="center"/>
    </xf>
    <xf numFmtId="0" fontId="4" fillId="21" borderId="16" xfId="0" applyFont="1" applyFill="1" applyBorder="1" applyAlignment="1" applyProtection="1">
      <alignment horizontal="center" vertical="center"/>
    </xf>
    <xf numFmtId="0" fontId="4" fillId="13" borderId="16" xfId="0" applyFont="1" applyFill="1" applyBorder="1" applyAlignment="1" applyProtection="1">
      <alignment horizontal="center" vertical="center"/>
    </xf>
    <xf numFmtId="164" fontId="5" fillId="18" borderId="36" xfId="0" applyNumberFormat="1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4" fillId="16" borderId="36" xfId="0" applyNumberFormat="1" applyFont="1" applyFill="1" applyBorder="1" applyAlignment="1" applyProtection="1">
      <alignment horizontal="center" vertical="center"/>
    </xf>
    <xf numFmtId="167" fontId="4" fillId="8" borderId="6" xfId="0" quotePrefix="1" applyNumberFormat="1" applyFont="1" applyFill="1" applyBorder="1" applyAlignment="1" applyProtection="1">
      <alignment horizontal="center" vertical="center"/>
      <protection locked="0"/>
    </xf>
    <xf numFmtId="164" fontId="4" fillId="18" borderId="15" xfId="0" applyNumberFormat="1" applyFont="1" applyFill="1" applyBorder="1" applyAlignment="1" applyProtection="1">
      <alignment horizontal="center" vertical="center"/>
    </xf>
    <xf numFmtId="164" fontId="4" fillId="21" borderId="49" xfId="0" applyNumberFormat="1" applyFont="1" applyFill="1" applyBorder="1" applyAlignment="1" applyProtection="1">
      <alignment horizontal="center" vertical="center"/>
    </xf>
    <xf numFmtId="164" fontId="3" fillId="3" borderId="10" xfId="0" applyNumberFormat="1" applyFont="1" applyFill="1" applyBorder="1" applyAlignment="1" applyProtection="1">
      <alignment horizontal="center" vertical="center"/>
    </xf>
    <xf numFmtId="0" fontId="4" fillId="14" borderId="15" xfId="0" applyFont="1" applyFill="1" applyBorder="1" applyAlignment="1" applyProtection="1">
      <alignment horizontal="center" vertical="center"/>
    </xf>
    <xf numFmtId="164" fontId="12" fillId="6" borderId="20" xfId="0" applyNumberFormat="1" applyFont="1" applyFill="1" applyBorder="1" applyAlignment="1" applyProtection="1">
      <alignment horizontal="center" vertical="center"/>
    </xf>
    <xf numFmtId="164" fontId="3" fillId="14" borderId="8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4" fontId="3" fillId="13" borderId="34" xfId="0" applyNumberFormat="1" applyFont="1" applyFill="1" applyBorder="1" applyAlignment="1" applyProtection="1">
      <alignment horizontal="center" vertical="center"/>
    </xf>
    <xf numFmtId="164" fontId="3" fillId="13" borderId="22" xfId="0" applyNumberFormat="1" applyFont="1" applyFill="1" applyBorder="1" applyAlignment="1" applyProtection="1">
      <alignment horizontal="center" vertical="center"/>
    </xf>
    <xf numFmtId="164" fontId="3" fillId="13" borderId="21" xfId="0" applyNumberFormat="1" applyFont="1" applyFill="1" applyBorder="1" applyAlignment="1" applyProtection="1">
      <alignment horizontal="center" vertical="center"/>
    </xf>
    <xf numFmtId="165" fontId="3" fillId="3" borderId="16" xfId="0" applyNumberFormat="1" applyFont="1" applyFill="1" applyBorder="1" applyAlignment="1" applyProtection="1">
      <alignment horizontal="center" vertical="center"/>
    </xf>
    <xf numFmtId="164" fontId="4" fillId="4" borderId="9" xfId="0" applyNumberFormat="1" applyFont="1" applyFill="1" applyBorder="1" applyAlignment="1" applyProtection="1">
      <alignment horizontal="center" vertical="center" wrapText="1"/>
    </xf>
    <xf numFmtId="164" fontId="29" fillId="4" borderId="10" xfId="0" quotePrefix="1" applyNumberFormat="1" applyFont="1" applyFill="1" applyBorder="1" applyAlignment="1" applyProtection="1">
      <alignment horizontal="center" vertical="center" wrapText="1"/>
    </xf>
    <xf numFmtId="164" fontId="4" fillId="18" borderId="9" xfId="0" applyNumberFormat="1" applyFont="1" applyFill="1" applyBorder="1" applyAlignment="1" applyProtection="1">
      <alignment horizontal="center" vertical="center"/>
    </xf>
    <xf numFmtId="0" fontId="3" fillId="17" borderId="18" xfId="0" applyFont="1" applyFill="1" applyBorder="1" applyAlignment="1" applyProtection="1">
      <alignment horizontal="center" vertical="center"/>
    </xf>
    <xf numFmtId="164" fontId="4" fillId="21" borderId="9" xfId="0" applyNumberFormat="1" applyFont="1" applyFill="1" applyBorder="1" applyAlignment="1" applyProtection="1">
      <alignment horizontal="center" vertical="center"/>
    </xf>
    <xf numFmtId="0" fontId="3" fillId="19" borderId="18" xfId="0" applyFont="1" applyFill="1" applyBorder="1" applyAlignment="1" applyProtection="1">
      <alignment horizontal="center" vertical="center"/>
    </xf>
    <xf numFmtId="164" fontId="4" fillId="13" borderId="9" xfId="0" applyNumberFormat="1" applyFont="1" applyFill="1" applyBorder="1" applyAlignment="1" applyProtection="1">
      <alignment horizontal="center" vertical="center"/>
    </xf>
    <xf numFmtId="0" fontId="3" fillId="16" borderId="18" xfId="0" applyFont="1" applyFill="1" applyBorder="1" applyAlignment="1" applyProtection="1">
      <alignment horizontal="center" vertical="center"/>
    </xf>
    <xf numFmtId="1" fontId="22" fillId="17" borderId="12" xfId="0" applyNumberFormat="1" applyFont="1" applyFill="1" applyBorder="1" applyAlignment="1" applyProtection="1">
      <alignment horizontal="center" vertical="center"/>
    </xf>
    <xf numFmtId="1" fontId="22" fillId="19" borderId="12" xfId="0" applyNumberFormat="1" applyFont="1" applyFill="1" applyBorder="1" applyAlignment="1" applyProtection="1">
      <alignment horizontal="center" vertical="center"/>
    </xf>
    <xf numFmtId="1" fontId="22" fillId="16" borderId="12" xfId="0" applyNumberFormat="1" applyFont="1" applyFill="1" applyBorder="1" applyAlignment="1" applyProtection="1">
      <alignment horizontal="center" vertical="center"/>
    </xf>
    <xf numFmtId="170" fontId="22" fillId="19" borderId="34" xfId="0" applyNumberFormat="1" applyFont="1" applyFill="1" applyBorder="1" applyAlignment="1" applyProtection="1">
      <alignment horizontal="center" vertical="center"/>
    </xf>
    <xf numFmtId="170" fontId="22" fillId="19" borderId="26" xfId="0" applyNumberFormat="1" applyFont="1" applyFill="1" applyBorder="1" applyAlignment="1" applyProtection="1">
      <alignment horizontal="center" vertical="center"/>
    </xf>
    <xf numFmtId="164" fontId="11" fillId="17" borderId="9" xfId="0" applyNumberFormat="1" applyFont="1" applyFill="1" applyBorder="1" applyAlignment="1" applyProtection="1">
      <alignment horizontal="center" vertical="center"/>
    </xf>
    <xf numFmtId="164" fontId="11" fillId="17" borderId="12" xfId="0" applyNumberFormat="1" applyFont="1" applyFill="1" applyBorder="1" applyAlignment="1" applyProtection="1">
      <alignment horizontal="center" vertical="center"/>
    </xf>
    <xf numFmtId="164" fontId="4" fillId="19" borderId="10" xfId="0" applyNumberFormat="1" applyFont="1" applyFill="1" applyBorder="1" applyAlignment="1" applyProtection="1">
      <alignment horizontal="center" vertical="center"/>
    </xf>
    <xf numFmtId="164" fontId="3" fillId="13" borderId="28" xfId="0" applyNumberFormat="1" applyFont="1" applyFill="1" applyBorder="1" applyAlignment="1" applyProtection="1">
      <alignment horizontal="center" vertical="center"/>
    </xf>
    <xf numFmtId="164" fontId="4" fillId="18" borderId="40" xfId="0" applyNumberFormat="1" applyFont="1" applyFill="1" applyBorder="1" applyAlignment="1" applyProtection="1">
      <alignment horizontal="center" vertical="center"/>
    </xf>
    <xf numFmtId="0" fontId="3" fillId="16" borderId="16" xfId="0" applyFont="1" applyFill="1" applyBorder="1" applyAlignment="1" applyProtection="1">
      <alignment horizontal="center" vertical="center"/>
    </xf>
    <xf numFmtId="164" fontId="3" fillId="16" borderId="17" xfId="0" applyNumberFormat="1" applyFont="1" applyFill="1" applyBorder="1" applyAlignment="1" applyProtection="1">
      <alignment horizontal="center" vertical="center" wrapText="1"/>
    </xf>
    <xf numFmtId="0" fontId="3" fillId="16" borderId="15" xfId="0" applyFont="1" applyFill="1" applyBorder="1" applyAlignment="1" applyProtection="1">
      <alignment horizontal="center" vertical="center"/>
    </xf>
    <xf numFmtId="0" fontId="3" fillId="7" borderId="34" xfId="0" applyFont="1" applyFill="1" applyBorder="1" applyAlignment="1" applyProtection="1">
      <alignment horizontal="center" vertical="center"/>
    </xf>
    <xf numFmtId="0" fontId="3" fillId="7" borderId="17" xfId="0" applyFont="1" applyFill="1" applyBorder="1" applyAlignment="1" applyProtection="1">
      <alignment horizontal="center" vertical="center"/>
    </xf>
    <xf numFmtId="0" fontId="3" fillId="7" borderId="26" xfId="0" applyFont="1" applyFill="1" applyBorder="1" applyAlignment="1" applyProtection="1">
      <alignment horizontal="center" vertical="center"/>
    </xf>
    <xf numFmtId="0" fontId="3" fillId="13" borderId="15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</xf>
    <xf numFmtId="49" fontId="11" fillId="8" borderId="17" xfId="0" quotePrefix="1" applyNumberFormat="1" applyFont="1" applyFill="1" applyBorder="1" applyAlignment="1" applyProtection="1">
      <alignment horizontal="center" vertical="center" wrapText="1"/>
      <protection locked="0"/>
    </xf>
    <xf numFmtId="1" fontId="11" fillId="15" borderId="24" xfId="0" applyNumberFormat="1" applyFont="1" applyFill="1" applyBorder="1" applyAlignment="1" applyProtection="1">
      <alignment horizontal="center" vertical="center"/>
      <protection locked="0"/>
    </xf>
    <xf numFmtId="1" fontId="11" fillId="15" borderId="25" xfId="0" applyNumberFormat="1" applyFont="1" applyFill="1" applyBorder="1" applyAlignment="1" applyProtection="1">
      <alignment horizontal="center" vertical="center"/>
      <protection locked="0"/>
    </xf>
    <xf numFmtId="49" fontId="15" fillId="8" borderId="17" xfId="0" applyNumberFormat="1" applyFont="1" applyFill="1" applyBorder="1" applyAlignment="1" applyProtection="1">
      <alignment horizontal="center" vertical="center" wrapText="1"/>
      <protection locked="0"/>
    </xf>
    <xf numFmtId="165" fontId="3" fillId="3" borderId="31" xfId="0" applyNumberFormat="1" applyFont="1" applyFill="1" applyBorder="1" applyAlignment="1" applyProtection="1">
      <alignment horizontal="center" vertical="center"/>
    </xf>
    <xf numFmtId="164" fontId="3" fillId="18" borderId="34" xfId="0" applyNumberFormat="1" applyFont="1" applyFill="1" applyBorder="1" applyAlignment="1" applyProtection="1">
      <alignment horizontal="center" vertical="center"/>
    </xf>
    <xf numFmtId="164" fontId="3" fillId="18" borderId="22" xfId="0" applyNumberFormat="1" applyFont="1" applyFill="1" applyBorder="1" applyAlignment="1" applyProtection="1">
      <alignment horizontal="center" vertical="center"/>
    </xf>
    <xf numFmtId="164" fontId="3" fillId="18" borderId="39" xfId="0" applyNumberFormat="1" applyFont="1" applyFill="1" applyBorder="1" applyAlignment="1" applyProtection="1">
      <alignment horizontal="center" vertical="center"/>
    </xf>
    <xf numFmtId="164" fontId="13" fillId="21" borderId="16" xfId="0" applyNumberFormat="1" applyFont="1" applyFill="1" applyBorder="1" applyAlignment="1" applyProtection="1">
      <alignment horizontal="center" vertical="center"/>
    </xf>
    <xf numFmtId="164" fontId="13" fillId="21" borderId="9" xfId="0" applyNumberFormat="1" applyFont="1" applyFill="1" applyBorder="1" applyAlignment="1" applyProtection="1">
      <alignment horizontal="center" vertical="center"/>
    </xf>
    <xf numFmtId="164" fontId="13" fillId="21" borderId="10" xfId="0" applyNumberFormat="1" applyFont="1" applyFill="1" applyBorder="1" applyAlignment="1" applyProtection="1">
      <alignment horizontal="center" vertical="center"/>
    </xf>
    <xf numFmtId="164" fontId="5" fillId="6" borderId="32" xfId="0" applyNumberFormat="1" applyFont="1" applyFill="1" applyBorder="1" applyAlignment="1" applyProtection="1">
      <alignment horizontal="center" vertical="center"/>
    </xf>
    <xf numFmtId="164" fontId="3" fillId="9" borderId="8" xfId="0" applyNumberFormat="1" applyFont="1" applyFill="1" applyBorder="1" applyAlignment="1" applyProtection="1">
      <alignment horizontal="center" vertical="center"/>
    </xf>
    <xf numFmtId="0" fontId="3" fillId="9" borderId="28" xfId="0" applyFont="1" applyFill="1" applyBorder="1" applyAlignment="1" applyProtection="1">
      <alignment horizontal="center" vertical="center"/>
    </xf>
    <xf numFmtId="0" fontId="3" fillId="9" borderId="35" xfId="0" applyFont="1" applyFill="1" applyBorder="1" applyAlignment="1" applyProtection="1">
      <alignment horizontal="center" vertical="center"/>
    </xf>
    <xf numFmtId="0" fontId="3" fillId="9" borderId="35" xfId="0" applyFont="1" applyFill="1" applyBorder="1" applyAlignment="1" applyProtection="1">
      <alignment horizontal="center" vertical="center" wrapText="1"/>
    </xf>
    <xf numFmtId="164" fontId="3" fillId="18" borderId="15" xfId="0" applyNumberFormat="1" applyFont="1" applyFill="1" applyBorder="1" applyAlignment="1" applyProtection="1">
      <alignment horizontal="center" vertical="center"/>
    </xf>
    <xf numFmtId="0" fontId="3" fillId="13" borderId="15" xfId="0" quotePrefix="1" applyFont="1" applyFill="1" applyBorder="1" applyAlignment="1" applyProtection="1">
      <alignment horizontal="center" vertical="center"/>
    </xf>
    <xf numFmtId="164" fontId="11" fillId="18" borderId="5" xfId="0" applyNumberFormat="1" applyFont="1" applyFill="1" applyBorder="1" applyAlignment="1" applyProtection="1">
      <alignment horizontal="center" vertical="center"/>
    </xf>
    <xf numFmtId="164" fontId="3" fillId="6" borderId="15" xfId="0" applyNumberFormat="1" applyFont="1" applyFill="1" applyBorder="1" applyAlignment="1" applyProtection="1">
      <alignment horizontal="center" vertical="center"/>
    </xf>
    <xf numFmtId="164" fontId="11" fillId="6" borderId="6" xfId="0" applyNumberFormat="1" applyFont="1" applyFill="1" applyBorder="1" applyAlignment="1" applyProtection="1">
      <alignment horizontal="center" vertical="center"/>
    </xf>
    <xf numFmtId="164" fontId="11" fillId="13" borderId="4" xfId="0" applyNumberFormat="1" applyFont="1" applyFill="1" applyBorder="1" applyAlignment="1" applyProtection="1">
      <alignment horizontal="center" vertical="center"/>
    </xf>
    <xf numFmtId="10" fontId="11" fillId="13" borderId="6" xfId="1" applyNumberFormat="1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0" fontId="4" fillId="7" borderId="15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 wrapText="1"/>
    </xf>
    <xf numFmtId="9" fontId="29" fillId="4" borderId="10" xfId="0" quotePrefix="1" applyNumberFormat="1" applyFont="1" applyFill="1" applyBorder="1" applyAlignment="1" applyProtection="1">
      <alignment horizontal="center" vertical="center" wrapText="1"/>
    </xf>
    <xf numFmtId="9" fontId="22" fillId="3" borderId="11" xfId="0" applyNumberFormat="1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29" fillId="4" borderId="11" xfId="0" quotePrefix="1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  <protection locked="0"/>
    </xf>
    <xf numFmtId="165" fontId="11" fillId="0" borderId="0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9" fontId="11" fillId="0" borderId="0" xfId="0" applyNumberFormat="1" applyFont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horizontal="center" vertical="center"/>
      <protection locked="0"/>
    </xf>
    <xf numFmtId="164" fontId="25" fillId="0" borderId="0" xfId="0" applyNumberFormat="1" applyFont="1" applyBorder="1" applyAlignment="1" applyProtection="1">
      <alignment horizontal="center" vertical="center"/>
      <protection locked="0"/>
    </xf>
    <xf numFmtId="1" fontId="11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65" fontId="6" fillId="0" borderId="0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164" fontId="27" fillId="0" borderId="0" xfId="0" applyNumberFormat="1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0" fontId="11" fillId="20" borderId="1" xfId="1" applyNumberFormat="1" applyFont="1" applyFill="1" applyBorder="1" applyAlignment="1" applyProtection="1">
      <alignment horizontal="center" vertical="center"/>
      <protection locked="0"/>
    </xf>
    <xf numFmtId="164" fontId="11" fillId="17" borderId="33" xfId="0" applyNumberFormat="1" applyFont="1" applyFill="1" applyBorder="1" applyAlignment="1" applyProtection="1">
      <alignment horizontal="center" vertical="center"/>
    </xf>
    <xf numFmtId="164" fontId="11" fillId="17" borderId="3" xfId="0" applyNumberFormat="1" applyFont="1" applyFill="1" applyBorder="1" applyAlignment="1" applyProtection="1">
      <alignment horizontal="center" vertical="center"/>
    </xf>
    <xf numFmtId="164" fontId="12" fillId="6" borderId="15" xfId="0" applyNumberFormat="1" applyFont="1" applyFill="1" applyBorder="1" applyAlignment="1" applyProtection="1">
      <alignment horizontal="center" vertical="center"/>
    </xf>
    <xf numFmtId="164" fontId="3" fillId="13" borderId="15" xfId="0" applyNumberFormat="1" applyFont="1" applyFill="1" applyBorder="1" applyAlignment="1" applyProtection="1">
      <alignment horizontal="center" vertical="center"/>
    </xf>
    <xf numFmtId="166" fontId="20" fillId="20" borderId="4" xfId="0" applyNumberFormat="1" applyFont="1" applyFill="1" applyBorder="1" applyAlignment="1" applyProtection="1">
      <alignment horizontal="center" vertical="center"/>
      <protection locked="0"/>
    </xf>
    <xf numFmtId="164" fontId="4" fillId="16" borderId="6" xfId="0" applyNumberFormat="1" applyFont="1" applyFill="1" applyBorder="1" applyAlignment="1" applyProtection="1">
      <alignment horizontal="center" vertical="center"/>
    </xf>
    <xf numFmtId="164" fontId="4" fillId="18" borderId="31" xfId="0" applyNumberFormat="1" applyFont="1" applyFill="1" applyBorder="1" applyAlignment="1" applyProtection="1">
      <alignment horizontal="center" vertical="center"/>
    </xf>
    <xf numFmtId="164" fontId="22" fillId="9" borderId="32" xfId="0" applyNumberFormat="1" applyFont="1" applyFill="1" applyBorder="1" applyAlignment="1" applyProtection="1">
      <alignment horizontal="center" vertical="center"/>
    </xf>
    <xf numFmtId="164" fontId="5" fillId="6" borderId="31" xfId="0" applyNumberFormat="1" applyFont="1" applyFill="1" applyBorder="1" applyAlignment="1" applyProtection="1">
      <alignment horizontal="center" vertical="center"/>
    </xf>
    <xf numFmtId="0" fontId="23" fillId="13" borderId="31" xfId="0" quotePrefix="1" applyFont="1" applyFill="1" applyBorder="1" applyAlignment="1" applyProtection="1">
      <alignment horizontal="center" vertical="center"/>
    </xf>
    <xf numFmtId="164" fontId="24" fillId="13" borderId="41" xfId="0" applyNumberFormat="1" applyFont="1" applyFill="1" applyBorder="1" applyAlignment="1" applyProtection="1">
      <alignment horizontal="center" vertical="center"/>
    </xf>
    <xf numFmtId="10" fontId="24" fillId="13" borderId="32" xfId="1" applyNumberFormat="1" applyFont="1" applyFill="1" applyBorder="1" applyAlignment="1" applyProtection="1">
      <alignment horizontal="center" vertical="center"/>
    </xf>
    <xf numFmtId="0" fontId="3" fillId="9" borderId="16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 wrapText="1"/>
    </xf>
    <xf numFmtId="0" fontId="3" fillId="9" borderId="10" xfId="0" applyFont="1" applyFill="1" applyBorder="1" applyAlignment="1" applyProtection="1">
      <alignment horizontal="center" vertical="center"/>
    </xf>
    <xf numFmtId="10" fontId="11" fillId="20" borderId="11" xfId="1" applyNumberFormat="1" applyFont="1" applyFill="1" applyBorder="1" applyAlignment="1" applyProtection="1">
      <alignment horizontal="center" vertical="center"/>
      <protection locked="0"/>
    </xf>
    <xf numFmtId="164" fontId="11" fillId="9" borderId="9" xfId="0" applyNumberFormat="1" applyFont="1" applyFill="1" applyBorder="1" applyAlignment="1" applyProtection="1">
      <alignment horizontal="center" vertical="center"/>
    </xf>
    <xf numFmtId="164" fontId="11" fillId="9" borderId="10" xfId="0" applyNumberFormat="1" applyFont="1" applyFill="1" applyBorder="1" applyAlignment="1" applyProtection="1">
      <alignment horizontal="center" vertical="center"/>
    </xf>
    <xf numFmtId="164" fontId="4" fillId="14" borderId="10" xfId="0" applyNumberFormat="1" applyFont="1" applyFill="1" applyBorder="1" applyAlignment="1" applyProtection="1">
      <alignment horizontal="center" vertical="center"/>
    </xf>
    <xf numFmtId="0" fontId="3" fillId="16" borderId="17" xfId="0" applyFont="1" applyFill="1" applyBorder="1" applyAlignment="1" applyProtection="1">
      <alignment horizontal="center" vertical="center"/>
    </xf>
    <xf numFmtId="0" fontId="4" fillId="7" borderId="28" xfId="0" applyFont="1" applyFill="1" applyBorder="1" applyAlignment="1" applyProtection="1">
      <alignment horizontal="center" vertical="center"/>
    </xf>
    <xf numFmtId="164" fontId="5" fillId="12" borderId="36" xfId="0" applyNumberFormat="1" applyFont="1" applyFill="1" applyBorder="1" applyAlignment="1" applyProtection="1">
      <alignment horizontal="center" vertical="center"/>
    </xf>
    <xf numFmtId="1" fontId="22" fillId="3" borderId="14" xfId="0" applyNumberFormat="1" applyFont="1" applyFill="1" applyBorder="1" applyAlignment="1" applyProtection="1">
      <alignment horizontal="center" vertical="center"/>
    </xf>
    <xf numFmtId="164" fontId="22" fillId="3" borderId="14" xfId="0" applyNumberFormat="1" applyFont="1" applyFill="1" applyBorder="1" applyAlignment="1" applyProtection="1">
      <alignment horizontal="center" vertical="center"/>
    </xf>
    <xf numFmtId="0" fontId="3" fillId="18" borderId="15" xfId="0" applyFont="1" applyFill="1" applyBorder="1" applyAlignment="1" applyProtection="1">
      <alignment horizontal="center" vertical="center"/>
      <protection locked="0"/>
    </xf>
    <xf numFmtId="1" fontId="11" fillId="16" borderId="12" xfId="0" applyNumberFormat="1" applyFont="1" applyFill="1" applyBorder="1" applyAlignment="1" applyProtection="1">
      <alignment horizontal="center" vertical="center"/>
    </xf>
    <xf numFmtId="9" fontId="9" fillId="3" borderId="21" xfId="0" applyNumberFormat="1" applyFont="1" applyFill="1" applyBorder="1" applyAlignment="1" applyProtection="1">
      <alignment horizontal="center" vertical="center"/>
    </xf>
    <xf numFmtId="1" fontId="11" fillId="17" borderId="12" xfId="0" applyNumberFormat="1" applyFont="1" applyFill="1" applyBorder="1" applyAlignment="1" applyProtection="1">
      <alignment horizontal="center" vertical="center"/>
    </xf>
    <xf numFmtId="0" fontId="4" fillId="13" borderId="34" xfId="0" applyFont="1" applyFill="1" applyBorder="1" applyAlignment="1" applyProtection="1">
      <alignment horizontal="center" vertical="center"/>
    </xf>
    <xf numFmtId="164" fontId="4" fillId="13" borderId="22" xfId="0" applyNumberFormat="1" applyFont="1" applyFill="1" applyBorder="1" applyAlignment="1" applyProtection="1">
      <alignment horizontal="center" vertical="center"/>
    </xf>
    <xf numFmtId="1" fontId="11" fillId="19" borderId="12" xfId="0" applyNumberFormat="1" applyFont="1" applyFill="1" applyBorder="1" applyAlignment="1" applyProtection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65" fontId="11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horizontal="center" vertical="center"/>
    </xf>
    <xf numFmtId="1" fontId="0" fillId="0" borderId="0" xfId="0" applyNumberFormat="1" applyFont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1" fontId="2" fillId="24" borderId="42" xfId="0" applyNumberFormat="1" applyFont="1" applyFill="1" applyBorder="1" applyAlignment="1" applyProtection="1">
      <alignment horizontal="center" vertical="center"/>
    </xf>
    <xf numFmtId="0" fontId="2" fillId="18" borderId="42" xfId="0" applyFont="1" applyFill="1" applyBorder="1" applyAlignment="1" applyProtection="1">
      <alignment horizontal="center" vertical="center"/>
    </xf>
    <xf numFmtId="0" fontId="2" fillId="21" borderId="42" xfId="0" applyFont="1" applyFill="1" applyBorder="1" applyAlignment="1" applyProtection="1">
      <alignment horizontal="center" vertical="center"/>
    </xf>
    <xf numFmtId="165" fontId="2" fillId="9" borderId="42" xfId="0" applyNumberFormat="1" applyFont="1" applyFill="1" applyBorder="1" applyAlignment="1" applyProtection="1">
      <alignment horizontal="center" vertical="center"/>
    </xf>
    <xf numFmtId="165" fontId="2" fillId="18" borderId="42" xfId="0" applyNumberFormat="1" applyFont="1" applyFill="1" applyBorder="1" applyAlignment="1" applyProtection="1">
      <alignment horizontal="center" vertical="center"/>
    </xf>
    <xf numFmtId="165" fontId="2" fillId="21" borderId="42" xfId="0" applyNumberFormat="1" applyFont="1" applyFill="1" applyBorder="1" applyAlignment="1" applyProtection="1">
      <alignment horizontal="center" vertical="center"/>
    </xf>
    <xf numFmtId="165" fontId="2" fillId="5" borderId="42" xfId="0" applyNumberFormat="1" applyFont="1" applyFill="1" applyBorder="1" applyAlignment="1" applyProtection="1">
      <alignment horizontal="center" vertical="center"/>
    </xf>
    <xf numFmtId="0" fontId="2" fillId="5" borderId="42" xfId="0" applyFont="1" applyFill="1" applyBorder="1" applyAlignment="1" applyProtection="1">
      <alignment horizontal="center" vertical="center"/>
    </xf>
    <xf numFmtId="49" fontId="2" fillId="5" borderId="42" xfId="0" applyNumberFormat="1" applyFont="1" applyFill="1" applyBorder="1" applyAlignment="1" applyProtection="1">
      <alignment horizontal="center" vertical="center"/>
    </xf>
    <xf numFmtId="164" fontId="2" fillId="9" borderId="42" xfId="0" applyNumberFormat="1" applyFont="1" applyFill="1" applyBorder="1" applyAlignment="1" applyProtection="1">
      <alignment horizontal="center" vertical="center"/>
    </xf>
    <xf numFmtId="0" fontId="2" fillId="9" borderId="42" xfId="0" applyFont="1" applyFill="1" applyBorder="1" applyAlignment="1" applyProtection="1">
      <alignment horizontal="center" vertical="center"/>
    </xf>
    <xf numFmtId="0" fontId="3" fillId="18" borderId="42" xfId="0" applyFont="1" applyFill="1" applyBorder="1" applyAlignment="1" applyProtection="1">
      <alignment horizontal="center" vertical="center"/>
    </xf>
    <xf numFmtId="168" fontId="3" fillId="18" borderId="42" xfId="0" applyNumberFormat="1" applyFont="1" applyFill="1" applyBorder="1" applyAlignment="1" applyProtection="1">
      <alignment horizontal="center" vertical="center"/>
    </xf>
    <xf numFmtId="0" fontId="3" fillId="21" borderId="42" xfId="0" applyFont="1" applyFill="1" applyBorder="1" applyAlignment="1" applyProtection="1">
      <alignment horizontal="center" vertical="center"/>
    </xf>
    <xf numFmtId="0" fontId="3" fillId="5" borderId="42" xfId="0" applyFont="1" applyFill="1" applyBorder="1" applyAlignment="1" applyProtection="1">
      <alignment horizontal="center" vertical="center"/>
    </xf>
    <xf numFmtId="0" fontId="3" fillId="5" borderId="42" xfId="0" quotePrefix="1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169" fontId="3" fillId="18" borderId="42" xfId="0" applyNumberFormat="1" applyFont="1" applyFill="1" applyBorder="1" applyAlignment="1" applyProtection="1">
      <alignment horizontal="center" vertical="center"/>
    </xf>
    <xf numFmtId="49" fontId="3" fillId="18" borderId="42" xfId="0" applyNumberFormat="1" applyFont="1" applyFill="1" applyBorder="1" applyAlignment="1" applyProtection="1">
      <alignment horizontal="center" vertical="center"/>
    </xf>
    <xf numFmtId="0" fontId="2" fillId="24" borderId="42" xfId="0" applyFont="1" applyFill="1" applyBorder="1" applyAlignment="1" applyProtection="1">
      <alignment horizontal="center" vertical="center"/>
    </xf>
    <xf numFmtId="1" fontId="2" fillId="18" borderId="42" xfId="0" applyNumberFormat="1" applyFont="1" applyFill="1" applyBorder="1" applyAlignment="1" applyProtection="1">
      <alignment horizontal="center" vertical="center"/>
    </xf>
    <xf numFmtId="1" fontId="2" fillId="21" borderId="42" xfId="0" applyNumberFormat="1" applyFont="1" applyFill="1" applyBorder="1" applyAlignment="1" applyProtection="1">
      <alignment horizontal="center" vertical="center"/>
    </xf>
    <xf numFmtId="49" fontId="3" fillId="12" borderId="42" xfId="0" quotePrefix="1" applyNumberFormat="1" applyFont="1" applyFill="1" applyBorder="1" applyAlignment="1" applyProtection="1">
      <alignment horizontal="center" vertical="center"/>
    </xf>
    <xf numFmtId="164" fontId="18" fillId="5" borderId="42" xfId="0" applyNumberFormat="1" applyFont="1" applyFill="1" applyBorder="1" applyAlignment="1" applyProtection="1">
      <alignment horizontal="center" vertical="center"/>
    </xf>
    <xf numFmtId="0" fontId="15" fillId="23" borderId="42" xfId="0" applyFont="1" applyFill="1" applyBorder="1" applyAlignment="1" applyProtection="1">
      <alignment horizontal="center" vertical="center"/>
    </xf>
    <xf numFmtId="0" fontId="21" fillId="8" borderId="43" xfId="0" applyFont="1" applyFill="1" applyBorder="1" applyAlignment="1" applyProtection="1">
      <alignment horizontal="center" vertical="center"/>
    </xf>
    <xf numFmtId="49" fontId="21" fillId="8" borderId="43" xfId="0" applyNumberFormat="1" applyFont="1" applyFill="1" applyBorder="1" applyAlignment="1" applyProtection="1">
      <alignment horizontal="center" vertical="center"/>
    </xf>
    <xf numFmtId="0" fontId="21" fillId="8" borderId="45" xfId="0" applyFont="1" applyFill="1" applyBorder="1" applyAlignment="1" applyProtection="1">
      <alignment horizontal="center" vertical="center"/>
    </xf>
    <xf numFmtId="14" fontId="21" fillId="8" borderId="45" xfId="0" applyNumberFormat="1" applyFont="1" applyFill="1" applyBorder="1" applyAlignment="1" applyProtection="1">
      <alignment horizontal="center" vertical="center"/>
    </xf>
    <xf numFmtId="164" fontId="21" fillId="8" borderId="45" xfId="0" applyNumberFormat="1" applyFont="1" applyFill="1" applyBorder="1" applyAlignment="1" applyProtection="1">
      <alignment horizontal="center" vertical="center"/>
    </xf>
    <xf numFmtId="0" fontId="21" fillId="8" borderId="44" xfId="0" applyFont="1" applyFill="1" applyBorder="1" applyAlignment="1" applyProtection="1">
      <alignment horizontal="center" vertical="center"/>
    </xf>
    <xf numFmtId="0" fontId="0" fillId="19" borderId="42" xfId="0" applyFont="1" applyFill="1" applyBorder="1" applyAlignment="1" applyProtection="1">
      <alignment horizontal="center" vertical="center"/>
    </xf>
    <xf numFmtId="1" fontId="0" fillId="3" borderId="42" xfId="0" applyNumberFormat="1" applyFont="1" applyFill="1" applyBorder="1" applyAlignment="1" applyProtection="1">
      <alignment horizontal="center" vertical="center"/>
    </xf>
    <xf numFmtId="14" fontId="0" fillId="8" borderId="43" xfId="0" applyNumberFormat="1" applyFont="1" applyFill="1" applyBorder="1" applyAlignment="1" applyProtection="1">
      <alignment horizontal="center" vertical="center"/>
    </xf>
    <xf numFmtId="2" fontId="0" fillId="8" borderId="45" xfId="0" applyNumberFormat="1" applyFont="1" applyFill="1" applyBorder="1" applyAlignment="1" applyProtection="1">
      <alignment horizontal="center" vertical="center"/>
    </xf>
    <xf numFmtId="0" fontId="0" fillId="8" borderId="45" xfId="0" applyFont="1" applyFill="1" applyBorder="1" applyAlignment="1" applyProtection="1">
      <alignment horizontal="center" vertical="center"/>
    </xf>
    <xf numFmtId="0" fontId="21" fillId="8" borderId="0" xfId="0" applyFont="1" applyFill="1" applyBorder="1" applyAlignment="1" applyProtection="1">
      <alignment horizontal="center" vertical="center"/>
    </xf>
    <xf numFmtId="49" fontId="21" fillId="8" borderId="50" xfId="2" applyNumberFormat="1" applyFont="1" applyFill="1" applyBorder="1" applyAlignment="1" applyProtection="1">
      <alignment horizontal="center" vertical="center"/>
    </xf>
    <xf numFmtId="14" fontId="0" fillId="3" borderId="42" xfId="0" applyNumberFormat="1" applyFont="1" applyFill="1" applyBorder="1" applyAlignment="1" applyProtection="1">
      <alignment horizontal="center" vertical="center"/>
    </xf>
    <xf numFmtId="14" fontId="0" fillId="17" borderId="42" xfId="0" applyNumberFormat="1" applyFont="1" applyFill="1" applyBorder="1" applyAlignment="1" applyProtection="1">
      <alignment horizontal="center" vertical="center"/>
    </xf>
    <xf numFmtId="0" fontId="0" fillId="17" borderId="42" xfId="0" applyFont="1" applyFill="1" applyBorder="1" applyAlignment="1" applyProtection="1">
      <alignment horizontal="center" vertical="center"/>
    </xf>
    <xf numFmtId="14" fontId="0" fillId="19" borderId="42" xfId="0" applyNumberFormat="1" applyFont="1" applyFill="1" applyBorder="1" applyAlignment="1" applyProtection="1">
      <alignment horizontal="center" vertical="center"/>
    </xf>
    <xf numFmtId="165" fontId="0" fillId="12" borderId="42" xfId="0" applyNumberFormat="1" applyFont="1" applyFill="1" applyBorder="1" applyAlignment="1" applyProtection="1">
      <alignment horizontal="center" vertical="center"/>
    </xf>
    <xf numFmtId="165" fontId="0" fillId="17" borderId="42" xfId="0" applyNumberFormat="1" applyFont="1" applyFill="1" applyBorder="1" applyAlignment="1" applyProtection="1">
      <alignment horizontal="center" vertical="center"/>
    </xf>
    <xf numFmtId="0" fontId="0" fillId="3" borderId="42" xfId="0" applyNumberFormat="1" applyFont="1" applyFill="1" applyBorder="1" applyAlignment="1" applyProtection="1">
      <alignment horizontal="center" vertical="center"/>
    </xf>
    <xf numFmtId="164" fontId="0" fillId="3" borderId="42" xfId="0" applyNumberFormat="1" applyFont="1" applyFill="1" applyBorder="1" applyAlignment="1" applyProtection="1">
      <alignment horizontal="center" vertical="center"/>
    </xf>
    <xf numFmtId="2" fontId="0" fillId="18" borderId="42" xfId="0" applyNumberFormat="1" applyFont="1" applyFill="1" applyBorder="1" applyAlignment="1" applyProtection="1">
      <alignment horizontal="center" vertical="center"/>
    </xf>
    <xf numFmtId="167" fontId="0" fillId="3" borderId="42" xfId="0" applyNumberFormat="1" applyFont="1" applyFill="1" applyBorder="1" applyAlignment="1" applyProtection="1">
      <alignment horizontal="center" vertical="center"/>
    </xf>
    <xf numFmtId="165" fontId="0" fillId="19" borderId="42" xfId="0" applyNumberFormat="1" applyFont="1" applyFill="1" applyBorder="1" applyAlignment="1" applyProtection="1">
      <alignment horizontal="center" vertical="center"/>
    </xf>
    <xf numFmtId="14" fontId="0" fillId="18" borderId="42" xfId="0" applyNumberFormat="1" applyFont="1" applyFill="1" applyBorder="1" applyAlignment="1" applyProtection="1">
      <alignment horizontal="center" vertical="center"/>
    </xf>
    <xf numFmtId="2" fontId="0" fillId="3" borderId="42" xfId="0" applyNumberFormat="1" applyFont="1" applyFill="1" applyBorder="1" applyAlignment="1" applyProtection="1">
      <alignment horizontal="center" vertical="center"/>
    </xf>
    <xf numFmtId="166" fontId="10" fillId="3" borderId="42" xfId="0" applyNumberFormat="1" applyFont="1" applyFill="1" applyBorder="1" applyAlignment="1" applyProtection="1">
      <alignment horizontal="center" vertical="center"/>
    </xf>
    <xf numFmtId="10" fontId="10" fillId="3" borderId="42" xfId="0" applyNumberFormat="1" applyFont="1" applyFill="1" applyBorder="1" applyAlignment="1" applyProtection="1">
      <alignment horizontal="center" vertical="center"/>
    </xf>
    <xf numFmtId="0" fontId="2" fillId="19" borderId="42" xfId="0" applyFont="1" applyFill="1" applyBorder="1" applyAlignment="1" applyProtection="1">
      <alignment horizontal="center" vertical="center"/>
    </xf>
    <xf numFmtId="0" fontId="9" fillId="17" borderId="42" xfId="0" applyFont="1" applyFill="1" applyBorder="1" applyAlignment="1" applyProtection="1">
      <alignment horizontal="center" vertical="center"/>
    </xf>
    <xf numFmtId="168" fontId="0" fillId="17" borderId="42" xfId="0" applyNumberFormat="1" applyFont="1" applyFill="1" applyBorder="1" applyAlignment="1" applyProtection="1">
      <alignment horizontal="center" vertical="center"/>
    </xf>
    <xf numFmtId="169" fontId="0" fillId="17" borderId="42" xfId="0" applyNumberFormat="1" applyFont="1" applyFill="1" applyBorder="1" applyAlignment="1" applyProtection="1">
      <alignment horizontal="center" vertical="center"/>
    </xf>
    <xf numFmtId="2" fontId="0" fillId="19" borderId="42" xfId="0" applyNumberFormat="1" applyFont="1" applyFill="1" applyBorder="1" applyAlignment="1" applyProtection="1">
      <alignment horizontal="center" vertical="center"/>
    </xf>
    <xf numFmtId="0" fontId="0" fillId="23" borderId="42" xfId="0" quotePrefix="1" applyFill="1" applyBorder="1" applyAlignment="1" applyProtection="1">
      <alignment horizontal="center" vertical="center"/>
    </xf>
    <xf numFmtId="14" fontId="0" fillId="25" borderId="42" xfId="0" applyNumberFormat="1" applyFont="1" applyFill="1" applyBorder="1" applyAlignment="1" applyProtection="1">
      <alignment horizontal="center" vertical="center"/>
    </xf>
    <xf numFmtId="1" fontId="21" fillId="8" borderId="45" xfId="0" applyNumberFormat="1" applyFont="1" applyFill="1" applyBorder="1" applyAlignment="1" applyProtection="1">
      <alignment horizontal="center" vertical="center"/>
    </xf>
    <xf numFmtId="167" fontId="19" fillId="3" borderId="42" xfId="0" applyNumberFormat="1" applyFont="1" applyFill="1" applyBorder="1" applyAlignment="1" applyProtection="1">
      <alignment horizontal="center" vertical="center"/>
    </xf>
    <xf numFmtId="167" fontId="1" fillId="18" borderId="42" xfId="0" applyNumberFormat="1" applyFont="1" applyFill="1" applyBorder="1" applyAlignment="1" applyProtection="1">
      <alignment horizontal="center" vertical="center"/>
    </xf>
    <xf numFmtId="2" fontId="0" fillId="20" borderId="42" xfId="0" applyNumberFormat="1" applyFont="1" applyFill="1" applyBorder="1" applyAlignment="1" applyProtection="1">
      <alignment horizontal="center" vertical="center"/>
    </xf>
    <xf numFmtId="0" fontId="0" fillId="8" borderId="42" xfId="0" applyFont="1" applyFill="1" applyBorder="1" applyAlignment="1" applyProtection="1">
      <alignment horizontal="center" vertical="center"/>
    </xf>
    <xf numFmtId="0" fontId="3" fillId="6" borderId="42" xfId="0" applyFont="1" applyFill="1" applyBorder="1" applyAlignment="1" applyProtection="1">
      <alignment horizontal="center" vertical="center"/>
    </xf>
    <xf numFmtId="0" fontId="8" fillId="17" borderId="42" xfId="2" applyFill="1" applyBorder="1" applyAlignment="1" applyProtection="1">
      <alignment horizontal="center" vertical="center"/>
    </xf>
    <xf numFmtId="49" fontId="0" fillId="17" borderId="42" xfId="2" applyNumberFormat="1" applyFont="1" applyFill="1" applyBorder="1" applyAlignment="1" applyProtection="1">
      <alignment horizontal="center" vertical="center"/>
    </xf>
    <xf numFmtId="0" fontId="0" fillId="8" borderId="46" xfId="0" applyFont="1" applyFill="1" applyBorder="1" applyAlignment="1" applyProtection="1">
      <alignment horizontal="center" vertical="center"/>
    </xf>
    <xf numFmtId="0" fontId="14" fillId="6" borderId="1" xfId="0" quotePrefix="1" applyFont="1" applyFill="1" applyBorder="1" applyAlignment="1" applyProtection="1">
      <alignment horizontal="center" vertical="center"/>
    </xf>
    <xf numFmtId="0" fontId="2" fillId="20" borderId="42" xfId="0" applyFont="1" applyFill="1" applyBorder="1" applyAlignment="1" applyProtection="1">
      <alignment horizontal="center" vertical="center"/>
    </xf>
    <xf numFmtId="165" fontId="2" fillId="10" borderId="42" xfId="0" applyNumberFormat="1" applyFont="1" applyFill="1" applyBorder="1" applyAlignment="1" applyProtection="1">
      <alignment horizontal="center" vertical="center"/>
    </xf>
    <xf numFmtId="165" fontId="0" fillId="21" borderId="42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19" borderId="51" xfId="0" applyFont="1" applyFill="1" applyBorder="1" applyAlignment="1" applyProtection="1">
      <alignment horizontal="center" vertical="center"/>
    </xf>
    <xf numFmtId="0" fontId="0" fillId="19" borderId="46" xfId="0" applyFont="1" applyFill="1" applyBorder="1" applyAlignment="1" applyProtection="1">
      <alignment horizontal="center" vertical="center"/>
    </xf>
    <xf numFmtId="1" fontId="0" fillId="27" borderId="42" xfId="0" applyNumberFormat="1" applyFont="1" applyFill="1" applyBorder="1" applyAlignment="1" applyProtection="1">
      <alignment horizontal="center" vertical="center"/>
    </xf>
    <xf numFmtId="14" fontId="0" fillId="27" borderId="42" xfId="0" applyNumberFormat="1" applyFont="1" applyFill="1" applyBorder="1" applyAlignment="1" applyProtection="1">
      <alignment horizontal="center" vertical="center"/>
    </xf>
    <xf numFmtId="0" fontId="16" fillId="18" borderId="42" xfId="0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72" fontId="12" fillId="9" borderId="15" xfId="0" applyNumberFormat="1" applyFont="1" applyFill="1" applyBorder="1" applyAlignment="1" applyProtection="1">
      <alignment horizontal="center" vertical="center"/>
    </xf>
    <xf numFmtId="165" fontId="11" fillId="0" borderId="0" xfId="0" applyNumberFormat="1" applyFont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10" fontId="11" fillId="20" borderId="9" xfId="1" applyNumberFormat="1" applyFont="1" applyFill="1" applyBorder="1" applyAlignment="1" applyProtection="1">
      <alignment horizontal="center" vertical="center"/>
    </xf>
    <xf numFmtId="10" fontId="11" fillId="20" borderId="10" xfId="1" applyNumberFormat="1" applyFont="1" applyFill="1" applyBorder="1" applyAlignment="1" applyProtection="1">
      <alignment horizontal="center" vertical="center"/>
    </xf>
    <xf numFmtId="165" fontId="11" fillId="20" borderId="12" xfId="0" applyNumberFormat="1" applyFont="1" applyFill="1" applyBorder="1" applyAlignment="1" applyProtection="1">
      <alignment horizontal="center" vertical="center"/>
    </xf>
    <xf numFmtId="165" fontId="11" fillId="20" borderId="14" xfId="0" applyNumberFormat="1" applyFont="1" applyFill="1" applyBorder="1" applyAlignment="1" applyProtection="1">
      <alignment horizontal="center" vertical="center"/>
    </xf>
    <xf numFmtId="167" fontId="20" fillId="20" borderId="4" xfId="0" applyNumberFormat="1" applyFont="1" applyFill="1" applyBorder="1" applyAlignment="1" applyProtection="1">
      <alignment horizontal="center" vertical="center"/>
    </xf>
    <xf numFmtId="167" fontId="4" fillId="8" borderId="6" xfId="0" quotePrefix="1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6" fontId="20" fillId="20" borderId="33" xfId="0" applyNumberFormat="1" applyFont="1" applyFill="1" applyBorder="1" applyAlignment="1" applyProtection="1">
      <alignment horizontal="center" vertical="center"/>
    </xf>
    <xf numFmtId="49" fontId="11" fillId="0" borderId="0" xfId="0" applyNumberFormat="1" applyFont="1" applyAlignment="1" applyProtection="1">
      <alignment horizontal="center" vertical="center"/>
    </xf>
    <xf numFmtId="164" fontId="11" fillId="0" borderId="0" xfId="0" applyNumberFormat="1" applyFont="1" applyAlignment="1" applyProtection="1">
      <alignment horizontal="center" vertical="center"/>
    </xf>
    <xf numFmtId="164" fontId="25" fillId="0" borderId="0" xfId="0" applyNumberFormat="1" applyFont="1" applyAlignment="1" applyProtection="1">
      <alignment horizontal="center" vertical="center"/>
    </xf>
    <xf numFmtId="1" fontId="11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5" fontId="6" fillId="0" borderId="0" xfId="0" applyNumberFormat="1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164" fontId="27" fillId="0" borderId="0" xfId="0" applyNumberFormat="1" applyFont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0" fontId="3" fillId="18" borderId="31" xfId="0" applyFont="1" applyFill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1" fontId="22" fillId="8" borderId="14" xfId="0" applyNumberFormat="1" applyFont="1" applyFill="1" applyBorder="1" applyAlignment="1" applyProtection="1">
      <alignment horizontal="center" vertical="center"/>
    </xf>
    <xf numFmtId="1" fontId="22" fillId="8" borderId="10" xfId="0" applyNumberFormat="1" applyFont="1" applyFill="1" applyBorder="1" applyAlignment="1" applyProtection="1">
      <alignment horizontal="center" vertical="center"/>
    </xf>
    <xf numFmtId="49" fontId="0" fillId="8" borderId="17" xfId="0" applyNumberFormat="1" applyFont="1" applyFill="1" applyBorder="1" applyAlignment="1" applyProtection="1">
      <alignment horizontal="center" vertical="center" wrapText="1"/>
    </xf>
    <xf numFmtId="49" fontId="11" fillId="16" borderId="1" xfId="0" applyNumberFormat="1" applyFont="1" applyFill="1" applyBorder="1" applyAlignment="1" applyProtection="1">
      <alignment horizontal="center" vertical="center"/>
    </xf>
    <xf numFmtId="165" fontId="11" fillId="8" borderId="1" xfId="0" applyNumberFormat="1" applyFont="1" applyFill="1" applyBorder="1" applyAlignment="1" applyProtection="1">
      <alignment horizontal="center" vertical="center" wrapText="1"/>
    </xf>
    <xf numFmtId="1" fontId="11" fillId="15" borderId="11" xfId="0" applyNumberFormat="1" applyFont="1" applyFill="1" applyBorder="1" applyAlignment="1" applyProtection="1">
      <alignment horizontal="center" vertical="center"/>
    </xf>
    <xf numFmtId="49" fontId="11" fillId="8" borderId="17" xfId="0" applyNumberFormat="1" applyFont="1" applyFill="1" applyBorder="1" applyAlignment="1" applyProtection="1">
      <alignment horizontal="center" vertical="center" wrapText="1"/>
    </xf>
    <xf numFmtId="165" fontId="11" fillId="8" borderId="1" xfId="0" applyNumberFormat="1" applyFont="1" applyFill="1" applyBorder="1" applyAlignment="1" applyProtection="1">
      <alignment horizontal="center" vertical="center"/>
    </xf>
    <xf numFmtId="165" fontId="11" fillId="8" borderId="1" xfId="0" quotePrefix="1" applyNumberFormat="1" applyFont="1" applyFill="1" applyBorder="1" applyAlignment="1" applyProtection="1">
      <alignment horizontal="center" vertical="center"/>
    </xf>
    <xf numFmtId="49" fontId="11" fillId="8" borderId="17" xfId="0" applyNumberFormat="1" applyFont="1" applyFill="1" applyBorder="1" applyAlignment="1" applyProtection="1">
      <alignment horizontal="center" vertical="center"/>
    </xf>
    <xf numFmtId="167" fontId="11" fillId="8" borderId="11" xfId="0" applyNumberFormat="1" applyFont="1" applyFill="1" applyBorder="1" applyAlignment="1" applyProtection="1">
      <alignment horizontal="center" vertical="center"/>
    </xf>
    <xf numFmtId="49" fontId="11" fillId="8" borderId="17" xfId="0" quotePrefix="1" applyNumberFormat="1" applyFont="1" applyFill="1" applyBorder="1" applyAlignment="1" applyProtection="1">
      <alignment horizontal="center" vertical="center" wrapText="1"/>
    </xf>
    <xf numFmtId="49" fontId="11" fillId="8" borderId="18" xfId="0" applyNumberFormat="1" applyFont="1" applyFill="1" applyBorder="1" applyAlignment="1" applyProtection="1">
      <alignment horizontal="center" vertical="center"/>
    </xf>
    <xf numFmtId="49" fontId="11" fillId="16" borderId="12" xfId="0" applyNumberFormat="1" applyFont="1" applyFill="1" applyBorder="1" applyAlignment="1" applyProtection="1">
      <alignment horizontal="center" vertical="center"/>
    </xf>
    <xf numFmtId="165" fontId="11" fillId="8" borderId="12" xfId="0" applyNumberFormat="1" applyFont="1" applyFill="1" applyBorder="1" applyAlignment="1" applyProtection="1">
      <alignment horizontal="center" vertical="center"/>
    </xf>
    <xf numFmtId="1" fontId="11" fillId="15" borderId="14" xfId="0" applyNumberFormat="1" applyFont="1" applyFill="1" applyBorder="1" applyAlignment="1" applyProtection="1">
      <alignment horizontal="center" vertical="center"/>
    </xf>
    <xf numFmtId="167" fontId="11" fillId="8" borderId="14" xfId="0" applyNumberFormat="1" applyFont="1" applyFill="1" applyBorder="1" applyAlignment="1" applyProtection="1">
      <alignment horizontal="center" vertical="center"/>
    </xf>
    <xf numFmtId="49" fontId="11" fillId="17" borderId="1" xfId="0" applyNumberFormat="1" applyFont="1" applyFill="1" applyBorder="1" applyAlignment="1" applyProtection="1">
      <alignment horizontal="center" vertical="center"/>
    </xf>
    <xf numFmtId="1" fontId="11" fillId="15" borderId="24" xfId="0" applyNumberFormat="1" applyFont="1" applyFill="1" applyBorder="1" applyAlignment="1" applyProtection="1">
      <alignment horizontal="center" vertical="center"/>
    </xf>
    <xf numFmtId="49" fontId="11" fillId="19" borderId="1" xfId="0" applyNumberFormat="1" applyFont="1" applyFill="1" applyBorder="1" applyAlignment="1" applyProtection="1">
      <alignment horizontal="center" vertical="center"/>
    </xf>
    <xf numFmtId="49" fontId="11" fillId="17" borderId="12" xfId="0" applyNumberFormat="1" applyFont="1" applyFill="1" applyBorder="1" applyAlignment="1" applyProtection="1">
      <alignment horizontal="center" vertical="center"/>
    </xf>
    <xf numFmtId="1" fontId="11" fillId="15" borderId="25" xfId="0" applyNumberFormat="1" applyFont="1" applyFill="1" applyBorder="1" applyAlignment="1" applyProtection="1">
      <alignment horizontal="center" vertical="center"/>
    </xf>
    <xf numFmtId="49" fontId="11" fillId="19" borderId="12" xfId="0" applyNumberFormat="1" applyFont="1" applyFill="1" applyBorder="1" applyAlignment="1" applyProtection="1">
      <alignment horizontal="center" vertical="center"/>
    </xf>
    <xf numFmtId="167" fontId="1" fillId="18" borderId="1" xfId="0" applyNumberFormat="1" applyFont="1" applyFill="1" applyBorder="1" applyAlignment="1">
      <alignment horizontal="center" vertical="center"/>
    </xf>
    <xf numFmtId="1" fontId="2" fillId="27" borderId="42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0" fontId="3" fillId="12" borderId="42" xfId="0" applyFont="1" applyFill="1" applyBorder="1" applyAlignment="1" applyProtection="1">
      <alignment horizontal="center" vertical="center"/>
    </xf>
    <xf numFmtId="14" fontId="0" fillId="10" borderId="42" xfId="0" applyNumberFormat="1" applyFont="1" applyFill="1" applyBorder="1" applyAlignment="1" applyProtection="1">
      <alignment horizontal="center" vertical="center"/>
    </xf>
    <xf numFmtId="1" fontId="3" fillId="11" borderId="42" xfId="0" applyNumberFormat="1" applyFont="1" applyFill="1" applyBorder="1" applyAlignment="1" applyProtection="1">
      <alignment horizontal="center" vertical="center"/>
    </xf>
    <xf numFmtId="1" fontId="2" fillId="28" borderId="42" xfId="0" applyNumberFormat="1" applyFont="1" applyFill="1" applyBorder="1" applyAlignment="1" applyProtection="1">
      <alignment horizontal="center" vertical="center"/>
    </xf>
    <xf numFmtId="2" fontId="0" fillId="28" borderId="42" xfId="0" applyNumberFormat="1" applyFont="1" applyFill="1" applyBorder="1" applyAlignment="1" applyProtection="1">
      <alignment horizontal="center" vertical="center"/>
    </xf>
    <xf numFmtId="2" fontId="0" fillId="8" borderId="43" xfId="0" applyNumberFormat="1" applyFont="1" applyFill="1" applyBorder="1" applyAlignment="1" applyProtection="1">
      <alignment horizontal="center" vertical="center"/>
    </xf>
    <xf numFmtId="14" fontId="2" fillId="18" borderId="42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1" fontId="22" fillId="3" borderId="1" xfId="0" applyNumberFormat="1" applyFont="1" applyFill="1" applyBorder="1" applyAlignment="1" applyProtection="1">
      <alignment horizontal="center" vertical="center"/>
    </xf>
    <xf numFmtId="1" fontId="22" fillId="3" borderId="12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7" borderId="10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4" fontId="4" fillId="14" borderId="9" xfId="0" applyNumberFormat="1" applyFont="1" applyFill="1" applyBorder="1" applyAlignment="1" applyProtection="1">
      <alignment horizontal="center" vertical="center"/>
    </xf>
    <xf numFmtId="0" fontId="0" fillId="29" borderId="1" xfId="0" applyFont="1" applyFill="1" applyBorder="1" applyAlignment="1">
      <alignment horizontal="center" vertical="center"/>
    </xf>
    <xf numFmtId="0" fontId="0" fillId="29" borderId="30" xfId="0" applyFont="1" applyFill="1" applyBorder="1" applyAlignment="1">
      <alignment horizontal="center" vertical="center"/>
    </xf>
    <xf numFmtId="0" fontId="0" fillId="17" borderId="42" xfId="2" applyNumberFormat="1" applyFont="1" applyFill="1" applyBorder="1" applyAlignment="1" applyProtection="1">
      <alignment horizontal="center" vertical="center"/>
    </xf>
    <xf numFmtId="164" fontId="3" fillId="16" borderId="17" xfId="0" applyNumberFormat="1" applyFont="1" applyFill="1" applyBorder="1" applyAlignment="1" applyProtection="1">
      <alignment horizontal="center" vertical="center" wrapText="1"/>
    </xf>
    <xf numFmtId="0" fontId="3" fillId="16" borderId="18" xfId="0" applyFont="1" applyFill="1" applyBorder="1" applyAlignment="1" applyProtection="1">
      <alignment horizontal="center" vertical="center"/>
    </xf>
    <xf numFmtId="0" fontId="3" fillId="16" borderId="16" xfId="0" applyFont="1" applyFill="1" applyBorder="1" applyAlignment="1" applyProtection="1">
      <alignment horizontal="center" vertical="center"/>
    </xf>
    <xf numFmtId="1" fontId="22" fillId="3" borderId="9" xfId="0" applyNumberFormat="1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4" fillId="9" borderId="6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165" fontId="11" fillId="20" borderId="55" xfId="0" applyNumberFormat="1" applyFont="1" applyFill="1" applyBorder="1" applyAlignment="1" applyProtection="1">
      <alignment horizontal="center" vertical="center"/>
      <protection locked="0"/>
    </xf>
    <xf numFmtId="165" fontId="11" fillId="20" borderId="27" xfId="0" applyNumberFormat="1" applyFont="1" applyFill="1" applyBorder="1" applyAlignment="1" applyProtection="1">
      <alignment horizontal="center" vertical="center"/>
      <protection locked="0"/>
    </xf>
    <xf numFmtId="164" fontId="3" fillId="9" borderId="56" xfId="0" applyNumberFormat="1" applyFont="1" applyFill="1" applyBorder="1" applyAlignment="1" applyProtection="1">
      <alignment horizontal="center" vertical="center"/>
    </xf>
    <xf numFmtId="164" fontId="5" fillId="18" borderId="13" xfId="0" applyNumberFormat="1" applyFont="1" applyFill="1" applyBorder="1" applyAlignment="1" applyProtection="1">
      <alignment horizontal="center" vertical="center"/>
    </xf>
    <xf numFmtId="164" fontId="11" fillId="9" borderId="16" xfId="0" applyNumberFormat="1" applyFont="1" applyFill="1" applyBorder="1" applyAlignment="1" applyProtection="1">
      <alignment horizontal="center" vertical="center"/>
    </xf>
    <xf numFmtId="164" fontId="3" fillId="14" borderId="56" xfId="0" applyNumberFormat="1" applyFont="1" applyFill="1" applyBorder="1" applyAlignment="1" applyProtection="1">
      <alignment horizontal="center" vertical="center"/>
    </xf>
    <xf numFmtId="164" fontId="5" fillId="26" borderId="13" xfId="0" applyNumberFormat="1" applyFont="1" applyFill="1" applyBorder="1" applyAlignment="1" applyProtection="1">
      <alignment horizontal="center" vertical="center"/>
    </xf>
    <xf numFmtId="164" fontId="4" fillId="14" borderId="16" xfId="0" applyNumberFormat="1" applyFont="1" applyFill="1" applyBorder="1" applyAlignment="1" applyProtection="1">
      <alignment horizontal="center" vertical="center"/>
    </xf>
    <xf numFmtId="166" fontId="9" fillId="3" borderId="18" xfId="0" applyNumberFormat="1" applyFont="1" applyFill="1" applyBorder="1" applyAlignment="1" applyProtection="1">
      <alignment horizontal="center" vertical="center"/>
    </xf>
    <xf numFmtId="164" fontId="4" fillId="17" borderId="11" xfId="0" applyNumberFormat="1" applyFont="1" applyFill="1" applyBorder="1" applyAlignment="1" applyProtection="1">
      <alignment vertical="center"/>
    </xf>
    <xf numFmtId="0" fontId="4" fillId="14" borderId="20" xfId="0" applyFont="1" applyFill="1" applyBorder="1" applyAlignment="1" applyProtection="1">
      <alignment horizontal="center" vertical="center"/>
    </xf>
    <xf numFmtId="166" fontId="20" fillId="20" borderId="18" xfId="0" quotePrefix="1" applyNumberFormat="1" applyFont="1" applyFill="1" applyBorder="1" applyAlignment="1" applyProtection="1">
      <alignment horizontal="center" vertical="center"/>
      <protection locked="0"/>
    </xf>
    <xf numFmtId="164" fontId="4" fillId="19" borderId="29" xfId="0" applyNumberFormat="1" applyFont="1" applyFill="1" applyBorder="1" applyAlignment="1" applyProtection="1">
      <alignment horizontal="center" vertical="center"/>
    </xf>
    <xf numFmtId="0" fontId="3" fillId="18" borderId="26" xfId="0" applyFont="1" applyFill="1" applyBorder="1" applyAlignment="1" applyProtection="1">
      <alignment horizontal="center" vertical="center"/>
    </xf>
    <xf numFmtId="164" fontId="11" fillId="17" borderId="57" xfId="0" applyNumberFormat="1" applyFont="1" applyFill="1" applyBorder="1" applyAlignment="1" applyProtection="1">
      <alignment horizontal="center" vertical="center"/>
    </xf>
    <xf numFmtId="164" fontId="4" fillId="17" borderId="27" xfId="0" applyNumberFormat="1" applyFont="1" applyFill="1" applyBorder="1" applyAlignment="1" applyProtection="1">
      <alignment vertical="center"/>
    </xf>
    <xf numFmtId="164" fontId="4" fillId="19" borderId="30" xfId="0" applyNumberFormat="1" applyFont="1" applyFill="1" applyBorder="1" applyAlignment="1" applyProtection="1">
      <alignment horizontal="center" vertical="center"/>
    </xf>
    <xf numFmtId="164" fontId="4" fillId="18" borderId="20" xfId="0" applyNumberFormat="1" applyFont="1" applyFill="1" applyBorder="1" applyAlignment="1" applyProtection="1">
      <alignment horizontal="center" vertical="center"/>
    </xf>
    <xf numFmtId="164" fontId="5" fillId="18" borderId="38" xfId="0" applyNumberFormat="1" applyFont="1" applyFill="1" applyBorder="1" applyAlignment="1" applyProtection="1">
      <alignment horizontal="center" vertical="center"/>
    </xf>
    <xf numFmtId="9" fontId="20" fillId="20" borderId="17" xfId="0" applyNumberFormat="1" applyFont="1" applyFill="1" applyBorder="1" applyAlignment="1" applyProtection="1">
      <alignment horizontal="center" vertical="center"/>
      <protection locked="0"/>
    </xf>
    <xf numFmtId="164" fontId="4" fillId="21" borderId="59" xfId="0" applyNumberFormat="1" applyFont="1" applyFill="1" applyBorder="1" applyAlignment="1" applyProtection="1">
      <alignment horizontal="center" vertical="center"/>
    </xf>
    <xf numFmtId="0" fontId="4" fillId="21" borderId="60" xfId="0" applyFont="1" applyFill="1" applyBorder="1" applyAlignment="1" applyProtection="1">
      <alignment horizontal="center" vertical="center"/>
    </xf>
    <xf numFmtId="167" fontId="20" fillId="20" borderId="58" xfId="0" applyNumberFormat="1" applyFont="1" applyFill="1" applyBorder="1" applyAlignment="1" applyProtection="1">
      <alignment horizontal="center" vertical="center"/>
      <protection locked="0"/>
    </xf>
    <xf numFmtId="164" fontId="11" fillId="17" borderId="6" xfId="0" applyNumberFormat="1" applyFont="1" applyFill="1" applyBorder="1" applyAlignment="1" applyProtection="1">
      <alignment horizontal="center" vertical="center"/>
    </xf>
    <xf numFmtId="10" fontId="9" fillId="3" borderId="18" xfId="0" applyNumberFormat="1" applyFont="1" applyFill="1" applyBorder="1" applyAlignment="1" applyProtection="1">
      <alignment horizontal="center" vertical="center"/>
    </xf>
    <xf numFmtId="166" fontId="9" fillId="0" borderId="10" xfId="0" applyNumberFormat="1" applyFont="1" applyBorder="1" applyAlignment="1" applyProtection="1">
      <alignment horizontal="center" vertical="center"/>
    </xf>
    <xf numFmtId="166" fontId="9" fillId="0" borderId="11" xfId="0" applyNumberFormat="1" applyFont="1" applyBorder="1" applyAlignment="1" applyProtection="1">
      <alignment horizontal="center" vertical="center"/>
    </xf>
    <xf numFmtId="166" fontId="9" fillId="0" borderId="14" xfId="0" applyNumberFormat="1" applyFont="1" applyBorder="1" applyAlignment="1" applyProtection="1">
      <alignment horizontal="center" vertical="center"/>
    </xf>
    <xf numFmtId="0" fontId="5" fillId="19" borderId="32" xfId="0" applyNumberFormat="1" applyFont="1" applyFill="1" applyBorder="1" applyAlignment="1" applyProtection="1">
      <alignment horizontal="center" vertical="center"/>
    </xf>
    <xf numFmtId="0" fontId="3" fillId="17" borderId="1" xfId="0" applyFont="1" applyFill="1" applyBorder="1" applyAlignment="1" applyProtection="1">
      <alignment horizontal="center" vertical="center"/>
    </xf>
    <xf numFmtId="0" fontId="4" fillId="18" borderId="9" xfId="0" applyFont="1" applyFill="1" applyBorder="1" applyAlignment="1" applyProtection="1">
      <alignment horizontal="center" vertical="center"/>
    </xf>
    <xf numFmtId="0" fontId="4" fillId="18" borderId="10" xfId="0" applyFont="1" applyFill="1" applyBorder="1" applyAlignment="1" applyProtection="1">
      <alignment horizontal="center" vertical="center"/>
    </xf>
    <xf numFmtId="0" fontId="3" fillId="17" borderId="17" xfId="0" applyFont="1" applyFill="1" applyBorder="1" applyAlignment="1" applyProtection="1">
      <alignment horizontal="center" vertical="center"/>
    </xf>
    <xf numFmtId="0" fontId="3" fillId="17" borderId="11" xfId="0" applyFont="1" applyFill="1" applyBorder="1" applyAlignment="1" applyProtection="1">
      <alignment horizontal="center" vertical="center"/>
    </xf>
    <xf numFmtId="1" fontId="4" fillId="3" borderId="36" xfId="0" applyNumberFormat="1" applyFont="1" applyFill="1" applyBorder="1" applyAlignment="1" applyProtection="1">
      <alignment horizontal="center" vertical="center"/>
    </xf>
    <xf numFmtId="9" fontId="20" fillId="17" borderId="18" xfId="1" applyNumberFormat="1" applyFont="1" applyFill="1" applyBorder="1" applyAlignment="1" applyProtection="1">
      <alignment horizontal="center" vertical="center"/>
    </xf>
    <xf numFmtId="9" fontId="20" fillId="17" borderId="12" xfId="1" applyNumberFormat="1" applyFont="1" applyFill="1" applyBorder="1" applyAlignment="1" applyProtection="1">
      <alignment horizontal="center" vertical="center"/>
    </xf>
    <xf numFmtId="9" fontId="20" fillId="17" borderId="14" xfId="1" applyNumberFormat="1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164" fontId="4" fillId="3" borderId="6" xfId="0" applyNumberFormat="1" applyFont="1" applyFill="1" applyBorder="1" applyAlignment="1" applyProtection="1">
      <alignment horizontal="center" vertical="center"/>
    </xf>
    <xf numFmtId="0" fontId="4" fillId="13" borderId="10" xfId="0" applyFont="1" applyFill="1" applyBorder="1" applyAlignment="1" applyProtection="1">
      <alignment horizontal="center" vertical="center"/>
    </xf>
    <xf numFmtId="1" fontId="4" fillId="16" borderId="17" xfId="0" applyNumberFormat="1" applyFont="1" applyFill="1" applyBorder="1" applyAlignment="1" applyProtection="1">
      <alignment horizontal="center" vertical="center"/>
    </xf>
    <xf numFmtId="1" fontId="4" fillId="16" borderId="11" xfId="0" applyNumberFormat="1" applyFont="1" applyFill="1" applyBorder="1" applyAlignment="1" applyProtection="1">
      <alignment horizontal="center" vertical="center"/>
    </xf>
    <xf numFmtId="9" fontId="20" fillId="16" borderId="18" xfId="0" applyNumberFormat="1" applyFont="1" applyFill="1" applyBorder="1" applyAlignment="1" applyProtection="1">
      <alignment horizontal="center" vertical="center"/>
    </xf>
    <xf numFmtId="9" fontId="20" fillId="16" borderId="14" xfId="0" applyNumberFormat="1" applyFont="1" applyFill="1" applyBorder="1" applyAlignment="1" applyProtection="1">
      <alignment horizontal="center" vertical="center"/>
    </xf>
    <xf numFmtId="9" fontId="20" fillId="17" borderId="55" xfId="1" applyNumberFormat="1" applyFont="1" applyFill="1" applyBorder="1" applyAlignment="1" applyProtection="1">
      <alignment horizontal="center" vertical="center"/>
    </xf>
    <xf numFmtId="0" fontId="4" fillId="13" borderId="15" xfId="0" applyFont="1" applyFill="1" applyBorder="1" applyAlignment="1" applyProtection="1">
      <alignment horizontal="center" vertical="center"/>
    </xf>
    <xf numFmtId="1" fontId="4" fillId="16" borderId="4" xfId="0" applyNumberFormat="1" applyFont="1" applyFill="1" applyBorder="1" applyAlignment="1" applyProtection="1">
      <alignment horizontal="center" vertical="center"/>
    </xf>
    <xf numFmtId="9" fontId="20" fillId="16" borderId="4" xfId="0" applyNumberFormat="1" applyFont="1" applyFill="1" applyBorder="1" applyAlignment="1" applyProtection="1">
      <alignment horizontal="center" vertical="center"/>
    </xf>
    <xf numFmtId="0" fontId="4" fillId="13" borderId="4" xfId="0" applyFont="1" applyFill="1" applyBorder="1" applyAlignment="1" applyProtection="1">
      <alignment horizontal="center" vertical="center"/>
    </xf>
    <xf numFmtId="9" fontId="20" fillId="16" borderId="6" xfId="0" applyNumberFormat="1" applyFont="1" applyFill="1" applyBorder="1" applyAlignment="1" applyProtection="1">
      <alignment horizontal="center" vertical="center"/>
    </xf>
    <xf numFmtId="9" fontId="20" fillId="16" borderId="17" xfId="0" applyNumberFormat="1" applyFont="1" applyFill="1" applyBorder="1" applyAlignment="1" applyProtection="1">
      <alignment horizontal="center" vertical="center"/>
    </xf>
    <xf numFmtId="9" fontId="20" fillId="16" borderId="11" xfId="0" applyNumberFormat="1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165" fontId="0" fillId="28" borderId="42" xfId="0" applyNumberFormat="1" applyFont="1" applyFill="1" applyBorder="1" applyAlignment="1" applyProtection="1">
      <alignment horizontal="center" vertical="center"/>
    </xf>
    <xf numFmtId="0" fontId="0" fillId="8" borderId="42" xfId="2" applyNumberFormat="1" applyFont="1" applyFill="1" applyBorder="1" applyAlignment="1" applyProtection="1">
      <alignment horizontal="center" vertical="center"/>
    </xf>
    <xf numFmtId="0" fontId="0" fillId="8" borderId="1" xfId="0" applyNumberFormat="1" applyFont="1" applyFill="1" applyBorder="1" applyAlignment="1" applyProtection="1">
      <alignment horizontal="center" vertical="center"/>
    </xf>
    <xf numFmtId="0" fontId="11" fillId="8" borderId="0" xfId="0" applyFont="1" applyFill="1"/>
    <xf numFmtId="0" fontId="11" fillId="21" borderId="1" xfId="0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horizontal="center" vertical="center"/>
    </xf>
    <xf numFmtId="0" fontId="3" fillId="3" borderId="17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14" fontId="11" fillId="8" borderId="11" xfId="0" applyNumberFormat="1" applyFont="1" applyFill="1" applyBorder="1" applyAlignment="1" applyProtection="1">
      <alignment horizontal="center" vertical="center"/>
    </xf>
    <xf numFmtId="0" fontId="3" fillId="19" borderId="5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165" fontId="11" fillId="8" borderId="11" xfId="0" applyNumberFormat="1" applyFont="1" applyFill="1" applyBorder="1" applyAlignment="1" applyProtection="1">
      <alignment horizontal="center" vertical="center"/>
    </xf>
    <xf numFmtId="49" fontId="3" fillId="14" borderId="56" xfId="0" quotePrefix="1" applyNumberFormat="1" applyFont="1" applyFill="1" applyBorder="1" applyAlignment="1" applyProtection="1">
      <alignment horizontal="center" vertical="center"/>
    </xf>
    <xf numFmtId="165" fontId="3" fillId="8" borderId="67" xfId="0" applyNumberFormat="1" applyFont="1" applyFill="1" applyBorder="1" applyAlignment="1" applyProtection="1">
      <alignment horizontal="center" vertical="center"/>
    </xf>
    <xf numFmtId="49" fontId="3" fillId="14" borderId="8" xfId="0" quotePrefix="1" applyNumberFormat="1" applyFont="1" applyFill="1" applyBorder="1" applyAlignment="1" applyProtection="1">
      <alignment horizontal="center" vertical="center"/>
    </xf>
    <xf numFmtId="165" fontId="3" fillId="8" borderId="68" xfId="0" applyNumberFormat="1" applyFont="1" applyFill="1" applyBorder="1" applyAlignment="1" applyProtection="1">
      <alignment horizontal="center" vertical="center"/>
    </xf>
    <xf numFmtId="49" fontId="3" fillId="14" borderId="69" xfId="0" quotePrefix="1" applyNumberFormat="1" applyFont="1" applyFill="1" applyBorder="1" applyAlignment="1" applyProtection="1">
      <alignment horizontal="center" vertical="center"/>
    </xf>
    <xf numFmtId="165" fontId="3" fillId="8" borderId="47" xfId="0" applyNumberFormat="1" applyFont="1" applyFill="1" applyBorder="1" applyAlignment="1" applyProtection="1">
      <alignment horizontal="center" vertical="center"/>
    </xf>
    <xf numFmtId="0" fontId="3" fillId="17" borderId="56" xfId="0" quotePrefix="1" applyFont="1" applyFill="1" applyBorder="1" applyAlignment="1" applyProtection="1">
      <alignment horizontal="center" vertical="center"/>
    </xf>
    <xf numFmtId="0" fontId="3" fillId="9" borderId="13" xfId="0" applyFont="1" applyFill="1" applyBorder="1" applyAlignment="1" applyProtection="1">
      <alignment horizontal="center" vertical="center"/>
    </xf>
    <xf numFmtId="10" fontId="20" fillId="17" borderId="8" xfId="0" applyNumberFormat="1" applyFont="1" applyFill="1" applyBorder="1" applyAlignment="1" applyProtection="1">
      <alignment horizontal="center" vertical="center"/>
    </xf>
    <xf numFmtId="10" fontId="20" fillId="17" borderId="69" xfId="0" applyNumberFormat="1" applyFont="1" applyFill="1" applyBorder="1" applyAlignment="1" applyProtection="1">
      <alignment horizontal="center" vertical="center"/>
    </xf>
    <xf numFmtId="0" fontId="13" fillId="9" borderId="7" xfId="0" applyFont="1" applyFill="1" applyBorder="1"/>
    <xf numFmtId="10" fontId="13" fillId="9" borderId="7" xfId="0" applyNumberFormat="1" applyFont="1" applyFill="1" applyBorder="1" applyAlignment="1" applyProtection="1">
      <alignment horizontal="center" vertical="center"/>
    </xf>
    <xf numFmtId="10" fontId="13" fillId="9" borderId="70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0" fontId="3" fillId="15" borderId="15" xfId="0" applyFont="1" applyFill="1" applyBorder="1" applyAlignment="1" applyProtection="1">
      <alignment horizontal="center" vertical="center"/>
    </xf>
    <xf numFmtId="0" fontId="3" fillId="15" borderId="16" xfId="0" applyFont="1" applyFill="1" applyBorder="1" applyAlignment="1" applyProtection="1">
      <alignment horizontal="center" vertical="center"/>
    </xf>
    <xf numFmtId="0" fontId="3" fillId="15" borderId="18" xfId="0" applyFont="1" applyFill="1" applyBorder="1" applyAlignment="1" applyProtection="1">
      <alignment horizontal="center" vertical="center"/>
    </xf>
    <xf numFmtId="0" fontId="3" fillId="15" borderId="20" xfId="0" applyFont="1" applyFill="1" applyBorder="1" applyAlignment="1" applyProtection="1">
      <alignment horizontal="center" vertical="center"/>
    </xf>
    <xf numFmtId="0" fontId="3" fillId="15" borderId="28" xfId="0" applyFont="1" applyFill="1" applyBorder="1" applyAlignment="1" applyProtection="1">
      <alignment horizontal="center" vertical="center"/>
    </xf>
    <xf numFmtId="169" fontId="3" fillId="15" borderId="16" xfId="0" applyNumberFormat="1" applyFont="1" applyFill="1" applyBorder="1" applyAlignment="1" applyProtection="1">
      <alignment horizontal="center" vertical="center"/>
    </xf>
    <xf numFmtId="169" fontId="3" fillId="15" borderId="17" xfId="0" applyNumberFormat="1" applyFont="1" applyFill="1" applyBorder="1" applyAlignment="1" applyProtection="1">
      <alignment horizontal="center" vertical="center"/>
    </xf>
    <xf numFmtId="0" fontId="3" fillId="15" borderId="17" xfId="0" applyFont="1" applyFill="1" applyBorder="1" applyAlignment="1" applyProtection="1">
      <alignment horizontal="center" vertical="center"/>
    </xf>
    <xf numFmtId="49" fontId="3" fillId="15" borderId="18" xfId="0" applyNumberFormat="1" applyFont="1" applyFill="1" applyBorder="1" applyAlignment="1" applyProtection="1">
      <alignment horizontal="center" vertical="center"/>
    </xf>
    <xf numFmtId="165" fontId="3" fillId="15" borderId="33" xfId="0" applyNumberFormat="1" applyFont="1" applyFill="1" applyBorder="1" applyAlignment="1" applyProtection="1">
      <alignment horizontal="center" vertical="center"/>
    </xf>
    <xf numFmtId="165" fontId="3" fillId="15" borderId="3" xfId="0" applyNumberFormat="1" applyFont="1" applyFill="1" applyBorder="1" applyAlignment="1" applyProtection="1">
      <alignment horizontal="center" vertical="center"/>
    </xf>
    <xf numFmtId="165" fontId="3" fillId="15" borderId="8" xfId="0" applyNumberFormat="1" applyFont="1" applyFill="1" applyBorder="1" applyAlignment="1" applyProtection="1">
      <alignment horizontal="center" vertical="center"/>
    </xf>
    <xf numFmtId="1" fontId="29" fillId="15" borderId="18" xfId="0" applyNumberFormat="1" applyFont="1" applyFill="1" applyBorder="1" applyAlignment="1" applyProtection="1">
      <alignment horizontal="center" vertical="center"/>
    </xf>
    <xf numFmtId="1" fontId="3" fillId="15" borderId="17" xfId="0" applyNumberFormat="1" applyFont="1" applyFill="1" applyBorder="1" applyAlignment="1" applyProtection="1">
      <alignment horizontal="center" vertical="center"/>
    </xf>
    <xf numFmtId="1" fontId="3" fillId="15" borderId="26" xfId="0" applyNumberFormat="1" applyFont="1" applyFill="1" applyBorder="1" applyAlignment="1" applyProtection="1">
      <alignment horizontal="center" vertical="center"/>
    </xf>
    <xf numFmtId="0" fontId="11" fillId="8" borderId="27" xfId="0" applyFont="1" applyFill="1" applyBorder="1" applyAlignment="1" applyProtection="1">
      <alignment horizontal="center" vertical="center"/>
    </xf>
    <xf numFmtId="2" fontId="11" fillId="19" borderId="14" xfId="0" applyNumberFormat="1" applyFont="1" applyFill="1" applyBorder="1" applyAlignment="1" applyProtection="1">
      <alignment horizontal="center" vertical="center"/>
    </xf>
    <xf numFmtId="0" fontId="11" fillId="19" borderId="14" xfId="0" applyNumberFormat="1" applyFont="1" applyFill="1" applyBorder="1" applyAlignment="1" applyProtection="1">
      <alignment horizontal="center" vertical="center"/>
    </xf>
    <xf numFmtId="0" fontId="11" fillId="19" borderId="64" xfId="0" applyFont="1" applyFill="1" applyBorder="1" applyAlignment="1" applyProtection="1">
      <alignment horizontal="center" vertical="center"/>
    </xf>
    <xf numFmtId="0" fontId="11" fillId="16" borderId="64" xfId="0" applyFont="1" applyFill="1" applyBorder="1" applyAlignment="1" applyProtection="1">
      <alignment horizontal="center" vertical="center"/>
    </xf>
    <xf numFmtId="2" fontId="11" fillId="16" borderId="14" xfId="0" applyNumberFormat="1" applyFont="1" applyFill="1" applyBorder="1" applyAlignment="1" applyProtection="1">
      <alignment horizontal="center" vertical="center"/>
    </xf>
    <xf numFmtId="0" fontId="11" fillId="16" borderId="18" xfId="0" applyFont="1" applyFill="1" applyBorder="1" applyAlignment="1" applyProtection="1">
      <alignment horizontal="center" vertical="center"/>
    </xf>
    <xf numFmtId="0" fontId="0" fillId="8" borderId="12" xfId="0" applyFont="1" applyFill="1" applyBorder="1" applyAlignment="1" applyProtection="1">
      <alignment horizontal="center" vertical="center"/>
    </xf>
    <xf numFmtId="0" fontId="3" fillId="15" borderId="12" xfId="0" applyFont="1" applyFill="1" applyBorder="1" applyAlignment="1" applyProtection="1">
      <alignment horizontal="center" vertical="center"/>
    </xf>
    <xf numFmtId="0" fontId="11" fillId="19" borderId="18" xfId="0" applyFont="1" applyFill="1" applyBorder="1" applyAlignment="1" applyProtection="1">
      <alignment horizontal="center" vertical="center"/>
    </xf>
    <xf numFmtId="0" fontId="0" fillId="19" borderId="12" xfId="0" applyFont="1" applyFill="1" applyBorder="1" applyAlignment="1" applyProtection="1">
      <alignment horizontal="center" vertical="center"/>
    </xf>
    <xf numFmtId="0" fontId="11" fillId="19" borderId="12" xfId="0" applyFont="1" applyFill="1" applyBorder="1" applyAlignment="1" applyProtection="1">
      <alignment horizontal="center" vertical="center"/>
    </xf>
    <xf numFmtId="0" fontId="11" fillId="19" borderId="14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14" fontId="3" fillId="3" borderId="10" xfId="0" applyNumberFormat="1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</xf>
    <xf numFmtId="1" fontId="3" fillId="3" borderId="34" xfId="0" applyNumberFormat="1" applyFont="1" applyFill="1" applyBorder="1" applyAlignment="1" applyProtection="1">
      <alignment horizontal="center" vertical="center"/>
    </xf>
    <xf numFmtId="1" fontId="3" fillId="3" borderId="22" xfId="0" applyNumberFormat="1" applyFont="1" applyFill="1" applyBorder="1" applyAlignment="1" applyProtection="1">
      <alignment horizontal="center" vertical="center"/>
    </xf>
    <xf numFmtId="1" fontId="3" fillId="3" borderId="21" xfId="0" applyNumberFormat="1" applyFont="1" applyFill="1" applyBorder="1" applyAlignment="1" applyProtection="1">
      <alignment horizontal="center" vertical="center"/>
    </xf>
    <xf numFmtId="14" fontId="11" fillId="21" borderId="11" xfId="0" applyNumberFormat="1" applyFont="1" applyFill="1" applyBorder="1" applyAlignment="1" applyProtection="1">
      <alignment horizontal="center" vertical="center"/>
    </xf>
    <xf numFmtId="165" fontId="3" fillId="15" borderId="74" xfId="0" applyNumberFormat="1" applyFont="1" applyFill="1" applyBorder="1" applyAlignment="1" applyProtection="1">
      <alignment horizontal="center" vertical="center"/>
    </xf>
    <xf numFmtId="165" fontId="11" fillId="8" borderId="66" xfId="0" applyNumberFormat="1" applyFont="1" applyFill="1" applyBorder="1" applyAlignment="1" applyProtection="1">
      <alignment horizontal="center" vertical="center"/>
    </xf>
    <xf numFmtId="165" fontId="11" fillId="28" borderId="7" xfId="0" applyNumberFormat="1" applyFont="1" applyFill="1" applyBorder="1" applyAlignment="1" applyProtection="1">
      <alignment horizontal="center" vertical="center"/>
    </xf>
    <xf numFmtId="0" fontId="3" fillId="15" borderId="14" xfId="0" applyFont="1" applyFill="1" applyBorder="1" applyAlignment="1" applyProtection="1">
      <alignment horizontal="center" vertical="center"/>
    </xf>
    <xf numFmtId="49" fontId="3" fillId="15" borderId="34" xfId="0" applyNumberFormat="1" applyFont="1" applyFill="1" applyBorder="1" applyAlignment="1" applyProtection="1">
      <alignment horizontal="center" vertical="center"/>
    </xf>
    <xf numFmtId="168" fontId="3" fillId="15" borderId="17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32" borderId="16" xfId="0" applyFont="1" applyFill="1" applyBorder="1" applyAlignment="1">
      <alignment horizontal="center" vertical="center"/>
    </xf>
    <xf numFmtId="0" fontId="2" fillId="32" borderId="10" xfId="0" applyFont="1" applyFill="1" applyBorder="1" applyAlignment="1">
      <alignment horizontal="center" vertical="center"/>
    </xf>
    <xf numFmtId="0" fontId="2" fillId="32" borderId="17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8" xfId="0" applyFont="1" applyFill="1" applyBorder="1" applyAlignment="1">
      <alignment horizontal="center" vertical="center"/>
    </xf>
    <xf numFmtId="0" fontId="2" fillId="32" borderId="14" xfId="0" applyFont="1" applyFill="1" applyBorder="1" applyAlignment="1">
      <alignment horizontal="center" vertical="center"/>
    </xf>
    <xf numFmtId="0" fontId="2" fillId="32" borderId="34" xfId="0" applyFont="1" applyFill="1" applyBorder="1" applyAlignment="1">
      <alignment horizontal="center" vertical="center"/>
    </xf>
    <xf numFmtId="0" fontId="2" fillId="32" borderId="21" xfId="0" applyFont="1" applyFill="1" applyBorder="1" applyAlignment="1">
      <alignment horizontal="center" vertical="center"/>
    </xf>
    <xf numFmtId="0" fontId="2" fillId="13" borderId="31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2" fillId="36" borderId="31" xfId="0" applyFont="1" applyFill="1" applyBorder="1" applyAlignment="1">
      <alignment horizontal="center" vertical="center"/>
    </xf>
    <xf numFmtId="0" fontId="2" fillId="36" borderId="32" xfId="0" applyFont="1" applyFill="1" applyBorder="1" applyAlignment="1">
      <alignment horizontal="center" vertical="center"/>
    </xf>
    <xf numFmtId="0" fontId="2" fillId="36" borderId="16" xfId="0" applyFont="1" applyFill="1" applyBorder="1" applyAlignment="1">
      <alignment horizontal="center" vertical="center"/>
    </xf>
    <xf numFmtId="0" fontId="2" fillId="36" borderId="10" xfId="0" applyFont="1" applyFill="1" applyBorder="1" applyAlignment="1">
      <alignment horizontal="center" vertical="center"/>
    </xf>
    <xf numFmtId="0" fontId="2" fillId="36" borderId="17" xfId="0" applyFont="1" applyFill="1" applyBorder="1" applyAlignment="1">
      <alignment horizontal="center" vertical="center"/>
    </xf>
    <xf numFmtId="0" fontId="2" fillId="36" borderId="11" xfId="0" quotePrefix="1" applyFont="1" applyFill="1" applyBorder="1" applyAlignment="1">
      <alignment horizontal="center" vertical="center"/>
    </xf>
    <xf numFmtId="0" fontId="2" fillId="36" borderId="18" xfId="0" applyFont="1" applyFill="1" applyBorder="1" applyAlignment="1">
      <alignment horizontal="center" vertical="center"/>
    </xf>
    <xf numFmtId="0" fontId="2" fillId="36" borderId="14" xfId="0" applyFont="1" applyFill="1" applyBorder="1" applyAlignment="1">
      <alignment horizontal="center" vertical="center"/>
    </xf>
    <xf numFmtId="0" fontId="2" fillId="36" borderId="20" xfId="0" applyFont="1" applyFill="1" applyBorder="1" applyAlignment="1">
      <alignment horizontal="center" vertical="center"/>
    </xf>
    <xf numFmtId="0" fontId="2" fillId="36" borderId="3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3" borderId="17" xfId="0" applyFont="1" applyFill="1" applyBorder="1" applyAlignment="1">
      <alignment vertical="center"/>
    </xf>
    <xf numFmtId="0" fontId="2" fillId="13" borderId="11" xfId="0" applyFont="1" applyFill="1" applyBorder="1" applyAlignment="1">
      <alignment vertical="center"/>
    </xf>
    <xf numFmtId="0" fontId="2" fillId="13" borderId="18" xfId="0" applyFont="1" applyFill="1" applyBorder="1" applyAlignment="1">
      <alignment vertical="center"/>
    </xf>
    <xf numFmtId="0" fontId="2" fillId="13" borderId="14" xfId="0" applyFont="1" applyFill="1" applyBorder="1" applyAlignment="1">
      <alignment vertical="center"/>
    </xf>
    <xf numFmtId="0" fontId="2" fillId="10" borderId="16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2" fillId="10" borderId="18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34" borderId="16" xfId="0" applyFont="1" applyFill="1" applyBorder="1" applyAlignment="1">
      <alignment horizontal="center"/>
    </xf>
    <xf numFmtId="0" fontId="2" fillId="34" borderId="10" xfId="0" applyFont="1" applyFill="1" applyBorder="1" applyAlignment="1">
      <alignment horizontal="center"/>
    </xf>
    <xf numFmtId="0" fontId="2" fillId="34" borderId="18" xfId="0" applyFont="1" applyFill="1" applyBorder="1" applyAlignment="1">
      <alignment horizontal="center"/>
    </xf>
    <xf numFmtId="0" fontId="2" fillId="34" borderId="14" xfId="0" applyFont="1" applyFill="1" applyBorder="1" applyAlignment="1">
      <alignment horizontal="center"/>
    </xf>
    <xf numFmtId="0" fontId="2" fillId="33" borderId="31" xfId="0" applyFont="1" applyFill="1" applyBorder="1" applyAlignment="1">
      <alignment horizontal="center"/>
    </xf>
    <xf numFmtId="0" fontId="2" fillId="33" borderId="32" xfId="0" applyFont="1" applyFill="1" applyBorder="1" applyAlignment="1">
      <alignment horizontal="center"/>
    </xf>
    <xf numFmtId="0" fontId="2" fillId="33" borderId="20" xfId="0" applyFont="1" applyFill="1" applyBorder="1" applyAlignment="1">
      <alignment horizontal="center"/>
    </xf>
    <xf numFmtId="0" fontId="2" fillId="33" borderId="38" xfId="0" applyFont="1" applyFill="1" applyBorder="1" applyAlignment="1">
      <alignment horizontal="center"/>
    </xf>
    <xf numFmtId="0" fontId="2" fillId="35" borderId="16" xfId="0" applyFont="1" applyFill="1" applyBorder="1" applyAlignment="1">
      <alignment horizontal="center"/>
    </xf>
    <xf numFmtId="0" fontId="2" fillId="35" borderId="10" xfId="0" applyFont="1" applyFill="1" applyBorder="1" applyAlignment="1">
      <alignment horizontal="center"/>
    </xf>
    <xf numFmtId="0" fontId="2" fillId="35" borderId="17" xfId="0" applyFont="1" applyFill="1" applyBorder="1" applyAlignment="1">
      <alignment horizontal="center"/>
    </xf>
    <xf numFmtId="0" fontId="2" fillId="35" borderId="11" xfId="0" applyFont="1" applyFill="1" applyBorder="1" applyAlignment="1">
      <alignment horizontal="center"/>
    </xf>
    <xf numFmtId="0" fontId="2" fillId="35" borderId="18" xfId="0" applyFont="1" applyFill="1" applyBorder="1" applyAlignment="1">
      <alignment horizontal="center"/>
    </xf>
    <xf numFmtId="0" fontId="2" fillId="35" borderId="14" xfId="0" applyFont="1" applyFill="1" applyBorder="1" applyAlignment="1">
      <alignment horizontal="center"/>
    </xf>
    <xf numFmtId="0" fontId="2" fillId="37" borderId="16" xfId="0" applyFont="1" applyFill="1" applyBorder="1" applyAlignment="1">
      <alignment horizontal="center"/>
    </xf>
    <xf numFmtId="0" fontId="2" fillId="37" borderId="10" xfId="0" applyFont="1" applyFill="1" applyBorder="1" applyAlignment="1">
      <alignment horizontal="center"/>
    </xf>
    <xf numFmtId="0" fontId="2" fillId="37" borderId="17" xfId="0" applyFont="1" applyFill="1" applyBorder="1" applyAlignment="1">
      <alignment horizontal="center"/>
    </xf>
    <xf numFmtId="0" fontId="2" fillId="37" borderId="11" xfId="0" applyFont="1" applyFill="1" applyBorder="1" applyAlignment="1">
      <alignment horizontal="center"/>
    </xf>
    <xf numFmtId="0" fontId="2" fillId="37" borderId="18" xfId="0" applyFont="1" applyFill="1" applyBorder="1" applyAlignment="1">
      <alignment horizontal="center"/>
    </xf>
    <xf numFmtId="0" fontId="2" fillId="37" borderId="14" xfId="0" applyFont="1" applyFill="1" applyBorder="1" applyAlignment="1">
      <alignment horizontal="center"/>
    </xf>
    <xf numFmtId="2" fontId="3" fillId="3" borderId="11" xfId="0" applyNumberFormat="1" applyFont="1" applyFill="1" applyBorder="1" applyAlignment="1" applyProtection="1">
      <alignment horizontal="center" vertical="center"/>
    </xf>
    <xf numFmtId="14" fontId="3" fillId="13" borderId="81" xfId="0" applyNumberFormat="1" applyFont="1" applyFill="1" applyBorder="1" applyAlignment="1" applyProtection="1">
      <alignment horizontal="center" vertical="center"/>
    </xf>
    <xf numFmtId="164" fontId="4" fillId="5" borderId="15" xfId="0" applyNumberFormat="1" applyFont="1" applyFill="1" applyBorder="1" applyAlignment="1" applyProtection="1">
      <alignment horizontal="center" vertical="center"/>
    </xf>
    <xf numFmtId="167" fontId="4" fillId="12" borderId="6" xfId="0" applyNumberFormat="1" applyFont="1" applyFill="1" applyBorder="1" applyAlignment="1" applyProtection="1">
      <alignment horizontal="center" vertical="center"/>
    </xf>
    <xf numFmtId="0" fontId="3" fillId="13" borderId="63" xfId="0" applyFont="1" applyFill="1" applyBorder="1" applyAlignment="1" applyProtection="1">
      <alignment horizontal="center" vertical="center"/>
    </xf>
    <xf numFmtId="14" fontId="3" fillId="13" borderId="10" xfId="0" applyNumberFormat="1" applyFont="1" applyFill="1" applyBorder="1" applyAlignment="1" applyProtection="1">
      <alignment horizontal="center" vertical="center"/>
    </xf>
    <xf numFmtId="0" fontId="3" fillId="21" borderId="63" xfId="0" applyFont="1" applyFill="1" applyBorder="1" applyAlignment="1" applyProtection="1">
      <alignment horizontal="center" vertical="center"/>
    </xf>
    <xf numFmtId="14" fontId="3" fillId="21" borderId="10" xfId="0" applyNumberFormat="1" applyFont="1" applyFill="1" applyBorder="1" applyAlignment="1" applyProtection="1">
      <alignment horizontal="center" vertical="center"/>
    </xf>
    <xf numFmtId="0" fontId="3" fillId="13" borderId="16" xfId="0" applyFont="1" applyFill="1" applyBorder="1" applyAlignment="1" applyProtection="1">
      <alignment horizontal="center" vertical="center"/>
    </xf>
    <xf numFmtId="14" fontId="39" fillId="8" borderId="5" xfId="0" applyNumberFormat="1" applyFont="1" applyFill="1" applyBorder="1" applyAlignment="1" applyProtection="1">
      <alignment horizontal="center" vertical="center"/>
    </xf>
    <xf numFmtId="165" fontId="3" fillId="28" borderId="70" xfId="0" applyNumberFormat="1" applyFont="1" applyFill="1" applyBorder="1" applyAlignment="1" applyProtection="1">
      <alignment horizontal="center" vertical="center"/>
    </xf>
    <xf numFmtId="0" fontId="2" fillId="19" borderId="10" xfId="0" applyFont="1" applyFill="1" applyBorder="1" applyAlignment="1" applyProtection="1">
      <alignment horizontal="center" vertical="center"/>
    </xf>
    <xf numFmtId="0" fontId="3" fillId="15" borderId="74" xfId="0" applyFont="1" applyFill="1" applyBorder="1" applyAlignment="1" applyProtection="1">
      <alignment horizontal="center" vertical="center"/>
    </xf>
    <xf numFmtId="0" fontId="3" fillId="28" borderId="47" xfId="0" applyFont="1" applyFill="1" applyBorder="1" applyAlignment="1" applyProtection="1">
      <alignment horizontal="center" vertical="center"/>
    </xf>
    <xf numFmtId="0" fontId="3" fillId="15" borderId="26" xfId="0" applyFont="1" applyFill="1" applyBorder="1" applyAlignment="1" applyProtection="1">
      <alignment horizontal="center" vertical="center"/>
    </xf>
    <xf numFmtId="0" fontId="22" fillId="8" borderId="10" xfId="0" applyFont="1" applyFill="1" applyBorder="1" applyAlignment="1" applyProtection="1">
      <alignment horizontal="center" vertical="center"/>
    </xf>
    <xf numFmtId="0" fontId="14" fillId="0" borderId="1" xfId="0" quotePrefix="1" applyFont="1" applyFill="1" applyBorder="1" applyAlignment="1" applyProtection="1">
      <alignment horizontal="center" vertical="center"/>
    </xf>
    <xf numFmtId="0" fontId="32" fillId="0" borderId="0" xfId="0" applyFont="1" applyFill="1" applyAlignment="1" applyProtection="1">
      <alignment horizontal="center" vertical="center"/>
    </xf>
    <xf numFmtId="0" fontId="40" fillId="19" borderId="15" xfId="0" applyFont="1" applyFill="1" applyBorder="1" applyAlignment="1" applyProtection="1">
      <alignment horizontal="center" vertical="center"/>
    </xf>
    <xf numFmtId="14" fontId="11" fillId="8" borderId="66" xfId="0" applyNumberFormat="1" applyFont="1" applyFill="1" applyBorder="1" applyAlignment="1" applyProtection="1">
      <alignment horizontal="center" vertical="center"/>
    </xf>
    <xf numFmtId="1" fontId="9" fillId="8" borderId="25" xfId="0" applyNumberFormat="1" applyFont="1" applyFill="1" applyBorder="1" applyAlignment="1" applyProtection="1">
      <alignment horizontal="center" vertical="center"/>
    </xf>
    <xf numFmtId="1" fontId="3" fillId="15" borderId="33" xfId="0" applyNumberFormat="1" applyFont="1" applyFill="1" applyBorder="1" applyAlignment="1" applyProtection="1">
      <alignment horizontal="center" vertical="center"/>
    </xf>
    <xf numFmtId="0" fontId="3" fillId="15" borderId="3" xfId="0" applyFont="1" applyFill="1" applyBorder="1" applyAlignment="1" applyProtection="1">
      <alignment horizontal="center" vertical="center"/>
    </xf>
    <xf numFmtId="1" fontId="3" fillId="15" borderId="29" xfId="0" applyNumberFormat="1" applyFont="1" applyFill="1" applyBorder="1" applyAlignment="1" applyProtection="1">
      <alignment horizontal="center" vertical="center"/>
    </xf>
    <xf numFmtId="14" fontId="33" fillId="8" borderId="10" xfId="0" applyNumberFormat="1" applyFont="1" applyFill="1" applyBorder="1" applyAlignment="1" applyProtection="1">
      <alignment horizontal="center" vertical="center"/>
    </xf>
    <xf numFmtId="1" fontId="29" fillId="15" borderId="17" xfId="0" applyNumberFormat="1" applyFont="1" applyFill="1" applyBorder="1" applyAlignment="1" applyProtection="1">
      <alignment horizontal="center" vertical="center"/>
    </xf>
    <xf numFmtId="1" fontId="9" fillId="8" borderId="11" xfId="0" applyNumberFormat="1" applyFont="1" applyFill="1" applyBorder="1" applyAlignment="1" applyProtection="1">
      <alignment horizontal="center" vertical="center"/>
    </xf>
    <xf numFmtId="14" fontId="11" fillId="8" borderId="14" xfId="0" applyNumberFormat="1" applyFont="1" applyFill="1" applyBorder="1" applyAlignment="1" applyProtection="1">
      <alignment horizontal="center" vertical="center"/>
    </xf>
    <xf numFmtId="164" fontId="4" fillId="8" borderId="14" xfId="0" applyNumberFormat="1" applyFont="1" applyFill="1" applyBorder="1" applyAlignment="1" applyProtection="1">
      <alignment horizontal="center" vertical="center"/>
    </xf>
    <xf numFmtId="164" fontId="6" fillId="8" borderId="18" xfId="0" applyNumberFormat="1" applyFont="1" applyFill="1" applyBorder="1" applyAlignment="1" applyProtection="1">
      <alignment horizontal="center" vertical="center"/>
    </xf>
    <xf numFmtId="164" fontId="4" fillId="15" borderId="12" xfId="0" applyNumberFormat="1" applyFont="1" applyFill="1" applyBorder="1" applyAlignment="1" applyProtection="1">
      <alignment horizontal="center" vertical="center"/>
    </xf>
    <xf numFmtId="0" fontId="4" fillId="15" borderId="12" xfId="0" applyFont="1" applyFill="1" applyBorder="1" applyAlignment="1" applyProtection="1">
      <alignment horizontal="center" vertical="center"/>
    </xf>
    <xf numFmtId="0" fontId="4" fillId="8" borderId="12" xfId="0" applyFont="1" applyFill="1" applyBorder="1" applyAlignment="1" applyProtection="1">
      <alignment horizontal="center" vertical="center"/>
    </xf>
    <xf numFmtId="0" fontId="3" fillId="15" borderId="24" xfId="0" applyFont="1" applyFill="1" applyBorder="1" applyAlignment="1">
      <alignment horizontal="center" vertical="center" wrapText="1"/>
    </xf>
    <xf numFmtId="0" fontId="0" fillId="20" borderId="46" xfId="0" applyFont="1" applyFill="1" applyBorder="1" applyAlignment="1" applyProtection="1">
      <alignment horizontal="center" vertical="center"/>
    </xf>
    <xf numFmtId="0" fontId="5" fillId="3" borderId="15" xfId="0" applyFont="1" applyFill="1" applyBorder="1" applyAlignment="1" applyProtection="1">
      <alignment horizontal="center" vertical="center"/>
    </xf>
    <xf numFmtId="0" fontId="5" fillId="15" borderId="6" xfId="0" applyFont="1" applyFill="1" applyBorder="1" applyAlignment="1" applyProtection="1">
      <alignment horizontal="center" vertical="center"/>
    </xf>
    <xf numFmtId="0" fontId="11" fillId="8" borderId="10" xfId="0" applyFont="1" applyFill="1" applyBorder="1" applyAlignment="1" applyProtection="1">
      <alignment horizontal="center" vertical="center"/>
    </xf>
    <xf numFmtId="0" fontId="40" fillId="20" borderId="6" xfId="0" applyFont="1" applyFill="1" applyBorder="1" applyAlignment="1">
      <alignment horizontal="center" vertical="center"/>
    </xf>
    <xf numFmtId="0" fontId="20" fillId="15" borderId="6" xfId="0" applyFont="1" applyFill="1" applyBorder="1" applyAlignment="1" applyProtection="1">
      <alignment horizontal="center" vertical="center"/>
    </xf>
    <xf numFmtId="165" fontId="3" fillId="15" borderId="65" xfId="0" applyNumberFormat="1" applyFont="1" applyFill="1" applyBorder="1" applyAlignment="1" applyProtection="1">
      <alignment horizontal="center" vertical="center"/>
    </xf>
    <xf numFmtId="165" fontId="42" fillId="8" borderId="38" xfId="0" applyNumberFormat="1" applyFont="1" applyFill="1" applyBorder="1" applyAlignment="1" applyProtection="1">
      <alignment horizontal="center" vertical="center"/>
    </xf>
    <xf numFmtId="165" fontId="3" fillId="15" borderId="69" xfId="0" applyNumberFormat="1" applyFont="1" applyFill="1" applyBorder="1" applyAlignment="1" applyProtection="1">
      <alignment horizontal="center" vertical="center"/>
    </xf>
    <xf numFmtId="0" fontId="3" fillId="15" borderId="57" xfId="0" applyFont="1" applyFill="1" applyBorder="1" applyAlignment="1" applyProtection="1">
      <alignment horizontal="center" vertical="center"/>
    </xf>
    <xf numFmtId="164" fontId="11" fillId="8" borderId="27" xfId="0" applyNumberFormat="1" applyFont="1" applyFill="1" applyBorder="1" applyAlignment="1" applyProtection="1">
      <alignment horizontal="center" vertical="center"/>
    </xf>
    <xf numFmtId="0" fontId="5" fillId="3" borderId="58" xfId="0" applyFont="1" applyFill="1" applyBorder="1" applyAlignment="1" applyProtection="1">
      <alignment horizontal="center" vertical="center"/>
    </xf>
    <xf numFmtId="0" fontId="5" fillId="19" borderId="27" xfId="0" applyFont="1" applyFill="1" applyBorder="1" applyAlignment="1" applyProtection="1">
      <alignment horizontal="center" vertical="center"/>
    </xf>
    <xf numFmtId="14" fontId="5" fillId="21" borderId="7" xfId="0" applyNumberFormat="1" applyFont="1" applyFill="1" applyBorder="1" applyAlignment="1" applyProtection="1">
      <alignment horizontal="center" vertical="center"/>
    </xf>
    <xf numFmtId="0" fontId="11" fillId="20" borderId="67" xfId="0" applyFont="1" applyFill="1" applyBorder="1" applyAlignment="1" applyProtection="1">
      <alignment horizontal="center" vertical="center"/>
    </xf>
    <xf numFmtId="0" fontId="11" fillId="20" borderId="47" xfId="0" applyFont="1" applyFill="1" applyBorder="1" applyAlignment="1" applyProtection="1">
      <alignment horizontal="center" vertical="center"/>
    </xf>
    <xf numFmtId="0" fontId="11" fillId="20" borderId="62" xfId="0" applyFont="1" applyFill="1" applyBorder="1" applyAlignment="1" applyProtection="1">
      <alignment horizontal="center" vertical="center"/>
    </xf>
    <xf numFmtId="0" fontId="11" fillId="20" borderId="71" xfId="0" applyFont="1" applyFill="1" applyBorder="1" applyAlignment="1" applyProtection="1">
      <alignment horizontal="center" vertical="center"/>
    </xf>
    <xf numFmtId="0" fontId="11" fillId="20" borderId="65" xfId="0" applyFont="1" applyFill="1" applyBorder="1" applyAlignment="1" applyProtection="1">
      <alignment horizontal="center" vertical="center"/>
    </xf>
    <xf numFmtId="0" fontId="11" fillId="20" borderId="73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1" fontId="3" fillId="15" borderId="16" xfId="0" applyNumberFormat="1" applyFont="1" applyFill="1" applyBorder="1" applyAlignment="1" applyProtection="1">
      <alignment horizontal="center" vertical="center"/>
    </xf>
    <xf numFmtId="1" fontId="3" fillId="15" borderId="10" xfId="0" applyNumberFormat="1" applyFont="1" applyFill="1" applyBorder="1" applyAlignment="1" applyProtection="1">
      <alignment horizontal="center" vertical="center"/>
    </xf>
    <xf numFmtId="14" fontId="34" fillId="21" borderId="52" xfId="0" applyNumberFormat="1" applyFont="1" applyFill="1" applyBorder="1" applyAlignment="1" applyProtection="1">
      <alignment horizontal="center" vertical="center"/>
    </xf>
    <xf numFmtId="14" fontId="34" fillId="21" borderId="53" xfId="0" applyNumberFormat="1" applyFont="1" applyFill="1" applyBorder="1" applyAlignment="1" applyProtection="1">
      <alignment horizontal="center" vertical="center"/>
    </xf>
    <xf numFmtId="14" fontId="34" fillId="21" borderId="75" xfId="0" applyNumberFormat="1" applyFont="1" applyFill="1" applyBorder="1" applyAlignment="1" applyProtection="1">
      <alignment horizontal="center" vertical="center"/>
    </xf>
    <xf numFmtId="14" fontId="34" fillId="21" borderId="73" xfId="0" applyNumberFormat="1" applyFont="1" applyFill="1" applyBorder="1" applyAlignment="1" applyProtection="1">
      <alignment horizontal="center" vertical="center"/>
    </xf>
    <xf numFmtId="168" fontId="3" fillId="8" borderId="1" xfId="0" applyNumberFormat="1" applyFont="1" applyFill="1" applyBorder="1" applyAlignment="1" applyProtection="1">
      <alignment horizontal="center" vertical="center"/>
    </xf>
    <xf numFmtId="168" fontId="3" fillId="8" borderId="24" xfId="0" applyNumberFormat="1" applyFont="1" applyFill="1" applyBorder="1" applyAlignment="1" applyProtection="1">
      <alignment horizontal="center" vertical="center"/>
    </xf>
    <xf numFmtId="49" fontId="41" fillId="8" borderId="1" xfId="2" applyNumberFormat="1" applyFont="1" applyFill="1" applyBorder="1" applyAlignment="1" applyProtection="1">
      <alignment horizontal="center" vertical="center"/>
    </xf>
    <xf numFmtId="49" fontId="41" fillId="8" borderId="11" xfId="2" applyNumberFormat="1" applyFont="1" applyFill="1" applyBorder="1" applyAlignment="1" applyProtection="1">
      <alignment horizontal="center" vertical="center"/>
    </xf>
    <xf numFmtId="0" fontId="3" fillId="20" borderId="5" xfId="0" applyFont="1" applyFill="1" applyBorder="1" applyAlignment="1" applyProtection="1">
      <alignment horizontal="center" vertical="center"/>
    </xf>
    <xf numFmtId="0" fontId="3" fillId="20" borderId="53" xfId="0" applyFont="1" applyFill="1" applyBorder="1" applyAlignment="1" applyProtection="1">
      <alignment horizontal="center" vertical="center"/>
    </xf>
    <xf numFmtId="0" fontId="43" fillId="23" borderId="52" xfId="0" quotePrefix="1" applyFont="1" applyFill="1" applyBorder="1" applyAlignment="1" applyProtection="1">
      <alignment horizontal="center" vertical="center"/>
    </xf>
    <xf numFmtId="0" fontId="43" fillId="23" borderId="53" xfId="0" quotePrefix="1" applyFont="1" applyFill="1" applyBorder="1" applyAlignment="1" applyProtection="1">
      <alignment horizontal="center" vertical="center"/>
    </xf>
    <xf numFmtId="49" fontId="44" fillId="5" borderId="72" xfId="0" applyNumberFormat="1" applyFont="1" applyFill="1" applyBorder="1" applyAlignment="1">
      <alignment horizontal="center" vertical="center"/>
    </xf>
    <xf numFmtId="49" fontId="44" fillId="5" borderId="73" xfId="0" applyNumberFormat="1" applyFont="1" applyFill="1" applyBorder="1" applyAlignment="1">
      <alignment horizontal="center" vertical="center"/>
    </xf>
    <xf numFmtId="0" fontId="11" fillId="20" borderId="17" xfId="0" applyFont="1" applyFill="1" applyBorder="1" applyAlignment="1" applyProtection="1">
      <alignment horizontal="center" vertical="center"/>
    </xf>
    <xf numFmtId="0" fontId="11" fillId="20" borderId="11" xfId="0" applyFont="1" applyFill="1" applyBorder="1" applyAlignment="1" applyProtection="1">
      <alignment horizontal="center" vertical="center"/>
    </xf>
    <xf numFmtId="0" fontId="11" fillId="20" borderId="18" xfId="0" applyFont="1" applyFill="1" applyBorder="1" applyAlignment="1" applyProtection="1">
      <alignment horizontal="center" vertical="center"/>
    </xf>
    <xf numFmtId="0" fontId="11" fillId="20" borderId="14" xfId="0" applyFont="1" applyFill="1" applyBorder="1" applyAlignment="1" applyProtection="1">
      <alignment horizontal="center" vertical="center"/>
    </xf>
    <xf numFmtId="0" fontId="11" fillId="19" borderId="51" xfId="2" applyNumberFormat="1" applyFont="1" applyFill="1" applyBorder="1" applyAlignment="1" applyProtection="1">
      <alignment horizontal="center" vertical="center"/>
    </xf>
    <xf numFmtId="0" fontId="11" fillId="19" borderId="85" xfId="2" applyNumberFormat="1" applyFont="1" applyFill="1" applyBorder="1" applyAlignment="1" applyProtection="1">
      <alignment horizontal="center" vertical="center"/>
    </xf>
    <xf numFmtId="0" fontId="11" fillId="19" borderId="46" xfId="2" applyNumberFormat="1" applyFont="1" applyFill="1" applyBorder="1" applyAlignment="1" applyProtection="1">
      <alignment horizontal="center" vertical="center"/>
    </xf>
    <xf numFmtId="0" fontId="11" fillId="19" borderId="51" xfId="2" applyNumberFormat="1" applyFont="1" applyFill="1" applyBorder="1" applyAlignment="1" applyProtection="1">
      <alignment horizontal="left" vertical="center" wrapText="1"/>
    </xf>
    <xf numFmtId="0" fontId="11" fillId="19" borderId="85" xfId="2" applyNumberFormat="1" applyFont="1" applyFill="1" applyBorder="1" applyAlignment="1" applyProtection="1">
      <alignment horizontal="left" vertical="center" wrapText="1"/>
    </xf>
    <xf numFmtId="0" fontId="11" fillId="19" borderId="46" xfId="2" applyNumberFormat="1" applyFont="1" applyFill="1" applyBorder="1" applyAlignment="1" applyProtection="1">
      <alignment horizontal="left" vertical="center" wrapText="1"/>
    </xf>
    <xf numFmtId="14" fontId="4" fillId="8" borderId="9" xfId="0" applyNumberFormat="1" applyFont="1" applyFill="1" applyBorder="1" applyAlignment="1" applyProtection="1">
      <alignment horizontal="center" vertical="center"/>
    </xf>
    <xf numFmtId="14" fontId="4" fillId="8" borderId="66" xfId="0" applyNumberFormat="1" applyFont="1" applyFill="1" applyBorder="1" applyAlignment="1" applyProtection="1">
      <alignment horizontal="center" vertical="center"/>
    </xf>
    <xf numFmtId="1" fontId="11" fillId="8" borderId="12" xfId="0" applyNumberFormat="1" applyFont="1" applyFill="1" applyBorder="1" applyAlignment="1" applyProtection="1">
      <alignment horizontal="center" vertical="center"/>
    </xf>
    <xf numFmtId="1" fontId="11" fillId="8" borderId="25" xfId="0" applyNumberFormat="1" applyFont="1" applyFill="1" applyBorder="1" applyAlignment="1" applyProtection="1">
      <alignment horizontal="center" vertical="center"/>
    </xf>
    <xf numFmtId="2" fontId="11" fillId="8" borderId="37" xfId="0" applyNumberFormat="1" applyFont="1" applyFill="1" applyBorder="1" applyAlignment="1" applyProtection="1">
      <alignment horizontal="center" vertical="center"/>
    </xf>
    <xf numFmtId="2" fontId="11" fillId="8" borderId="72" xfId="0" applyNumberFormat="1" applyFont="1" applyFill="1" applyBorder="1" applyAlignment="1" applyProtection="1">
      <alignment horizontal="center" vertical="center"/>
    </xf>
    <xf numFmtId="0" fontId="0" fillId="8" borderId="61" xfId="0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0" fontId="3" fillId="15" borderId="16" xfId="0" applyFont="1" applyFill="1" applyBorder="1" applyAlignment="1" applyProtection="1">
      <alignment horizontal="center" vertical="center"/>
    </xf>
    <xf numFmtId="0" fontId="3" fillId="15" borderId="10" xfId="0" applyFont="1" applyFill="1" applyBorder="1" applyAlignment="1" applyProtection="1">
      <alignment horizontal="center" vertical="center"/>
    </xf>
    <xf numFmtId="14" fontId="3" fillId="14" borderId="79" xfId="0" applyNumberFormat="1" applyFont="1" applyFill="1" applyBorder="1" applyAlignment="1" applyProtection="1">
      <alignment horizontal="center" vertical="center"/>
    </xf>
    <xf numFmtId="14" fontId="3" fillId="14" borderId="70" xfId="0" applyNumberFormat="1" applyFont="1" applyFill="1" applyBorder="1" applyAlignment="1" applyProtection="1">
      <alignment horizontal="center" vertical="center"/>
    </xf>
    <xf numFmtId="0" fontId="3" fillId="8" borderId="17" xfId="0" applyFont="1" applyFill="1" applyBorder="1" applyAlignment="1" applyProtection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11" fillId="20" borderId="4" xfId="0" applyFont="1" applyFill="1" applyBorder="1" applyAlignment="1" applyProtection="1">
      <alignment horizontal="center" vertical="center"/>
    </xf>
    <xf numFmtId="0" fontId="11" fillId="20" borderId="6" xfId="0" applyFont="1" applyFill="1" applyBorder="1" applyAlignment="1" applyProtection="1">
      <alignment horizontal="center" vertical="center"/>
    </xf>
    <xf numFmtId="169" fontId="42" fillId="8" borderId="9" xfId="0" applyNumberFormat="1" applyFont="1" applyFill="1" applyBorder="1" applyAlignment="1" applyProtection="1">
      <alignment horizontal="center" vertical="center"/>
    </xf>
    <xf numFmtId="169" fontId="42" fillId="8" borderId="10" xfId="0" applyNumberFormat="1" applyFont="1" applyFill="1" applyBorder="1" applyAlignment="1" applyProtection="1">
      <alignment horizontal="center" vertical="center"/>
    </xf>
    <xf numFmtId="169" fontId="3" fillId="8" borderId="1" xfId="0" applyNumberFormat="1" applyFont="1" applyFill="1" applyBorder="1" applyAlignment="1" applyProtection="1">
      <alignment horizontal="center" vertical="center"/>
    </xf>
    <xf numFmtId="169" fontId="3" fillId="8" borderId="11" xfId="0" applyNumberFormat="1" applyFont="1" applyFill="1" applyBorder="1" applyAlignment="1" applyProtection="1">
      <alignment horizontal="center" vertical="center"/>
    </xf>
    <xf numFmtId="0" fontId="11" fillId="8" borderId="12" xfId="2" applyNumberFormat="1" applyFont="1" applyFill="1" applyBorder="1" applyAlignment="1" applyProtection="1">
      <alignment horizontal="center" vertical="center"/>
    </xf>
    <xf numFmtId="0" fontId="11" fillId="8" borderId="25" xfId="2" applyNumberFormat="1" applyFont="1" applyFill="1" applyBorder="1" applyAlignment="1" applyProtection="1">
      <alignment horizontal="center" vertical="center"/>
    </xf>
    <xf numFmtId="0" fontId="11" fillId="8" borderId="22" xfId="2" applyNumberFormat="1" applyFont="1" applyFill="1" applyBorder="1" applyAlignment="1" applyProtection="1">
      <alignment horizontal="center" vertical="center"/>
    </xf>
    <xf numFmtId="0" fontId="11" fillId="8" borderId="39" xfId="2" applyNumberFormat="1" applyFont="1" applyFill="1" applyBorder="1" applyAlignment="1" applyProtection="1">
      <alignment horizontal="center" vertical="center"/>
    </xf>
    <xf numFmtId="2" fontId="11" fillId="8" borderId="12" xfId="0" applyNumberFormat="1" applyFont="1" applyFill="1" applyBorder="1" applyAlignment="1" applyProtection="1">
      <alignment horizontal="center" vertical="center"/>
    </xf>
    <xf numFmtId="2" fontId="11" fillId="8" borderId="25" xfId="0" applyNumberFormat="1" applyFont="1" applyFill="1" applyBorder="1" applyAlignment="1" applyProtection="1">
      <alignment horizontal="center" vertical="center"/>
    </xf>
    <xf numFmtId="0" fontId="30" fillId="3" borderId="82" xfId="0" applyFont="1" applyFill="1" applyBorder="1" applyAlignment="1" applyProtection="1">
      <alignment horizontal="center" vertical="center"/>
    </xf>
    <xf numFmtId="0" fontId="30" fillId="3" borderId="83" xfId="0" applyFont="1" applyFill="1" applyBorder="1" applyAlignment="1" applyProtection="1">
      <alignment horizontal="center" vertical="center"/>
    </xf>
    <xf numFmtId="0" fontId="3" fillId="12" borderId="18" xfId="0" applyFont="1" applyFill="1" applyBorder="1" applyAlignment="1" applyProtection="1">
      <alignment horizontal="center" vertical="center"/>
    </xf>
    <xf numFmtId="0" fontId="3" fillId="12" borderId="12" xfId="0" applyFont="1" applyFill="1" applyBorder="1" applyAlignment="1" applyProtection="1">
      <alignment horizontal="center" vertical="center"/>
    </xf>
    <xf numFmtId="164" fontId="5" fillId="9" borderId="15" xfId="0" applyNumberFormat="1" applyFont="1" applyFill="1" applyBorder="1" applyAlignment="1" applyProtection="1">
      <alignment horizontal="center" vertical="center"/>
    </xf>
    <xf numFmtId="164" fontId="5" fillId="9" borderId="4" xfId="0" applyNumberFormat="1" applyFont="1" applyFill="1" applyBorder="1" applyAlignment="1" applyProtection="1">
      <alignment horizontal="center" vertical="center"/>
    </xf>
    <xf numFmtId="0" fontId="5" fillId="18" borderId="34" xfId="0" applyFont="1" applyFill="1" applyBorder="1" applyAlignment="1" applyProtection="1">
      <alignment horizontal="center" vertical="center"/>
    </xf>
    <xf numFmtId="0" fontId="5" fillId="18" borderId="22" xfId="0" applyFont="1" applyFill="1" applyBorder="1" applyAlignment="1" applyProtection="1">
      <alignment horizontal="center" vertical="center"/>
    </xf>
    <xf numFmtId="0" fontId="5" fillId="18" borderId="18" xfId="0" applyFont="1" applyFill="1" applyBorder="1" applyAlignment="1" applyProtection="1">
      <alignment horizontal="center" vertical="center"/>
    </xf>
    <xf numFmtId="0" fontId="5" fillId="18" borderId="12" xfId="0" applyFont="1" applyFill="1" applyBorder="1" applyAlignment="1" applyProtection="1">
      <alignment horizontal="center" vertical="center"/>
    </xf>
    <xf numFmtId="164" fontId="4" fillId="18" borderId="21" xfId="0" applyNumberFormat="1" applyFont="1" applyFill="1" applyBorder="1" applyAlignment="1" applyProtection="1">
      <alignment horizontal="center" vertical="center"/>
    </xf>
    <xf numFmtId="164" fontId="4" fillId="18" borderId="14" xfId="0" applyNumberFormat="1" applyFont="1" applyFill="1" applyBorder="1" applyAlignment="1" applyProtection="1">
      <alignment horizontal="center" vertical="center"/>
    </xf>
    <xf numFmtId="0" fontId="3" fillId="18" borderId="16" xfId="0" applyFont="1" applyFill="1" applyBorder="1" applyAlignment="1" applyProtection="1">
      <alignment horizontal="center" vertical="center"/>
    </xf>
    <xf numFmtId="0" fontId="3" fillId="18" borderId="9" xfId="0" applyFont="1" applyFill="1" applyBorder="1" applyAlignment="1" applyProtection="1">
      <alignment horizontal="center" vertical="center"/>
    </xf>
    <xf numFmtId="0" fontId="3" fillId="21" borderId="17" xfId="0" applyFont="1" applyFill="1" applyBorder="1" applyAlignment="1" applyProtection="1">
      <alignment horizontal="center" vertical="center"/>
    </xf>
    <xf numFmtId="0" fontId="3" fillId="21" borderId="1" xfId="0" applyFont="1" applyFill="1" applyBorder="1" applyAlignment="1" applyProtection="1">
      <alignment horizontal="center" vertical="center"/>
    </xf>
    <xf numFmtId="171" fontId="22" fillId="18" borderId="4" xfId="0" applyNumberFormat="1" applyFont="1" applyFill="1" applyBorder="1" applyAlignment="1" applyProtection="1">
      <alignment horizontal="center" vertical="center"/>
    </xf>
    <xf numFmtId="171" fontId="22" fillId="18" borderId="6" xfId="0" applyNumberFormat="1" applyFont="1" applyFill="1" applyBorder="1" applyAlignment="1" applyProtection="1">
      <alignment horizontal="center" vertical="center"/>
    </xf>
    <xf numFmtId="0" fontId="3" fillId="18" borderId="18" xfId="0" applyFont="1" applyFill="1" applyBorder="1" applyAlignment="1" applyProtection="1">
      <alignment horizontal="center" vertical="center"/>
    </xf>
    <xf numFmtId="164" fontId="4" fillId="14" borderId="22" xfId="0" applyNumberFormat="1" applyFont="1" applyFill="1" applyBorder="1" applyAlignment="1" applyProtection="1">
      <alignment horizontal="center" vertical="center"/>
    </xf>
    <xf numFmtId="166" fontId="9" fillId="3" borderId="12" xfId="0" applyNumberFormat="1" applyFont="1" applyFill="1" applyBorder="1" applyAlignment="1" applyProtection="1">
      <alignment horizontal="center" vertical="center"/>
    </xf>
    <xf numFmtId="164" fontId="3" fillId="30" borderId="17" xfId="0" applyNumberFormat="1" applyFont="1" applyFill="1" applyBorder="1" applyAlignment="1" applyProtection="1">
      <alignment horizontal="center" vertical="center" wrapText="1"/>
    </xf>
    <xf numFmtId="164" fontId="3" fillId="30" borderId="1" xfId="0" applyNumberFormat="1" applyFont="1" applyFill="1" applyBorder="1" applyAlignment="1" applyProtection="1">
      <alignment horizontal="center" vertical="center" wrapText="1"/>
    </xf>
    <xf numFmtId="164" fontId="5" fillId="17" borderId="2" xfId="0" applyNumberFormat="1" applyFont="1" applyFill="1" applyBorder="1" applyAlignment="1" applyProtection="1">
      <alignment horizontal="center" vertical="center" wrapText="1"/>
    </xf>
    <xf numFmtId="164" fontId="5" fillId="17" borderId="19" xfId="0" applyNumberFormat="1" applyFont="1" applyFill="1" applyBorder="1" applyAlignment="1" applyProtection="1">
      <alignment horizontal="center" vertical="center" wrapText="1"/>
    </xf>
    <xf numFmtId="164" fontId="5" fillId="17" borderId="23" xfId="0" applyNumberFormat="1" applyFont="1" applyFill="1" applyBorder="1" applyAlignment="1" applyProtection="1">
      <alignment horizontal="center" vertical="center" wrapText="1"/>
    </xf>
    <xf numFmtId="164" fontId="5" fillId="3" borderId="41" xfId="0" applyNumberFormat="1" applyFont="1" applyFill="1" applyBorder="1" applyAlignment="1" applyProtection="1">
      <alignment horizontal="center" vertical="center"/>
    </xf>
    <xf numFmtId="164" fontId="5" fillId="3" borderId="32" xfId="0" applyNumberFormat="1" applyFont="1" applyFill="1" applyBorder="1" applyAlignment="1" applyProtection="1">
      <alignment horizontal="center" vertical="center"/>
    </xf>
    <xf numFmtId="49" fontId="5" fillId="19" borderId="31" xfId="0" applyNumberFormat="1" applyFont="1" applyFill="1" applyBorder="1" applyAlignment="1" applyProtection="1">
      <alignment horizontal="center" vertical="center"/>
    </xf>
    <xf numFmtId="49" fontId="5" fillId="19" borderId="41" xfId="0" applyNumberFormat="1" applyFont="1" applyFill="1" applyBorder="1" applyAlignment="1" applyProtection="1">
      <alignment horizontal="center" vertical="center"/>
    </xf>
    <xf numFmtId="49" fontId="5" fillId="19" borderId="32" xfId="0" applyNumberFormat="1" applyFont="1" applyFill="1" applyBorder="1" applyAlignment="1" applyProtection="1">
      <alignment horizontal="center" vertical="center"/>
    </xf>
    <xf numFmtId="0" fontId="4" fillId="4" borderId="31" xfId="0" applyFont="1" applyFill="1" applyBorder="1" applyAlignment="1" applyProtection="1">
      <alignment horizontal="center" vertical="center"/>
    </xf>
    <xf numFmtId="0" fontId="4" fillId="4" borderId="41" xfId="0" applyFont="1" applyFill="1" applyBorder="1" applyAlignment="1" applyProtection="1">
      <alignment horizontal="center" vertical="center"/>
    </xf>
    <xf numFmtId="1" fontId="4" fillId="5" borderId="41" xfId="0" applyNumberFormat="1" applyFont="1" applyFill="1" applyBorder="1" applyAlignment="1" applyProtection="1">
      <alignment horizontal="center" vertical="center"/>
    </xf>
    <xf numFmtId="1" fontId="4" fillId="5" borderId="32" xfId="0" applyNumberFormat="1" applyFont="1" applyFill="1" applyBorder="1" applyAlignment="1" applyProtection="1">
      <alignment horizontal="center" vertical="center"/>
    </xf>
    <xf numFmtId="0" fontId="5" fillId="16" borderId="52" xfId="0" applyFont="1" applyFill="1" applyBorder="1" applyAlignment="1" applyProtection="1">
      <alignment horizontal="center" vertical="center"/>
    </xf>
    <xf numFmtId="0" fontId="5" fillId="16" borderId="53" xfId="0" applyFont="1" applyFill="1" applyBorder="1" applyAlignment="1" applyProtection="1">
      <alignment horizontal="center" vertical="center"/>
    </xf>
    <xf numFmtId="0" fontId="5" fillId="16" borderId="54" xfId="0" applyFont="1" applyFill="1" applyBorder="1" applyAlignment="1" applyProtection="1">
      <alignment horizontal="center" vertical="center"/>
    </xf>
    <xf numFmtId="0" fontId="5" fillId="16" borderId="15" xfId="0" applyFont="1" applyFill="1" applyBorder="1" applyAlignment="1" applyProtection="1">
      <alignment horizontal="center" vertical="center"/>
    </xf>
    <xf numFmtId="0" fontId="5" fillId="16" borderId="6" xfId="0" applyFont="1" applyFill="1" applyBorder="1" applyAlignment="1" applyProtection="1">
      <alignment horizontal="center" vertical="center"/>
    </xf>
    <xf numFmtId="0" fontId="4" fillId="13" borderId="20" xfId="0" applyFont="1" applyFill="1" applyBorder="1" applyAlignment="1" applyProtection="1">
      <alignment horizontal="center" vertical="center"/>
    </xf>
    <xf numFmtId="0" fontId="4" fillId="13" borderId="37" xfId="0" applyFont="1" applyFill="1" applyBorder="1" applyAlignment="1" applyProtection="1">
      <alignment horizontal="center" vertical="center"/>
    </xf>
    <xf numFmtId="0" fontId="4" fillId="21" borderId="28" xfId="0" applyFont="1" applyFill="1" applyBorder="1" applyAlignment="1" applyProtection="1">
      <alignment horizontal="center" vertical="center"/>
    </xf>
    <xf numFmtId="0" fontId="4" fillId="21" borderId="35" xfId="0" applyFont="1" applyFill="1" applyBorder="1" applyAlignment="1" applyProtection="1">
      <alignment horizontal="center" vertical="center"/>
    </xf>
    <xf numFmtId="0" fontId="4" fillId="21" borderId="15" xfId="0" applyFont="1" applyFill="1" applyBorder="1" applyAlignment="1" applyProtection="1">
      <alignment horizontal="center" vertical="center"/>
    </xf>
    <xf numFmtId="0" fontId="4" fillId="21" borderId="4" xfId="0" applyFont="1" applyFill="1" applyBorder="1" applyAlignment="1" applyProtection="1">
      <alignment horizontal="center" vertical="center"/>
    </xf>
    <xf numFmtId="0" fontId="30" fillId="3" borderId="84" xfId="0" applyFont="1" applyFill="1" applyBorder="1" applyAlignment="1" applyProtection="1">
      <alignment horizontal="center" vertical="center"/>
    </xf>
    <xf numFmtId="164" fontId="4" fillId="22" borderId="4" xfId="0" applyNumberFormat="1" applyFont="1" applyFill="1" applyBorder="1" applyAlignment="1" applyProtection="1">
      <alignment horizontal="center" vertical="center"/>
    </xf>
    <xf numFmtId="164" fontId="4" fillId="22" borderId="6" xfId="0" applyNumberFormat="1" applyFont="1" applyFill="1" applyBorder="1" applyAlignment="1" applyProtection="1">
      <alignment horizontal="center" vertical="center"/>
    </xf>
    <xf numFmtId="164" fontId="12" fillId="6" borderId="37" xfId="0" applyNumberFormat="1" applyFont="1" applyFill="1" applyBorder="1" applyAlignment="1" applyProtection="1">
      <alignment horizontal="center" vertical="center"/>
    </xf>
    <xf numFmtId="164" fontId="12" fillId="6" borderId="38" xfId="0" applyNumberFormat="1" applyFont="1" applyFill="1" applyBorder="1" applyAlignment="1" applyProtection="1">
      <alignment horizontal="center" vertical="center"/>
    </xf>
    <xf numFmtId="164" fontId="4" fillId="17" borderId="10" xfId="0" applyNumberFormat="1" applyFont="1" applyFill="1" applyBorder="1" applyAlignment="1" applyProtection="1">
      <alignment horizontal="center" vertical="center"/>
    </xf>
    <xf numFmtId="164" fontId="4" fillId="17" borderId="11" xfId="0" applyNumberFormat="1" applyFont="1" applyFill="1" applyBorder="1" applyAlignment="1" applyProtection="1">
      <alignment horizontal="center" vertical="center"/>
    </xf>
    <xf numFmtId="164" fontId="4" fillId="17" borderId="14" xfId="0" applyNumberFormat="1" applyFont="1" applyFill="1" applyBorder="1" applyAlignment="1" applyProtection="1">
      <alignment horizontal="center" vertical="center"/>
    </xf>
    <xf numFmtId="164" fontId="20" fillId="19" borderId="48" xfId="0" applyNumberFormat="1" applyFont="1" applyFill="1" applyBorder="1" applyAlignment="1" applyProtection="1">
      <alignment horizontal="center" vertical="center"/>
    </xf>
    <xf numFmtId="164" fontId="20" fillId="19" borderId="47" xfId="0" applyNumberFormat="1" applyFont="1" applyFill="1" applyBorder="1" applyAlignment="1" applyProtection="1">
      <alignment horizontal="center" vertical="center"/>
    </xf>
    <xf numFmtId="164" fontId="23" fillId="21" borderId="41" xfId="0" applyNumberFormat="1" applyFont="1" applyFill="1" applyBorder="1" applyAlignment="1" applyProtection="1">
      <alignment horizontal="center" vertical="center"/>
    </xf>
    <xf numFmtId="164" fontId="23" fillId="21" borderId="32" xfId="0" applyNumberFormat="1" applyFont="1" applyFill="1" applyBorder="1" applyAlignment="1" applyProtection="1">
      <alignment horizontal="center" vertical="center"/>
    </xf>
    <xf numFmtId="165" fontId="5" fillId="16" borderId="15" xfId="0" applyNumberFormat="1" applyFont="1" applyFill="1" applyBorder="1" applyAlignment="1" applyProtection="1">
      <alignment horizontal="center" vertical="center"/>
    </xf>
    <xf numFmtId="165" fontId="5" fillId="16" borderId="4" xfId="0" applyNumberFormat="1" applyFont="1" applyFill="1" applyBorder="1" applyAlignment="1" applyProtection="1">
      <alignment horizontal="center" vertical="center"/>
    </xf>
    <xf numFmtId="164" fontId="5" fillId="6" borderId="4" xfId="0" applyNumberFormat="1" applyFont="1" applyFill="1" applyBorder="1" applyAlignment="1" applyProtection="1">
      <alignment horizontal="center" vertical="center"/>
    </xf>
    <xf numFmtId="164" fontId="5" fillId="6" borderId="6" xfId="0" applyNumberFormat="1" applyFont="1" applyFill="1" applyBorder="1" applyAlignment="1" applyProtection="1">
      <alignment horizontal="center" vertical="center"/>
    </xf>
    <xf numFmtId="165" fontId="5" fillId="17" borderId="15" xfId="0" applyNumberFormat="1" applyFont="1" applyFill="1" applyBorder="1" applyAlignment="1" applyProtection="1">
      <alignment horizontal="center" vertical="center"/>
    </xf>
    <xf numFmtId="165" fontId="5" fillId="17" borderId="4" xfId="0" applyNumberFormat="1" applyFont="1" applyFill="1" applyBorder="1" applyAlignment="1" applyProtection="1">
      <alignment horizontal="center" vertical="center"/>
    </xf>
    <xf numFmtId="165" fontId="23" fillId="19" borderId="31" xfId="0" applyNumberFormat="1" applyFont="1" applyFill="1" applyBorder="1" applyAlignment="1" applyProtection="1">
      <alignment horizontal="center" vertical="center"/>
    </xf>
    <xf numFmtId="165" fontId="23" fillId="19" borderId="41" xfId="0" applyNumberFormat="1" applyFont="1" applyFill="1" applyBorder="1" applyAlignment="1" applyProtection="1">
      <alignment horizontal="center" vertical="center"/>
    </xf>
    <xf numFmtId="164" fontId="5" fillId="9" borderId="6" xfId="0" applyNumberFormat="1" applyFont="1" applyFill="1" applyBorder="1" applyAlignment="1" applyProtection="1">
      <alignment horizontal="center" vertical="center"/>
    </xf>
    <xf numFmtId="164" fontId="5" fillId="3" borderId="9" xfId="0" applyNumberFormat="1" applyFont="1" applyFill="1" applyBorder="1" applyAlignment="1" applyProtection="1">
      <alignment horizontal="center" vertical="center"/>
    </xf>
    <xf numFmtId="164" fontId="5" fillId="3" borderId="10" xfId="0" applyNumberFormat="1" applyFont="1" applyFill="1" applyBorder="1" applyAlignment="1" applyProtection="1">
      <alignment horizontal="center" vertical="center"/>
    </xf>
    <xf numFmtId="166" fontId="9" fillId="3" borderId="25" xfId="0" applyNumberFormat="1" applyFont="1" applyFill="1" applyBorder="1" applyAlignment="1" applyProtection="1">
      <alignment horizontal="center" vertical="center"/>
    </xf>
    <xf numFmtId="166" fontId="9" fillId="3" borderId="29" xfId="0" applyNumberFormat="1" applyFont="1" applyFill="1" applyBorder="1" applyAlignment="1" applyProtection="1">
      <alignment horizontal="center" vertical="center"/>
    </xf>
    <xf numFmtId="0" fontId="3" fillId="18" borderId="17" xfId="0" applyFont="1" applyFill="1" applyBorder="1" applyAlignment="1" applyProtection="1">
      <alignment horizontal="center" vertical="center"/>
    </xf>
    <xf numFmtId="164" fontId="4" fillId="14" borderId="9" xfId="0" applyNumberFormat="1" applyFont="1" applyFill="1" applyBorder="1" applyAlignment="1" applyProtection="1">
      <alignment horizontal="center" vertical="center"/>
    </xf>
    <xf numFmtId="164" fontId="4" fillId="17" borderId="21" xfId="0" applyNumberFormat="1" applyFont="1" applyFill="1" applyBorder="1" applyAlignment="1" applyProtection="1">
      <alignment horizontal="center" vertical="center"/>
    </xf>
    <xf numFmtId="49" fontId="5" fillId="19" borderId="15" xfId="0" applyNumberFormat="1" applyFont="1" applyFill="1" applyBorder="1" applyAlignment="1" applyProtection="1">
      <alignment horizontal="center" vertical="center"/>
    </xf>
    <xf numFmtId="49" fontId="5" fillId="19" borderId="4" xfId="0" applyNumberFormat="1" applyFont="1" applyFill="1" applyBorder="1" applyAlignment="1" applyProtection="1">
      <alignment horizontal="center" vertical="center"/>
    </xf>
    <xf numFmtId="49" fontId="5" fillId="19" borderId="6" xfId="0" applyNumberFormat="1" applyFont="1" applyFill="1" applyBorder="1" applyAlignment="1" applyProtection="1">
      <alignment horizontal="center" vertical="center"/>
    </xf>
    <xf numFmtId="164" fontId="4" fillId="22" borderId="37" xfId="0" applyNumberFormat="1" applyFont="1" applyFill="1" applyBorder="1" applyAlignment="1" applyProtection="1">
      <alignment horizontal="center" vertical="center"/>
    </xf>
    <xf numFmtId="164" fontId="4" fillId="22" borderId="38" xfId="0" applyNumberFormat="1" applyFont="1" applyFill="1" applyBorder="1" applyAlignment="1" applyProtection="1">
      <alignment horizontal="center" vertical="center"/>
    </xf>
    <xf numFmtId="164" fontId="12" fillId="6" borderId="4" xfId="0" applyNumberFormat="1" applyFont="1" applyFill="1" applyBorder="1" applyAlignment="1" applyProtection="1">
      <alignment horizontal="center" vertical="center"/>
    </xf>
    <xf numFmtId="164" fontId="12" fillId="6" borderId="6" xfId="0" applyNumberFormat="1" applyFont="1" applyFill="1" applyBorder="1" applyAlignment="1" applyProtection="1">
      <alignment horizontal="center" vertical="center"/>
    </xf>
    <xf numFmtId="164" fontId="5" fillId="17" borderId="15" xfId="0" applyNumberFormat="1" applyFont="1" applyFill="1" applyBorder="1" applyAlignment="1" applyProtection="1">
      <alignment horizontal="center" vertical="center" wrapText="1"/>
    </xf>
    <xf numFmtId="164" fontId="5" fillId="17" borderId="4" xfId="0" applyNumberFormat="1" applyFont="1" applyFill="1" applyBorder="1" applyAlignment="1" applyProtection="1">
      <alignment horizontal="center" vertical="center" wrapText="1"/>
    </xf>
    <xf numFmtId="164" fontId="5" fillId="17" borderId="6" xfId="0" applyNumberFormat="1" applyFont="1" applyFill="1" applyBorder="1" applyAlignment="1" applyProtection="1">
      <alignment horizontal="center" vertical="center" wrapText="1"/>
    </xf>
    <xf numFmtId="164" fontId="5" fillId="3" borderId="4" xfId="0" applyNumberFormat="1" applyFont="1" applyFill="1" applyBorder="1" applyAlignment="1" applyProtection="1">
      <alignment horizontal="center" vertical="center"/>
    </xf>
    <xf numFmtId="164" fontId="5" fillId="3" borderId="6" xfId="0" applyNumberFormat="1" applyFont="1" applyFill="1" applyBorder="1" applyAlignment="1" applyProtection="1">
      <alignment horizontal="center" vertical="center"/>
    </xf>
    <xf numFmtId="0" fontId="4" fillId="31" borderId="2" xfId="0" applyFont="1" applyFill="1" applyBorder="1" applyAlignment="1">
      <alignment horizontal="center" vertical="center"/>
    </xf>
    <xf numFmtId="0" fontId="4" fillId="31" borderId="19" xfId="0" applyFont="1" applyFill="1" applyBorder="1" applyAlignment="1">
      <alignment horizontal="center" vertical="center"/>
    </xf>
    <xf numFmtId="0" fontId="4" fillId="31" borderId="23" xfId="0" applyFont="1" applyFill="1" applyBorder="1" applyAlignment="1">
      <alignment horizontal="center" vertical="center"/>
    </xf>
    <xf numFmtId="0" fontId="4" fillId="31" borderId="52" xfId="0" applyFont="1" applyFill="1" applyBorder="1" applyAlignment="1">
      <alignment horizontal="center" vertical="center"/>
    </xf>
    <xf numFmtId="0" fontId="4" fillId="31" borderId="53" xfId="0" applyFont="1" applyFill="1" applyBorder="1" applyAlignment="1">
      <alignment horizontal="center" vertical="center"/>
    </xf>
    <xf numFmtId="0" fontId="35" fillId="32" borderId="2" xfId="0" applyFont="1" applyFill="1" applyBorder="1" applyAlignment="1">
      <alignment horizontal="center" vertical="center" wrapText="1"/>
    </xf>
    <xf numFmtId="0" fontId="35" fillId="32" borderId="62" xfId="0" applyFont="1" applyFill="1" applyBorder="1" applyAlignment="1">
      <alignment horizontal="center" vertical="center" wrapText="1"/>
    </xf>
    <xf numFmtId="0" fontId="35" fillId="32" borderId="65" xfId="0" applyFont="1" applyFill="1" applyBorder="1" applyAlignment="1">
      <alignment horizontal="center" vertical="center" wrapText="1"/>
    </xf>
    <xf numFmtId="0" fontId="35" fillId="32" borderId="19" xfId="0" applyFont="1" applyFill="1" applyBorder="1" applyAlignment="1">
      <alignment horizontal="center" vertical="center" wrapText="1"/>
    </xf>
    <xf numFmtId="0" fontId="35" fillId="32" borderId="0" xfId="0" applyFont="1" applyFill="1" applyBorder="1" applyAlignment="1">
      <alignment horizontal="center" vertical="center" wrapText="1"/>
    </xf>
    <xf numFmtId="0" fontId="35" fillId="32" borderId="75" xfId="0" applyFont="1" applyFill="1" applyBorder="1" applyAlignment="1">
      <alignment horizontal="center" vertical="center" wrapText="1"/>
    </xf>
    <xf numFmtId="0" fontId="13" fillId="32" borderId="23" xfId="0" applyFont="1" applyFill="1" applyBorder="1" applyAlignment="1">
      <alignment horizontal="center" vertical="center" wrapText="1"/>
    </xf>
    <xf numFmtId="0" fontId="13" fillId="32" borderId="71" xfId="0" applyFont="1" applyFill="1" applyBorder="1" applyAlignment="1">
      <alignment horizontal="center" vertical="center" wrapText="1"/>
    </xf>
    <xf numFmtId="0" fontId="35" fillId="10" borderId="2" xfId="0" applyFont="1" applyFill="1" applyBorder="1" applyAlignment="1">
      <alignment horizontal="center" vertical="center" wrapText="1"/>
    </xf>
    <xf numFmtId="0" fontId="35" fillId="10" borderId="62" xfId="0" applyFont="1" applyFill="1" applyBorder="1" applyAlignment="1">
      <alignment horizontal="center" vertical="center" wrapText="1"/>
    </xf>
    <xf numFmtId="0" fontId="35" fillId="10" borderId="65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10" borderId="75" xfId="0" applyFont="1" applyFill="1" applyBorder="1" applyAlignment="1">
      <alignment horizontal="center" vertical="center" wrapText="1"/>
    </xf>
    <xf numFmtId="0" fontId="13" fillId="10" borderId="19" xfId="0" applyFont="1" applyFill="1" applyBorder="1" applyAlignment="1">
      <alignment horizontal="center" vertical="center" wrapText="1"/>
    </xf>
    <xf numFmtId="0" fontId="13" fillId="10" borderId="0" xfId="0" applyFont="1" applyFill="1" applyBorder="1" applyAlignment="1">
      <alignment horizontal="center" vertical="center" wrapText="1"/>
    </xf>
    <xf numFmtId="0" fontId="13" fillId="10" borderId="75" xfId="0" applyFont="1" applyFill="1" applyBorder="1" applyAlignment="1">
      <alignment horizontal="center" vertical="center" wrapText="1"/>
    </xf>
    <xf numFmtId="0" fontId="35" fillId="33" borderId="2" xfId="0" applyFont="1" applyFill="1" applyBorder="1" applyAlignment="1">
      <alignment horizontal="center" vertical="center" wrapText="1"/>
    </xf>
    <xf numFmtId="0" fontId="35" fillId="33" borderId="62" xfId="0" applyFont="1" applyFill="1" applyBorder="1" applyAlignment="1">
      <alignment horizontal="center" vertical="center" wrapText="1"/>
    </xf>
    <xf numFmtId="0" fontId="35" fillId="33" borderId="65" xfId="0" applyFont="1" applyFill="1" applyBorder="1" applyAlignment="1">
      <alignment horizontal="center" vertical="center" wrapText="1"/>
    </xf>
    <xf numFmtId="0" fontId="3" fillId="33" borderId="19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3" fillId="33" borderId="75" xfId="0" applyFont="1" applyFill="1" applyBorder="1" applyAlignment="1">
      <alignment horizontal="center" vertical="center" wrapText="1"/>
    </xf>
    <xf numFmtId="0" fontId="13" fillId="33" borderId="19" xfId="0" applyFont="1" applyFill="1" applyBorder="1" applyAlignment="1">
      <alignment horizontal="center" vertical="center" wrapText="1"/>
    </xf>
    <xf numFmtId="0" fontId="13" fillId="33" borderId="0" xfId="0" applyFont="1" applyFill="1" applyBorder="1" applyAlignment="1">
      <alignment horizontal="center" vertical="center" wrapText="1"/>
    </xf>
    <xf numFmtId="0" fontId="13" fillId="33" borderId="75" xfId="0" applyFont="1" applyFill="1" applyBorder="1" applyAlignment="1">
      <alignment horizontal="center" vertical="center" wrapText="1"/>
    </xf>
    <xf numFmtId="0" fontId="13" fillId="32" borderId="71" xfId="0" applyFont="1" applyFill="1" applyBorder="1" applyAlignment="1">
      <alignment horizontal="center" vertical="center"/>
    </xf>
    <xf numFmtId="0" fontId="13" fillId="32" borderId="73" xfId="0" applyFont="1" applyFill="1" applyBorder="1" applyAlignment="1">
      <alignment horizontal="center" vertical="center"/>
    </xf>
    <xf numFmtId="0" fontId="35" fillId="34" borderId="2" xfId="0" applyFont="1" applyFill="1" applyBorder="1" applyAlignment="1">
      <alignment horizontal="center" vertical="center" wrapText="1"/>
    </xf>
    <xf numFmtId="0" fontId="35" fillId="34" borderId="62" xfId="0" applyFont="1" applyFill="1" applyBorder="1" applyAlignment="1">
      <alignment horizontal="center" vertical="center" wrapText="1"/>
    </xf>
    <xf numFmtId="0" fontId="35" fillId="34" borderId="65" xfId="0" applyFont="1" applyFill="1" applyBorder="1" applyAlignment="1">
      <alignment horizontal="center" vertical="center" wrapText="1"/>
    </xf>
    <xf numFmtId="0" fontId="4" fillId="34" borderId="19" xfId="0" applyFont="1" applyFill="1" applyBorder="1" applyAlignment="1">
      <alignment horizontal="center" vertical="center" wrapText="1"/>
    </xf>
    <xf numFmtId="0" fontId="4" fillId="34" borderId="0" xfId="0" applyFont="1" applyFill="1" applyBorder="1" applyAlignment="1">
      <alignment horizontal="center" vertical="center" wrapText="1"/>
    </xf>
    <xf numFmtId="0" fontId="4" fillId="34" borderId="75" xfId="0" applyFont="1" applyFill="1" applyBorder="1" applyAlignment="1">
      <alignment horizontal="center" vertical="center" wrapText="1"/>
    </xf>
    <xf numFmtId="0" fontId="13" fillId="34" borderId="19" xfId="0" applyFont="1" applyFill="1" applyBorder="1" applyAlignment="1">
      <alignment horizontal="center" vertical="center" wrapText="1"/>
    </xf>
    <xf numFmtId="0" fontId="13" fillId="34" borderId="0" xfId="0" applyFont="1" applyFill="1" applyBorder="1" applyAlignment="1">
      <alignment horizontal="center" vertical="center" wrapText="1"/>
    </xf>
    <xf numFmtId="0" fontId="13" fillId="34" borderId="75" xfId="0" applyFont="1" applyFill="1" applyBorder="1" applyAlignment="1">
      <alignment horizontal="center" vertical="center" wrapText="1"/>
    </xf>
    <xf numFmtId="0" fontId="35" fillId="13" borderId="2" xfId="0" applyFont="1" applyFill="1" applyBorder="1" applyAlignment="1">
      <alignment horizontal="center" vertical="center" wrapText="1"/>
    </xf>
    <xf numFmtId="0" fontId="35" fillId="13" borderId="62" xfId="0" applyFont="1" applyFill="1" applyBorder="1" applyAlignment="1">
      <alignment horizontal="center" vertical="center"/>
    </xf>
    <xf numFmtId="0" fontId="35" fillId="13" borderId="65" xfId="0" applyFont="1" applyFill="1" applyBorder="1" applyAlignment="1">
      <alignment horizontal="center" vertical="center"/>
    </xf>
    <xf numFmtId="0" fontId="13" fillId="37" borderId="19" xfId="0" applyFont="1" applyFill="1" applyBorder="1" applyAlignment="1">
      <alignment horizontal="center" vertical="center" wrapText="1"/>
    </xf>
    <xf numFmtId="0" fontId="13" fillId="37" borderId="0" xfId="0" applyFont="1" applyFill="1" applyBorder="1" applyAlignment="1">
      <alignment horizontal="center" vertical="center" wrapText="1"/>
    </xf>
    <xf numFmtId="0" fontId="13" fillId="37" borderId="75" xfId="0" applyFont="1" applyFill="1" applyBorder="1" applyAlignment="1">
      <alignment horizontal="center" vertical="center" wrapText="1"/>
    </xf>
    <xf numFmtId="0" fontId="37" fillId="31" borderId="2" xfId="0" applyFont="1" applyFill="1" applyBorder="1" applyAlignment="1">
      <alignment horizontal="center" vertical="center"/>
    </xf>
    <xf numFmtId="0" fontId="37" fillId="31" borderId="19" xfId="0" applyFont="1" applyFill="1" applyBorder="1" applyAlignment="1">
      <alignment horizontal="center" vertical="center"/>
    </xf>
    <xf numFmtId="0" fontId="37" fillId="31" borderId="23" xfId="0" applyFont="1" applyFill="1" applyBorder="1" applyAlignment="1">
      <alignment horizontal="center" vertical="center"/>
    </xf>
    <xf numFmtId="0" fontId="35" fillId="36" borderId="2" xfId="0" applyFont="1" applyFill="1" applyBorder="1" applyAlignment="1">
      <alignment horizontal="center" vertical="center" wrapText="1"/>
    </xf>
    <xf numFmtId="0" fontId="35" fillId="36" borderId="62" xfId="0" applyFont="1" applyFill="1" applyBorder="1" applyAlignment="1">
      <alignment horizontal="center" vertical="center" wrapText="1"/>
    </xf>
    <xf numFmtId="0" fontId="35" fillId="36" borderId="65" xfId="0" applyFont="1" applyFill="1" applyBorder="1" applyAlignment="1">
      <alignment horizontal="center" vertical="center" wrapText="1"/>
    </xf>
    <xf numFmtId="0" fontId="3" fillId="36" borderId="19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3" fillId="36" borderId="75" xfId="0" applyFont="1" applyFill="1" applyBorder="1" applyAlignment="1">
      <alignment horizontal="center" vertical="center" wrapText="1"/>
    </xf>
    <xf numFmtId="0" fontId="13" fillId="36" borderId="19" xfId="0" applyFont="1" applyFill="1" applyBorder="1" applyAlignment="1">
      <alignment horizontal="center" vertical="center" wrapText="1"/>
    </xf>
    <xf numFmtId="0" fontId="13" fillId="36" borderId="0" xfId="0" applyFont="1" applyFill="1" applyBorder="1" applyAlignment="1">
      <alignment horizontal="center" vertical="center" wrapText="1"/>
    </xf>
    <xf numFmtId="0" fontId="13" fillId="36" borderId="75" xfId="0" applyFont="1" applyFill="1" applyBorder="1" applyAlignment="1">
      <alignment horizontal="center" vertical="center" wrapText="1"/>
    </xf>
    <xf numFmtId="0" fontId="35" fillId="37" borderId="2" xfId="0" applyFont="1" applyFill="1" applyBorder="1" applyAlignment="1">
      <alignment horizontal="center" vertical="center" wrapText="1"/>
    </xf>
    <xf numFmtId="0" fontId="35" fillId="37" borderId="62" xfId="0" applyFont="1" applyFill="1" applyBorder="1" applyAlignment="1">
      <alignment horizontal="center" vertical="center" wrapText="1"/>
    </xf>
    <xf numFmtId="0" fontId="35" fillId="37" borderId="65" xfId="0" applyFont="1" applyFill="1" applyBorder="1" applyAlignment="1">
      <alignment horizontal="center" vertical="center" wrapText="1"/>
    </xf>
    <xf numFmtId="0" fontId="13" fillId="35" borderId="19" xfId="0" applyFont="1" applyFill="1" applyBorder="1" applyAlignment="1">
      <alignment horizontal="center" vertical="center" wrapText="1"/>
    </xf>
    <xf numFmtId="0" fontId="13" fillId="35" borderId="0" xfId="0" applyFont="1" applyFill="1" applyBorder="1" applyAlignment="1">
      <alignment horizontal="center" vertical="center" wrapText="1"/>
    </xf>
    <xf numFmtId="0" fontId="13" fillId="35" borderId="75" xfId="0" applyFont="1" applyFill="1" applyBorder="1" applyAlignment="1">
      <alignment horizontal="center" vertical="center" wrapText="1"/>
    </xf>
    <xf numFmtId="0" fontId="3" fillId="13" borderId="19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/>
    </xf>
    <xf numFmtId="0" fontId="3" fillId="13" borderId="75" xfId="0" applyFont="1" applyFill="1" applyBorder="1" applyAlignment="1">
      <alignment horizontal="center" vertical="center"/>
    </xf>
    <xf numFmtId="0" fontId="13" fillId="13" borderId="19" xfId="0" applyFont="1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horizontal="center" vertical="center"/>
    </xf>
    <xf numFmtId="0" fontId="13" fillId="13" borderId="75" xfId="0" applyFont="1" applyFill="1" applyBorder="1" applyAlignment="1">
      <alignment horizontal="center" vertical="center"/>
    </xf>
    <xf numFmtId="0" fontId="35" fillId="35" borderId="2" xfId="0" applyFont="1" applyFill="1" applyBorder="1" applyAlignment="1">
      <alignment horizontal="center" vertical="center" wrapText="1"/>
    </xf>
    <xf numFmtId="0" fontId="35" fillId="35" borderId="62" xfId="0" applyFont="1" applyFill="1" applyBorder="1" applyAlignment="1">
      <alignment horizontal="center" vertical="center" wrapText="1"/>
    </xf>
    <xf numFmtId="0" fontId="35" fillId="35" borderId="65" xfId="0" applyFont="1" applyFill="1" applyBorder="1" applyAlignment="1">
      <alignment horizontal="center" vertical="center" wrapText="1"/>
    </xf>
    <xf numFmtId="0" fontId="37" fillId="35" borderId="19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center" wrapText="1"/>
    </xf>
    <xf numFmtId="0" fontId="3" fillId="35" borderId="75" xfId="0" applyFont="1" applyFill="1" applyBorder="1" applyAlignment="1">
      <alignment horizontal="center" vertical="center" wrapText="1"/>
    </xf>
    <xf numFmtId="0" fontId="37" fillId="37" borderId="19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7" borderId="7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56" xfId="0" applyFont="1" applyFill="1" applyBorder="1" applyAlignment="1">
      <alignment horizontal="center" vertical="center"/>
    </xf>
    <xf numFmtId="0" fontId="0" fillId="8" borderId="66" xfId="0" applyFont="1" applyFill="1" applyBorder="1" applyAlignment="1">
      <alignment horizontal="center" vertical="center"/>
    </xf>
    <xf numFmtId="0" fontId="0" fillId="8" borderId="76" xfId="0" applyFont="1" applyFill="1" applyBorder="1" applyAlignment="1">
      <alignment horizontal="center" vertical="center"/>
    </xf>
    <xf numFmtId="0" fontId="0" fillId="8" borderId="69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77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8" borderId="78" xfId="0" applyFont="1" applyFill="1" applyBorder="1" applyAlignment="1">
      <alignment horizontal="center" vertical="center"/>
    </xf>
    <xf numFmtId="0" fontId="0" fillId="8" borderId="7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54" xfId="0" applyFill="1" applyBorder="1" applyAlignment="1">
      <alignment horizontal="center" vertical="center"/>
    </xf>
    <xf numFmtId="6" fontId="0" fillId="8" borderId="5" xfId="0" applyNumberFormat="1" applyFill="1" applyBorder="1" applyAlignment="1">
      <alignment horizontal="center" vertical="center"/>
    </xf>
    <xf numFmtId="6" fontId="0" fillId="8" borderId="53" xfId="0" applyNumberFormat="1" applyFill="1" applyBorder="1" applyAlignment="1">
      <alignment horizontal="center" vertical="center"/>
    </xf>
    <xf numFmtId="6" fontId="0" fillId="8" borderId="54" xfId="0" applyNumberForma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8" borderId="80" xfId="0" applyFont="1" applyFill="1" applyBorder="1" applyAlignment="1">
      <alignment horizontal="center" vertical="center"/>
    </xf>
    <xf numFmtId="0" fontId="0" fillId="8" borderId="7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37" fillId="31" borderId="65" xfId="0" applyFont="1" applyFill="1" applyBorder="1" applyAlignment="1">
      <alignment horizontal="center" vertical="center"/>
    </xf>
    <xf numFmtId="0" fontId="37" fillId="31" borderId="75" xfId="0" applyFont="1" applyFill="1" applyBorder="1" applyAlignment="1">
      <alignment horizontal="center" vertical="center"/>
    </xf>
    <xf numFmtId="0" fontId="37" fillId="31" borderId="73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3316"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CFF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CFF"/>
        </patternFill>
      </fill>
    </dxf>
    <dxf>
      <font>
        <color theme="1"/>
      </font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color theme="1"/>
      </font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4" tint="0.39994506668294322"/>
        </patternFill>
      </fill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vertical/>
        <horizontal/>
      </border>
    </dxf>
    <dxf>
      <border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 tint="-0.14996795556505021"/>
        </lef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79998168889431442"/>
        </patternFill>
      </fill>
    </dxf>
    <dxf>
      <font>
        <b val="0"/>
        <i val="0"/>
      </font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border>
        <left style="thin">
          <color theme="0" tint="-0.14996795556505021"/>
        </left>
        <right style="thin">
          <color theme="0" tint="-0.14996795556505021"/>
        </righ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CBA9E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theme="7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FFB08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CCCC"/>
      <color rgb="FFFF9999"/>
      <color rgb="FFFF9B9B"/>
      <color rgb="FFFFCC66"/>
      <color rgb="FFFFB265"/>
      <color rgb="FFFCCC8C"/>
      <color rgb="FFF5BCF6"/>
      <color rgb="FFDBFF75"/>
      <color rgb="FFED8BEF"/>
      <color rgb="FFE9A3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142875</xdr:rowOff>
    </xdr:from>
    <xdr:to>
      <xdr:col>9</xdr:col>
      <xdr:colOff>9525</xdr:colOff>
      <xdr:row>3</xdr:row>
      <xdr:rowOff>0</xdr:rowOff>
    </xdr:to>
    <xdr:sp macro="[0]!Lancer_formulaire" textlink="">
      <xdr:nvSpPr>
        <xdr:cNvPr id="3" name="Rectangle à coins arrondis 2"/>
        <xdr:cNvSpPr/>
      </xdr:nvSpPr>
      <xdr:spPr>
        <a:xfrm>
          <a:off x="9210675" y="419100"/>
          <a:ext cx="2038350" cy="476250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Lancer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1256866</xdr:colOff>
      <xdr:row>0</xdr:row>
      <xdr:rowOff>21301</xdr:rowOff>
    </xdr:from>
    <xdr:to>
      <xdr:col>2</xdr:col>
      <xdr:colOff>1478799</xdr:colOff>
      <xdr:row>0</xdr:row>
      <xdr:rowOff>173701</xdr:rowOff>
    </xdr:to>
    <xdr:sp macro="[0]!Lancer_formulaire" textlink="">
      <xdr:nvSpPr>
        <xdr:cNvPr id="2" name="Rectangle à coins arrondis 1"/>
        <xdr:cNvSpPr/>
      </xdr:nvSpPr>
      <xdr:spPr>
        <a:xfrm>
          <a:off x="1520968" y="21301"/>
          <a:ext cx="221933" cy="152400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F</a:t>
          </a:r>
        </a:p>
      </xdr:txBody>
    </xdr:sp>
    <xdr:clientData/>
  </xdr:twoCellAnchor>
  <xdr:twoCellAnchor>
    <xdr:from>
      <xdr:col>7</xdr:col>
      <xdr:colOff>476250</xdr:colOff>
      <xdr:row>5</xdr:row>
      <xdr:rowOff>59533</xdr:rowOff>
    </xdr:from>
    <xdr:to>
      <xdr:col>18</xdr:col>
      <xdr:colOff>166688</xdr:colOff>
      <xdr:row>43</xdr:row>
      <xdr:rowOff>1</xdr:rowOff>
    </xdr:to>
    <xdr:sp macro="" textlink="">
      <xdr:nvSpPr>
        <xdr:cNvPr id="3" name="ZoneTexte 2"/>
        <xdr:cNvSpPr txBox="1"/>
      </xdr:nvSpPr>
      <xdr:spPr>
        <a:xfrm>
          <a:off x="6155531" y="1023939"/>
          <a:ext cx="7977188" cy="71794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Matced </a:t>
          </a:r>
        </a:p>
        <a:p>
          <a:r>
            <a:rPr lang="fr-FR" sz="1800"/>
            <a:t>Ton fichier c'est n'importe</a:t>
          </a:r>
          <a:r>
            <a:rPr lang="fr-FR" sz="1800" baseline="0"/>
            <a:t> quoi!!!</a:t>
          </a:r>
        </a:p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aucune logique un fichier de rigolo!!!</a:t>
          </a:r>
        </a:p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si tu étais logique, mais ce n'est pas le cas, tu aurais une suite logique du style le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combobox1 = colonne A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le textbox2=colonne B etc etc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alors tu vas faire un truc que je n'ai pas enie de me faire chier à faire tu vas dans tous les contrôles que tu as mettre dans la ligne des propriété de chaque contôle le numéro de la colonne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exemple  :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le Nom Texbox1  tag 3 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le prénom Textbox2 tag 4 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etc etc etc 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ensuite tu donneras les colonnes à ne pas remplir du style Colonne T à Y car il y a des formules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et ensuite tu repasseras ton fichier et je modifierai pour faire des codes propre car là c'est du ????, 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au chargement le textbox comission se retrouve avec les données de la colonne Formule/note !!!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bref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99647</xdr:colOff>
      <xdr:row>4</xdr:row>
      <xdr:rowOff>159724</xdr:rowOff>
    </xdr:from>
    <xdr:ext cx="536334" cy="536334"/>
    <xdr:pic>
      <xdr:nvPicPr>
        <xdr:cNvPr id="2" name="Image 1" descr="Résultat de recherche d'images pour &quot;april santé png&quot;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397" y="1045549"/>
          <a:ext cx="536334" cy="536334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97448</xdr:colOff>
      <xdr:row>12</xdr:row>
      <xdr:rowOff>136279</xdr:rowOff>
    </xdr:from>
    <xdr:to>
      <xdr:col>1</xdr:col>
      <xdr:colOff>608379</xdr:colOff>
      <xdr:row>14</xdr:row>
      <xdr:rowOff>73268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198" y="2546104"/>
          <a:ext cx="529981" cy="317989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112836</xdr:colOff>
      <xdr:row>17</xdr:row>
      <xdr:rowOff>80979</xdr:rowOff>
    </xdr:from>
    <xdr:ext cx="544849" cy="402598"/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586" y="3443304"/>
          <a:ext cx="544849" cy="40259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</xdr:spPr>
    </xdr:pic>
    <xdr:clientData/>
  </xdr:oneCellAnchor>
  <xdr:oneCellAnchor>
    <xdr:from>
      <xdr:col>6</xdr:col>
      <xdr:colOff>103311</xdr:colOff>
      <xdr:row>14</xdr:row>
      <xdr:rowOff>7326</xdr:rowOff>
    </xdr:from>
    <xdr:ext cx="543658" cy="388327"/>
    <xdr:pic>
      <xdr:nvPicPr>
        <xdr:cNvPr id="5" name="Image 4" descr="Image associée">
          <a:extLst>
            <a:ext uri="{FF2B5EF4-FFF2-40B4-BE49-F238E27FC236}">
              <a16:creationId xmlns:a16="http://schemas.microsoft.com/office/drawing/2014/main" xmlns="" id="{00000000-0008-0000-1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761" y="2798151"/>
          <a:ext cx="543658" cy="38832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135550</xdr:colOff>
      <xdr:row>17</xdr:row>
      <xdr:rowOff>124558</xdr:rowOff>
    </xdr:from>
    <xdr:ext cx="509220" cy="518078"/>
    <xdr:pic>
      <xdr:nvPicPr>
        <xdr:cNvPr id="6" name="Image 5" descr="Image associée">
          <a:extLst>
            <a:ext uri="{FF2B5EF4-FFF2-40B4-BE49-F238E27FC236}">
              <a16:creationId xmlns:a16="http://schemas.microsoft.com/office/drawing/2014/main" xmlns="" id="{00000000-0008-0000-13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56" t="7639" r="23188" b="11111"/>
        <a:stretch/>
      </xdr:blipFill>
      <xdr:spPr bwMode="auto">
        <a:xfrm>
          <a:off x="6022000" y="3486883"/>
          <a:ext cx="509220" cy="51807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112833</xdr:colOff>
      <xdr:row>1</xdr:row>
      <xdr:rowOff>134815</xdr:rowOff>
    </xdr:from>
    <xdr:ext cx="502628" cy="502628"/>
    <xdr:pic>
      <xdr:nvPicPr>
        <xdr:cNvPr id="7" name="Image 6" descr="Image associée">
          <a:extLst>
            <a:ext uri="{FF2B5EF4-FFF2-40B4-BE49-F238E27FC236}">
              <a16:creationId xmlns:a16="http://schemas.microsoft.com/office/drawing/2014/main" xmlns="" id="{00000000-0008-0000-1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9283" y="449140"/>
          <a:ext cx="502628" cy="502628"/>
        </a:xfrm>
        <a:prstGeom prst="rect">
          <a:avLst/>
        </a:prstGeom>
        <a:noFill/>
        <a:ln w="28575">
          <a:solidFill>
            <a:schemeClr val="tx1"/>
          </a:solidFill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137014</xdr:colOff>
      <xdr:row>9</xdr:row>
      <xdr:rowOff>122713</xdr:rowOff>
    </xdr:from>
    <xdr:ext cx="456468" cy="538057"/>
    <xdr:pic>
      <xdr:nvPicPr>
        <xdr:cNvPr id="8" name="Image 7" descr="Résultat de recherche d'images pour &quot;cipres santé&quot;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3464" y="1961038"/>
          <a:ext cx="456468" cy="53805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125290</xdr:colOff>
      <xdr:row>5</xdr:row>
      <xdr:rowOff>160460</xdr:rowOff>
    </xdr:from>
    <xdr:ext cx="469655" cy="469655"/>
    <xdr:pic>
      <xdr:nvPicPr>
        <xdr:cNvPr id="9" name="Image 8" descr="Image associée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1740" y="1236785"/>
          <a:ext cx="469655" cy="469655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saittayeb@gmail.com" TargetMode="External"/><Relationship Id="rId1" Type="http://schemas.openxmlformats.org/officeDocument/2006/relationships/hyperlink" Target="mailto:sylvia.lagarde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saittayeb@gmail.com" TargetMode="External"/><Relationship Id="rId1" Type="http://schemas.openxmlformats.org/officeDocument/2006/relationships/hyperlink" Target="mailto:benjamin.espitalier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delforgejm@orange.fr" TargetMode="External"/><Relationship Id="rId3" Type="http://schemas.openxmlformats.org/officeDocument/2006/relationships/hyperlink" Target="mailto:severine.pezat@sfr.fr" TargetMode="External"/><Relationship Id="rId7" Type="http://schemas.openxmlformats.org/officeDocument/2006/relationships/hyperlink" Target="mailto:patrick.poy@laposte.net" TargetMode="External"/><Relationship Id="rId2" Type="http://schemas.openxmlformats.org/officeDocument/2006/relationships/hyperlink" Target="mailto:bouchet-sebastien@orange.fr" TargetMode="External"/><Relationship Id="rId1" Type="http://schemas.openxmlformats.org/officeDocument/2006/relationships/hyperlink" Target="mailto:juless.coignard@gmail.com" TargetMode="External"/><Relationship Id="rId6" Type="http://schemas.openxmlformats.org/officeDocument/2006/relationships/hyperlink" Target="mailto:alaa.tounsadi@gmail.com" TargetMode="External"/><Relationship Id="rId5" Type="http://schemas.openxmlformats.org/officeDocument/2006/relationships/hyperlink" Target="mailto:douyere.contact@gmail.com" TargetMode="External"/><Relationship Id="rId4" Type="http://schemas.openxmlformats.org/officeDocument/2006/relationships/hyperlink" Target="mailto:fabienne.lalonde@orange.fr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L308"/>
  <sheetViews>
    <sheetView workbookViewId="0">
      <pane ySplit="1" topLeftCell="A2" activePane="bottomLeft" state="frozen"/>
      <selection activeCell="C1" sqref="C1"/>
      <selection pane="bottomLeft" activeCell="L19" sqref="L19"/>
    </sheetView>
  </sheetViews>
  <sheetFormatPr baseColWidth="10" defaultColWidth="11.42578125" defaultRowHeight="15.75" x14ac:dyDescent="0.25"/>
  <cols>
    <col min="1" max="6" width="20.7109375" style="458" customWidth="1"/>
    <col min="7" max="7" width="13.85546875" style="458" customWidth="1"/>
    <col min="8" max="8" width="16.5703125" style="458" bestFit="1" customWidth="1"/>
    <col min="9" max="10" width="13.85546875" style="458" customWidth="1"/>
    <col min="11" max="16384" width="11.42578125" style="458"/>
  </cols>
  <sheetData>
    <row r="1" spans="1:116" ht="21.75" thickBot="1" x14ac:dyDescent="0.3">
      <c r="A1" s="653" t="s">
        <v>1527</v>
      </c>
      <c r="B1" s="654"/>
      <c r="C1" s="651" t="e">
        <f>IF(VLOOKUP(A1,Complet!A1:DS61,118,0)="AJ","A Jour - Étude Envoyée",IF(VLOOKUP(A1,Complet!A1:DS61,118,0)="OK","Fiche Complète",IF(VLOOKUP(A1,Complet!A1:DS61,118,0)="Mini","Fiche Minimum",IF(VLOOKUP(A1,Complet!A1:DS61,118,0)="KO","Fiche Imcomplète"))))</f>
        <v>#N/A</v>
      </c>
      <c r="D1" s="652"/>
      <c r="E1" s="601" t="e">
        <f>VLOOKUP(A1,Complet!A1:DS61,11,0)</f>
        <v>#N/A</v>
      </c>
      <c r="F1" s="621" t="e">
        <f>IF(E6="NEOLIANE",'Matrice Tel'!E12,IF(E6="NEOLIANE Prev",'Matrice Tel'!E12,IF(E6="SWISSLIFE",'Matrice Tel'!E18,IF(E6="ALPTIS",'Matrice Tel'!J2,IF(E6="AVIVA",'Matrice Tel'!J6,IF(E6="CIPRES",'Matrice Tel'!J11,IF(E6="CEGEMA",'Matrice Tel'!J14,IF(E6="ASAF",'Matrice Tel'!J18,IF(E6="APRIL",IF(E5="Prev. Pro",'Matrice Tel'!E5,IF(E5="Autre",'Matrice Tel'!E3,'Matrice Tel'!E2)),"A Trouver")))))))))</f>
        <v>#N/A</v>
      </c>
      <c r="G1" s="618" t="s">
        <v>1401</v>
      </c>
      <c r="H1" s="619" t="e">
        <f>VLOOKUP(A1,Complet!A1:DS61,60,0)</f>
        <v>#N/A</v>
      </c>
      <c r="I1" s="628" t="s">
        <v>1402</v>
      </c>
      <c r="J1" s="619" t="e">
        <f>VLOOKUP(A1,Complet!A1:DS61,61,0)</f>
        <v>#N/A</v>
      </c>
    </row>
    <row r="2" spans="1:116" ht="19.5" thickBot="1" x14ac:dyDescent="0.3">
      <c r="A2" s="585" t="s">
        <v>160</v>
      </c>
      <c r="B2" s="586" t="e">
        <f>VLOOKUP(A1,Complet!A1:DS61,24,0)+VLOOKUP(A1,Complet!A1:DS61,25,0)</f>
        <v>#N/A</v>
      </c>
      <c r="C2" s="649" t="e">
        <f>CONCATENATE("Commission : ",(VLOOKUP(A1,Complet!A1:DS61,19,0))," à ",VLOOKUP(A1,Complet!A1:DS61,20,0),"%")</f>
        <v>#N/A</v>
      </c>
      <c r="D2" s="650"/>
      <c r="E2" s="481" t="s">
        <v>181</v>
      </c>
      <c r="F2" s="622" t="e">
        <f>IF(VLOOKUP(A1,Complet!A1:DS61,52,0)=0,"",VLOOKUP(A1,Complet!A1:DS61,52,0))</f>
        <v>#N/A</v>
      </c>
    </row>
    <row r="3" spans="1:116" ht="29.25" customHeight="1" thickBot="1" x14ac:dyDescent="0.3">
      <c r="A3" s="641" t="e">
        <f>CONCATENATE(VLOOKUP(A1,Complet!A1:DS61,6,0)," ",VLOOKUP(A1,Complet!A1:DS61,4,0)," ",VLOOKUP(A1,Complet!A1:DS61,3,0))</f>
        <v>#N/A</v>
      </c>
      <c r="B3" s="642"/>
      <c r="C3" s="642"/>
      <c r="D3" s="642"/>
      <c r="E3" s="643"/>
      <c r="F3" s="644"/>
      <c r="S3" s="458" t="s">
        <v>57</v>
      </c>
      <c r="T3" s="458" t="s">
        <v>18</v>
      </c>
      <c r="Z3" s="458" t="s">
        <v>246</v>
      </c>
      <c r="AB3" s="458" t="s">
        <v>13</v>
      </c>
      <c r="AC3" s="458" t="s">
        <v>1531</v>
      </c>
      <c r="AD3" s="458" t="s">
        <v>1287</v>
      </c>
      <c r="AE3" s="458" t="s">
        <v>1531</v>
      </c>
      <c r="AF3" s="458" t="s">
        <v>1287</v>
      </c>
      <c r="AM3" s="458" t="s">
        <v>57</v>
      </c>
      <c r="AN3" s="458" t="s">
        <v>1287</v>
      </c>
      <c r="AP3" s="458" t="s">
        <v>1532</v>
      </c>
      <c r="AS3" s="458" t="s">
        <v>18</v>
      </c>
      <c r="AV3" s="458" t="s">
        <v>1533</v>
      </c>
      <c r="AY3" s="458" t="s">
        <v>1287</v>
      </c>
      <c r="AZ3" s="458" t="s">
        <v>1534</v>
      </c>
      <c r="BA3" s="458" t="s">
        <v>1535</v>
      </c>
      <c r="BB3" s="458" t="s">
        <v>1529</v>
      </c>
      <c r="BC3" s="458" t="s">
        <v>1536</v>
      </c>
      <c r="BD3" s="458" t="s">
        <v>1529</v>
      </c>
      <c r="BE3" s="458" t="s">
        <v>1530</v>
      </c>
      <c r="BF3" s="458" t="s">
        <v>1529</v>
      </c>
      <c r="BG3" s="458" t="s">
        <v>13</v>
      </c>
      <c r="BH3" s="458" t="s">
        <v>1526</v>
      </c>
      <c r="BI3" s="458" t="s">
        <v>1529</v>
      </c>
      <c r="BJ3" s="458" t="s">
        <v>1287</v>
      </c>
      <c r="BK3" s="458" t="s">
        <v>202</v>
      </c>
      <c r="BM3" s="458" t="s">
        <v>1287</v>
      </c>
      <c r="BN3" s="458" t="s">
        <v>1287</v>
      </c>
      <c r="BP3" s="458" t="s">
        <v>1287</v>
      </c>
      <c r="BQ3" s="458" t="s">
        <v>1287</v>
      </c>
      <c r="BS3" s="458" t="s">
        <v>1287</v>
      </c>
      <c r="BT3" s="458" t="s">
        <v>1287</v>
      </c>
      <c r="BV3" s="458" t="s">
        <v>1537</v>
      </c>
      <c r="BW3" s="458" t="s">
        <v>1287</v>
      </c>
      <c r="BY3" s="458" t="s">
        <v>1538</v>
      </c>
      <c r="BZ3" s="458" t="s">
        <v>1287</v>
      </c>
      <c r="CB3" s="458" t="s">
        <v>1539</v>
      </c>
      <c r="CC3" s="458" t="s">
        <v>1287</v>
      </c>
      <c r="CE3" s="458" t="s">
        <v>1540</v>
      </c>
      <c r="CF3" s="458" t="s">
        <v>1287</v>
      </c>
      <c r="CH3" s="458" t="s">
        <v>1541</v>
      </c>
      <c r="CI3" s="458" t="s">
        <v>1287</v>
      </c>
      <c r="CK3" s="458" t="s">
        <v>1287</v>
      </c>
      <c r="CL3" s="458" t="s">
        <v>1287</v>
      </c>
      <c r="CM3" s="458" t="s">
        <v>1287</v>
      </c>
      <c r="CN3" s="458" t="s">
        <v>1287</v>
      </c>
      <c r="CO3" s="458" t="s">
        <v>1287</v>
      </c>
      <c r="CP3" s="458" t="s">
        <v>1287</v>
      </c>
      <c r="CQ3" s="458" t="s">
        <v>1525</v>
      </c>
      <c r="CR3" s="458" t="s">
        <v>1529</v>
      </c>
      <c r="CS3" s="458" t="s">
        <v>1531</v>
      </c>
      <c r="CU3" s="458" t="s">
        <v>1287</v>
      </c>
      <c r="CV3" s="458" t="s">
        <v>1529</v>
      </c>
      <c r="CW3" s="458" t="s">
        <v>1287</v>
      </c>
      <c r="CX3" s="458" t="s">
        <v>1287</v>
      </c>
      <c r="CY3" s="458" t="s">
        <v>1542</v>
      </c>
      <c r="CZ3" s="458" t="s">
        <v>1287</v>
      </c>
      <c r="DA3" s="458" t="s">
        <v>1287</v>
      </c>
      <c r="DB3" s="458" t="s">
        <v>1543</v>
      </c>
      <c r="DC3" s="458" t="s">
        <v>1287</v>
      </c>
      <c r="DD3" s="458" t="s">
        <v>1287</v>
      </c>
      <c r="DE3" s="458" t="s">
        <v>1543</v>
      </c>
      <c r="DF3" s="458" t="s">
        <v>1544</v>
      </c>
      <c r="DG3" s="458" t="s">
        <v>1287</v>
      </c>
      <c r="DH3" s="458" t="s">
        <v>1545</v>
      </c>
      <c r="DI3" s="458" t="s">
        <v>1546</v>
      </c>
      <c r="DJ3" s="458" t="s">
        <v>1287</v>
      </c>
      <c r="DK3" s="458" t="s">
        <v>1287</v>
      </c>
      <c r="DL3" s="458" t="s">
        <v>1529</v>
      </c>
    </row>
    <row r="4" spans="1:116" ht="16.5" thickBot="1" x14ac:dyDescent="0.3"/>
    <row r="5" spans="1:116" ht="18.75" x14ac:dyDescent="0.25">
      <c r="A5" s="482" t="s">
        <v>1397</v>
      </c>
      <c r="B5" s="665" t="e">
        <f>IF(VLOOKUP(A1,Complet!A1:DS61,62,0)=0,"",VLOOKUP(A1,Complet!A1:DS61,62,0))</f>
        <v>#N/A</v>
      </c>
      <c r="C5" s="666"/>
      <c r="D5" s="482" t="s">
        <v>1</v>
      </c>
      <c r="E5" s="594" t="e">
        <f>VLOOKUP(A1,Complet!A1:DS61,10,0)</f>
        <v>#N/A</v>
      </c>
      <c r="F5" s="492" t="s">
        <v>1428</v>
      </c>
      <c r="H5" s="482" t="s">
        <v>280</v>
      </c>
      <c r="I5" s="620" t="e">
        <f>VLOOKUP(A1,Complet!A1:DS61,89,0)</f>
        <v>#N/A</v>
      </c>
    </row>
    <row r="6" spans="1:116" ht="21.75" thickBot="1" x14ac:dyDescent="0.3">
      <c r="A6" s="483" t="s">
        <v>311</v>
      </c>
      <c r="B6" s="667" t="e">
        <f>CONCATENATE(VLOOKUP(A1,Complet!A1:DS61,64,0)," ","ans")</f>
        <v>#N/A</v>
      </c>
      <c r="C6" s="668"/>
      <c r="D6" s="597" t="s">
        <v>2</v>
      </c>
      <c r="E6" s="629" t="e">
        <f>VLOOKUP(A1,Complet!A1:DS61,11,0)</f>
        <v>#N/A</v>
      </c>
      <c r="F6" s="630" t="e">
        <f>VLOOKUP(A1,Complet!A1:DS61,16,0)</f>
        <v>#N/A</v>
      </c>
      <c r="H6" s="488" t="s">
        <v>281</v>
      </c>
      <c r="I6" s="460" t="e">
        <f>VLOOKUP(A1,Complet!A1:DS61,90,0)</f>
        <v>#N/A</v>
      </c>
    </row>
    <row r="7" spans="1:116" ht="19.5" thickBot="1" x14ac:dyDescent="0.3">
      <c r="A7" s="484" t="s">
        <v>199</v>
      </c>
      <c r="B7" s="669" t="e">
        <f>IF(UPPER(VLOOKUP(A1,Complet!A1:DS61,63,0))=0,"",UPPER(VLOOKUP(A1,Complet!A1:DS61,63,0)))</f>
        <v>#N/A</v>
      </c>
      <c r="C7" s="670"/>
      <c r="D7" s="482" t="s">
        <v>39</v>
      </c>
      <c r="E7" s="598" t="e">
        <f>IF(VLOOKUP(A1,Complet!A1:DS61,12,0)=0,"",VLOOKUP(A1,Complet!A1:DS61,12,0))</f>
        <v>#N/A</v>
      </c>
      <c r="F7" s="595" t="s">
        <v>1429</v>
      </c>
      <c r="H7" s="488" t="s">
        <v>282</v>
      </c>
      <c r="I7" s="460" t="e">
        <f>VLOOKUP(A1,Complet!A1:DS61,91,0)</f>
        <v>#N/A</v>
      </c>
    </row>
    <row r="8" spans="1:116" ht="21.75" thickBot="1" x14ac:dyDescent="0.3">
      <c r="A8" s="485" t="s">
        <v>269</v>
      </c>
      <c r="B8" s="671" t="e">
        <f>VLOOKUP(A1,Complet!A1:DS61,51,0)</f>
        <v>#N/A</v>
      </c>
      <c r="C8" s="672"/>
      <c r="D8" s="623" t="s">
        <v>3</v>
      </c>
      <c r="E8" s="624" t="e">
        <f>IF(VLOOKUP(A1,Complet!A1:DS61,13,0)=0,"",VLOOKUP(A1,Complet!A1:DS61,13,0))</f>
        <v>#N/A</v>
      </c>
      <c r="F8" s="596" t="e">
        <f>IF(VLOOKUP(A1,Complet!A1:DS61,28,0)="X","Aucune",VLOOKUP(A1,Complet!A1:DS61,28,0))</f>
        <v>#N/A</v>
      </c>
      <c r="H8" s="488" t="s">
        <v>284</v>
      </c>
      <c r="I8" s="460" t="e">
        <f>VLOOKUP(A1,Complet!A1:DS61,92,0)</f>
        <v>#N/A</v>
      </c>
    </row>
    <row r="9" spans="1:116" ht="21" x14ac:dyDescent="0.25">
      <c r="A9" s="486" t="s">
        <v>1377</v>
      </c>
      <c r="B9" s="681" t="e">
        <f>IF(VLOOKUP(A1,Complet!A1:DS61,55,0)=0,"",VLOOKUP(A1,Complet!A1:DS61,55,0))</f>
        <v>#N/A</v>
      </c>
      <c r="C9" s="682"/>
      <c r="D9" s="490" t="s">
        <v>28</v>
      </c>
      <c r="E9" s="517" t="e">
        <f>VLOOKUP(A1,Complet!A1:DS61,14,0)</f>
        <v>#N/A</v>
      </c>
      <c r="F9" s="492" t="s">
        <v>1430</v>
      </c>
      <c r="H9" s="494" t="s">
        <v>312</v>
      </c>
      <c r="I9" s="460" t="e">
        <f>VLOOKUP(A1,Complet!A1:DS61,93,0)</f>
        <v>#N/A</v>
      </c>
    </row>
    <row r="10" spans="1:116" ht="16.5" thickBot="1" x14ac:dyDescent="0.3">
      <c r="A10" s="487" t="s">
        <v>1378</v>
      </c>
      <c r="B10" s="683" t="e">
        <f>IF(VLOOKUP(A1,Complet!A1:DS61,56,0)=0,"",VLOOKUP(A1,Complet!A1:DS61,56,0))</f>
        <v>#N/A</v>
      </c>
      <c r="C10" s="684"/>
      <c r="D10" s="491" t="s">
        <v>124</v>
      </c>
      <c r="E10" s="466" t="e">
        <f>VLOOKUP(A1,Complet!A1:DS61,15,0)</f>
        <v>#N/A</v>
      </c>
      <c r="F10" s="518" t="e">
        <f>VLOOKUP(A1,Complet!A1:DS61,29,0)</f>
        <v>#N/A</v>
      </c>
      <c r="H10" s="495" t="s">
        <v>283</v>
      </c>
      <c r="I10" s="496" t="e">
        <f>VLOOKUP(A1,Complet!A1:DS61,94,0)</f>
        <v>#N/A</v>
      </c>
    </row>
    <row r="11" spans="1:116" ht="16.5" thickBot="1" x14ac:dyDescent="0.3">
      <c r="A11" s="488" t="s">
        <v>184</v>
      </c>
      <c r="B11" s="647" t="e">
        <f>IF(VLOOKUP(A1,Complet!A1:DS61,54,0)=0,"",VLOOKUP(A1,Complet!A1:DS61,54,0))</f>
        <v>#N/A</v>
      </c>
      <c r="C11" s="648"/>
      <c r="D11" s="626" t="s">
        <v>4</v>
      </c>
      <c r="E11" s="627" t="e">
        <f>IF(VLOOKUP(A1,Complet!A1:DS61,18,0)=0,"",VLOOKUP(A1,Complet!A1:DS61,18,0))</f>
        <v>#N/A</v>
      </c>
      <c r="F11" s="516" t="s">
        <v>38</v>
      </c>
      <c r="H11" s="639" t="s">
        <v>349</v>
      </c>
      <c r="I11" s="640"/>
    </row>
    <row r="12" spans="1:116" ht="16.5" thickBot="1" x14ac:dyDescent="0.3">
      <c r="A12" s="521" t="s">
        <v>182</v>
      </c>
      <c r="B12" s="645" t="e">
        <f>IF(VLOOKUP(A1,Complet!A1:DS61,53,0)=0,"",VLOOKUP(A1,Complet!A1:DS61,53,0))</f>
        <v>#N/A</v>
      </c>
      <c r="C12" s="646"/>
      <c r="D12" s="673" t="s">
        <v>7</v>
      </c>
      <c r="E12" s="674"/>
      <c r="F12" s="593" t="e">
        <f>VLOOKUP(A1,Complet!A1:DS61,30,0)</f>
        <v>#N/A</v>
      </c>
      <c r="H12" s="631" t="e">
        <f>IF(VLOOKUP(A1,Complet!A1:DS61,95,0)=0,"",VLOOKUP(A1,Complet!A1:DS61,95,0))</f>
        <v>#N/A</v>
      </c>
      <c r="I12" s="632"/>
    </row>
    <row r="13" spans="1:116" ht="16.5" thickBot="1" x14ac:dyDescent="0.3">
      <c r="A13" s="489" t="s">
        <v>187</v>
      </c>
      <c r="B13" s="685" t="e">
        <f>IF(VLOOKUP(A1,Complet!A1:DS61,57,0)=0,"",VLOOKUP(A1,Complet!A1:DS61,57,0))</f>
        <v>#N/A</v>
      </c>
      <c r="C13" s="686"/>
      <c r="D13" s="655" t="e">
        <f>IF(VLOOKUP(A1,Complet!A1:DS61,32,0)=0,"",VLOOKUP(A1,Complet!A1:DS61,32,0))</f>
        <v>#N/A</v>
      </c>
      <c r="E13" s="656"/>
      <c r="F13" s="625" t="s">
        <v>100</v>
      </c>
      <c r="H13" s="633"/>
      <c r="I13" s="634"/>
    </row>
    <row r="14" spans="1:116" ht="16.5" thickBot="1" x14ac:dyDescent="0.3">
      <c r="A14" s="520" t="s">
        <v>188</v>
      </c>
      <c r="B14" s="687" t="e">
        <f>IF(VLOOKUP(A1,Complet!A1:DS61,58,0)=0,"",VLOOKUP(A1,Complet!A1:DS61,58,0))</f>
        <v>#N/A</v>
      </c>
      <c r="C14" s="688"/>
      <c r="D14" s="655"/>
      <c r="E14" s="656"/>
      <c r="F14" s="675" t="e">
        <f>VLOOKUP(A1,Complet!A1:DS61,31,0)</f>
        <v>#N/A</v>
      </c>
      <c r="H14" s="635"/>
      <c r="I14" s="636"/>
    </row>
    <row r="15" spans="1:116" ht="16.5" thickBot="1" x14ac:dyDescent="0.3">
      <c r="A15" s="489" t="s">
        <v>189</v>
      </c>
      <c r="B15" s="689" t="e">
        <f>IF(VLOOKUP(A1,Complet!A1:DS61,59,0)=0,"",VLOOKUP(A1,Complet!A1:DS61,59,0))</f>
        <v>#N/A</v>
      </c>
      <c r="C15" s="690"/>
      <c r="D15" s="657"/>
      <c r="E15" s="658"/>
      <c r="F15" s="676"/>
    </row>
    <row r="16" spans="1:116" ht="16.5" thickBot="1" x14ac:dyDescent="0.3">
      <c r="H16" s="589" t="s">
        <v>1408</v>
      </c>
      <c r="I16" s="590" t="e">
        <f>IF(VLOOKUP(A1,Complet!A1:DS61,62,0)=0,"",VLOOKUP(A1,Complet!A1:DS61,62,0))</f>
        <v>#N/A</v>
      </c>
    </row>
    <row r="17" spans="1:9" ht="16.5" thickBot="1" x14ac:dyDescent="0.3">
      <c r="A17" s="481" t="s">
        <v>165</v>
      </c>
      <c r="B17" s="464" t="e">
        <f>VLOOKUP(A1,Complet!A1:DS61,7,0)</f>
        <v>#N/A</v>
      </c>
      <c r="C17" s="482" t="s">
        <v>5</v>
      </c>
      <c r="D17" s="607" t="e">
        <f>VLOOKUP(A1,Complet!A1:DS61,26,0)</f>
        <v>#N/A</v>
      </c>
      <c r="E17" s="604" t="s">
        <v>1399</v>
      </c>
      <c r="F17" s="480" t="e">
        <f>VLOOKUP(A1,Complet!A1:DS61,35,0)</f>
        <v>#N/A</v>
      </c>
      <c r="H17" s="499" t="s">
        <v>1410</v>
      </c>
      <c r="I17" s="497" t="e">
        <f>UPPER(VLOOKUP(A1,Complet!A1:DS61,63,0))</f>
        <v>#N/A</v>
      </c>
    </row>
    <row r="18" spans="1:9" ht="16.5" thickBot="1" x14ac:dyDescent="0.3">
      <c r="A18" s="481" t="s">
        <v>1396</v>
      </c>
      <c r="B18" s="592" t="e">
        <f>VLOOKUP(A1,Complet!A1:DS61,5,0)</f>
        <v>#N/A</v>
      </c>
      <c r="C18" s="488" t="s">
        <v>1398</v>
      </c>
      <c r="D18" s="583" t="e">
        <f>VLOOKUP(A1,Complet!A1:DS61,34,0)</f>
        <v>#N/A</v>
      </c>
      <c r="E18" s="605" t="s">
        <v>1292</v>
      </c>
      <c r="F18" s="583" t="e">
        <f>VLOOKUP(A1,Complet!A1:DS61,38,0)</f>
        <v>#N/A</v>
      </c>
      <c r="H18" s="589" t="s">
        <v>1409</v>
      </c>
      <c r="I18" s="590" t="e">
        <f>IF(VLOOKUP(A1,Complet!A1:DS61,65,0)=0,"",VLOOKUP(A1,Complet!A1:DS61,65,0))</f>
        <v>#N/A</v>
      </c>
    </row>
    <row r="19" spans="1:9" ht="16.5" thickBot="1" x14ac:dyDescent="0.3">
      <c r="A19" s="482" t="s">
        <v>163</v>
      </c>
      <c r="B19" s="602" t="e">
        <f>VLOOKUP(A1,Complet!A1:DS61,8,0)</f>
        <v>#N/A</v>
      </c>
      <c r="C19" s="608" t="s">
        <v>1395</v>
      </c>
      <c r="D19" s="609" t="e">
        <f>VLOOKUP(A1,Complet!A1:DS61,27,0)</f>
        <v>#N/A</v>
      </c>
      <c r="E19" s="605" t="s">
        <v>1132</v>
      </c>
      <c r="F19" s="463" t="e">
        <f>VLOOKUP(A1,Complet!A1:DS61,37,0)</f>
        <v>#N/A</v>
      </c>
      <c r="H19" s="499" t="s">
        <v>1423</v>
      </c>
      <c r="I19" s="498" t="e">
        <f>UPPER(VLOOKUP(A1,Complet!A1:DS61,66,0))</f>
        <v>#N/A</v>
      </c>
    </row>
    <row r="20" spans="1:9" ht="16.5" thickBot="1" x14ac:dyDescent="0.3">
      <c r="A20" s="493" t="s">
        <v>1395</v>
      </c>
      <c r="B20" s="603" t="e">
        <f>VLOOKUP(A1,Complet!A1:DS61,9,0)</f>
        <v>#N/A</v>
      </c>
      <c r="C20" s="483" t="s">
        <v>511</v>
      </c>
      <c r="D20" s="610" t="e">
        <f>VLOOKUP(A1,Complet!A1:DS61,33,0)</f>
        <v>#N/A</v>
      </c>
      <c r="E20" s="606" t="s">
        <v>1400</v>
      </c>
      <c r="F20" s="584" t="e">
        <f>VLOOKUP(A1,Complet!A1:DS61,36,0)</f>
        <v>#N/A</v>
      </c>
      <c r="H20" s="587" t="s">
        <v>1411</v>
      </c>
      <c r="I20" s="588" t="e">
        <f>IF(VLOOKUP(A1,Complet!A1:DS61,68,0)=0,"",VLOOKUP(A1,Complet!A1:DS61,68,0))</f>
        <v>#N/A</v>
      </c>
    </row>
    <row r="21" spans="1:9" ht="16.5" thickBot="1" x14ac:dyDescent="0.3">
      <c r="H21" s="500" t="s">
        <v>1414</v>
      </c>
      <c r="I21" s="501" t="e">
        <f>UPPER(VLOOKUP(A1,Complet!A1:DS61,69,0))</f>
        <v>#N/A</v>
      </c>
    </row>
    <row r="22" spans="1:9" x14ac:dyDescent="0.25">
      <c r="A22" s="467" t="s">
        <v>1403</v>
      </c>
      <c r="B22" s="469" t="s">
        <v>1404</v>
      </c>
      <c r="C22" s="469" t="s">
        <v>1405</v>
      </c>
      <c r="D22" s="469" t="s">
        <v>1406</v>
      </c>
      <c r="E22" s="471" t="s">
        <v>1407</v>
      </c>
      <c r="H22" s="587" t="s">
        <v>1412</v>
      </c>
      <c r="I22" s="588" t="e">
        <f>IF(VLOOKUP(A1,Complet!A1:DS61,71,0)=0,"",VLOOKUP(A1,Complet!A1:DS61,71,0))</f>
        <v>#N/A</v>
      </c>
    </row>
    <row r="23" spans="1:9" ht="16.5" thickBot="1" x14ac:dyDescent="0.3">
      <c r="A23" s="468" t="e">
        <f>VLOOKUP(A1,Complet!A1:DS61,39,0)</f>
        <v>#N/A</v>
      </c>
      <c r="B23" s="470" t="e">
        <f>VLOOKUP(A1,Complet!A1:DS61,40,0)</f>
        <v>#N/A</v>
      </c>
      <c r="C23" s="470" t="e">
        <f>VLOOKUP(A1,Complet!A1:DS61,42,0)</f>
        <v>#N/A</v>
      </c>
      <c r="D23" s="470" t="e">
        <f>VLOOKUP(A1,Complet!A1:DS61,45,0)</f>
        <v>#N/A</v>
      </c>
      <c r="E23" s="472" t="e">
        <f>VLOOKUP(A1,Complet!A1:DS61,48,0)</f>
        <v>#N/A</v>
      </c>
      <c r="H23" s="500" t="s">
        <v>1415</v>
      </c>
      <c r="I23" s="501" t="e">
        <f>UPPER(VLOOKUP(A1,Complet!A1:DS61,72,0))</f>
        <v>#N/A</v>
      </c>
    </row>
    <row r="24" spans="1:9" x14ac:dyDescent="0.25">
      <c r="A24" s="473" t="s">
        <v>1426</v>
      </c>
      <c r="B24" s="475" t="e">
        <f>IF(IF(VLOOKUP(A1,Complet!A1:DS61,41,0)=(-1),0,VLOOKUP(A1,Complet!A1:DS61,41,0))=0,"",IF(VLOOKUP(A1,Complet!A1:DS61,41,0)=(-1),0,VLOOKUP(A1,Complet!A1:DS61,41,0)))</f>
        <v>#N/A</v>
      </c>
      <c r="C24" s="475" t="e">
        <f>IF(IF(VLOOKUP(A1,Complet!A1:DS61,43,0)=(-1),0,VLOOKUP(A1,Complet!A1:DS61,43,0))=0,"",IF(VLOOKUP(A1,Complet!A1:DS61,43,0)=(-1),0,VLOOKUP(A1,Complet!A1:DS61,43,0)))</f>
        <v>#N/A</v>
      </c>
      <c r="D24" s="475" t="e">
        <f>IF(IF(VLOOKUP(A1,Complet!A1:DS61,46,0)=(-1),0,VLOOKUP(A1,Complet!A1:DS61,46,0))=0,"",IF(VLOOKUP(A1,Complet!A1:DS61,46,0)=(-1),0,VLOOKUP(A1,Complet!A1:DS61,46,0)))</f>
        <v>#N/A</v>
      </c>
      <c r="E24" s="476" t="e">
        <f>IF(IF(VLOOKUP(A1,Complet!A1:DS61,49,0)=(-1),0,VLOOKUP(A1,Complet!A1:DS61,49,0))=0,"",IF(VLOOKUP(A1,Complet!A1:DS61,49,0)=(-1),0,VLOOKUP(A1,Complet!A1:DS61,49,0)))</f>
        <v>#N/A</v>
      </c>
      <c r="H24" s="587" t="s">
        <v>1413</v>
      </c>
      <c r="I24" s="588" t="e">
        <f>IF(VLOOKUP(A1,Complet!A1:DS61,74,0)=0,"",VLOOKUP(A1,Complet!A1:DS61,74,0))</f>
        <v>#N/A</v>
      </c>
    </row>
    <row r="25" spans="1:9" ht="16.5" thickBot="1" x14ac:dyDescent="0.3">
      <c r="A25" s="474" t="s">
        <v>1427</v>
      </c>
      <c r="B25" s="477"/>
      <c r="C25" s="478" t="e">
        <f>IF(IF(VLOOKUP(A1,Complet!A1:DS61,44,0)=(-1),0,VLOOKUP(A1,Complet!A1:DS61,44,0))=0,"",IF(VLOOKUP(A1,Complet!A1:DS61,44,0)=(-1),0,VLOOKUP(A1,Complet!A1:DS61,44,0)))</f>
        <v>#N/A</v>
      </c>
      <c r="D25" s="478" t="e">
        <f>IF(IF(VLOOKUP(A1,Complet!A1:DS61,47,0)=(-1),0,VLOOKUP(A1,Complet!A1:DS61,47,0))=0,"",IF(VLOOKUP(A1,Complet!A1:DS61,47,0)=(-1),0,VLOOKUP(A1,Complet!A1:DS61,47,0)))</f>
        <v>#N/A</v>
      </c>
      <c r="E25" s="479" t="e">
        <f>IF(IF(VLOOKUP(A1,Complet!A1:DS61,50,0)=(-1),0,VLOOKUP(A1,Complet!A1:DS61,50,0))=0,"",IF(VLOOKUP(A1,Complet!A1:DS61,50,0)=(-1),0,VLOOKUP(A1,Complet!A1:DS61,50,0)))</f>
        <v>#N/A</v>
      </c>
      <c r="H25" s="500" t="s">
        <v>1416</v>
      </c>
      <c r="I25" s="501" t="e">
        <f>UPPER(VLOOKUP(A1,Complet!A1:DS61,75,0))</f>
        <v>#N/A</v>
      </c>
    </row>
    <row r="26" spans="1:9" ht="16.5" thickBot="1" x14ac:dyDescent="0.3">
      <c r="H26" s="591" t="s">
        <v>1417</v>
      </c>
      <c r="I26" s="588" t="e">
        <f>IF(VLOOKUP(A1,Complet!A1:DS61,77,0)=0,"",VLOOKUP(A1,Complet!A1:DS61,77,0))</f>
        <v>#N/A</v>
      </c>
    </row>
    <row r="27" spans="1:9" ht="17.25" customHeight="1" thickBot="1" x14ac:dyDescent="0.3">
      <c r="A27" s="637" t="s">
        <v>310</v>
      </c>
      <c r="B27" s="638"/>
      <c r="C27" s="509" t="s">
        <v>378</v>
      </c>
      <c r="D27" s="509" t="s">
        <v>313</v>
      </c>
      <c r="E27" s="510" t="s">
        <v>338</v>
      </c>
      <c r="H27" s="502" t="s">
        <v>1418</v>
      </c>
      <c r="I27" s="501" t="e">
        <f>UPPER(VLOOKUP(A1,Complet!A1:DS61,78,0))</f>
        <v>#N/A</v>
      </c>
    </row>
    <row r="28" spans="1:9" x14ac:dyDescent="0.25">
      <c r="A28" s="677" t="e">
        <f>VLOOKUP(A1,Complet!A1:DS61,96,0)</f>
        <v>#N/A</v>
      </c>
      <c r="B28" s="678"/>
      <c r="C28" s="457" t="e">
        <f>VLOOKUP(A1,Complet!A1:DS61,97,0)</f>
        <v>#N/A</v>
      </c>
      <c r="D28" s="459" t="e">
        <f>VLOOKUP(A1,Complet!A1:DS61,99,0)</f>
        <v>#N/A</v>
      </c>
      <c r="E28" s="515" t="e">
        <f>VLOOKUP(A1,Complet!A1:DS61,100,0)</f>
        <v>#N/A</v>
      </c>
      <c r="H28" s="587" t="s">
        <v>1419</v>
      </c>
      <c r="I28" s="588" t="e">
        <f>IF(VLOOKUP(A1,Complet!A1:DS61,80,0)=0,"",VLOOKUP(A1,Complet!A1:DS61,80,0))</f>
        <v>#N/A</v>
      </c>
    </row>
    <row r="29" spans="1:9" ht="16.5" thickBot="1" x14ac:dyDescent="0.3">
      <c r="A29" s="461" t="s">
        <v>341</v>
      </c>
      <c r="B29" s="465" t="s">
        <v>342</v>
      </c>
      <c r="C29" s="465" t="s">
        <v>148</v>
      </c>
      <c r="D29" s="465" t="s">
        <v>352</v>
      </c>
      <c r="E29" s="511" t="s">
        <v>382</v>
      </c>
      <c r="H29" s="500" t="s">
        <v>1420</v>
      </c>
      <c r="I29" s="501" t="e">
        <f>UPPER(VLOOKUP(A1,Complet!A1:DS61,81,0))</f>
        <v>#N/A</v>
      </c>
    </row>
    <row r="30" spans="1:9" ht="16.5" thickBot="1" x14ac:dyDescent="0.3">
      <c r="A30" s="505" t="e">
        <f>VLOOKUP(A1,Complet!A1:DS61,101,0)</f>
        <v>#N/A</v>
      </c>
      <c r="B30" s="506" t="e">
        <f>VLOOKUP(A1,Complet!A1:DS61,102,0)</f>
        <v>#N/A</v>
      </c>
      <c r="C30" s="507" t="e">
        <f>VLOOKUP(A1,Complet!A1:DS61,103,0)</f>
        <v>#N/A</v>
      </c>
      <c r="D30" s="503" t="e">
        <f>VLOOKUP(A1,Complet!A1:DS61,104,0)</f>
        <v>#N/A</v>
      </c>
      <c r="E30" s="508" t="e">
        <f>VLOOKUP(A1,Complet!A1:DS61,105,0)</f>
        <v>#N/A</v>
      </c>
      <c r="H30" s="587" t="s">
        <v>1421</v>
      </c>
      <c r="I30" s="588" t="e">
        <f>IF(VLOOKUP(A1,Complet!A1:DS61,83,0)=0,"",VLOOKUP(A1,Complet!A1:DS61,83,0))</f>
        <v>#N/A</v>
      </c>
    </row>
    <row r="31" spans="1:9" ht="16.5" thickBot="1" x14ac:dyDescent="0.3">
      <c r="A31" s="512" t="s">
        <v>339</v>
      </c>
      <c r="B31" s="513" t="s">
        <v>344</v>
      </c>
      <c r="C31" s="513" t="s">
        <v>303</v>
      </c>
      <c r="D31" s="513" t="s">
        <v>389</v>
      </c>
      <c r="E31" s="514" t="s">
        <v>340</v>
      </c>
      <c r="H31" s="500" t="s">
        <v>1422</v>
      </c>
      <c r="I31" s="501" t="e">
        <f>UPPER(VLOOKUP(A1,Complet!A1:DS61,84,0))</f>
        <v>#N/A</v>
      </c>
    </row>
    <row r="32" spans="1:9" ht="21.75" thickBot="1" x14ac:dyDescent="0.3">
      <c r="A32" s="612" t="e">
        <f>VLOOKUP(A1,Complet!A1:DS61,106,0)</f>
        <v>#N/A</v>
      </c>
      <c r="B32" s="614" t="e">
        <f>VLOOKUP(A1,Complet!A1:DS61,107,0)</f>
        <v>#N/A</v>
      </c>
      <c r="C32" s="615" t="e">
        <f>VLOOKUP(A1,Complet!A1:DS61,108,0)</f>
        <v>#N/A</v>
      </c>
      <c r="D32" s="613" t="e">
        <f>VLOOKUP(A1,Complet!A1:DS61,109,0)</f>
        <v>#N/A</v>
      </c>
      <c r="E32" s="611" t="e">
        <f>VLOOKUP(A1,Complet!A1:DS61,110,0)</f>
        <v>#N/A</v>
      </c>
    </row>
    <row r="33" spans="1:7" x14ac:dyDescent="0.25">
      <c r="A33" s="512" t="s">
        <v>366</v>
      </c>
      <c r="B33" s="513" t="s">
        <v>345</v>
      </c>
      <c r="C33" s="513" t="s">
        <v>346</v>
      </c>
      <c r="D33" s="513" t="s">
        <v>347</v>
      </c>
      <c r="E33" s="514" t="s">
        <v>348</v>
      </c>
    </row>
    <row r="34" spans="1:7" ht="19.5" thickBot="1" x14ac:dyDescent="0.3">
      <c r="A34" s="483" t="e">
        <f>VLOOKUP(A1,Complet!A1:DS61,111,0)</f>
        <v>#N/A</v>
      </c>
      <c r="B34" s="613" t="e">
        <f>VLOOKUP(A1,Complet!A1:DS61,112,0)</f>
        <v>#N/A</v>
      </c>
      <c r="C34" s="613" t="e">
        <f>VLOOKUP(A1,Complet!A1:DS61,113,0)</f>
        <v>#N/A</v>
      </c>
      <c r="D34" s="504" t="e">
        <f>VLOOKUP(A1,Complet!A1:DS61,114,0)</f>
        <v>#N/A</v>
      </c>
      <c r="E34" s="519" t="e">
        <f>VLOOKUP(A1,Complet!A1:DS61,115,0)</f>
        <v>#N/A</v>
      </c>
    </row>
    <row r="35" spans="1:7" ht="31.5" customHeight="1" thickBot="1" x14ac:dyDescent="0.3">
      <c r="A35" s="462" t="s">
        <v>349</v>
      </c>
      <c r="B35" s="679" t="e">
        <f>IF(VLOOKUP(A1,Complet!A1:DS61,116,0)=0,"",VLOOKUP(A1,Complet!A1:DS61,116,0))</f>
        <v>#N/A</v>
      </c>
      <c r="C35" s="679"/>
      <c r="D35" s="679"/>
      <c r="E35" s="680"/>
    </row>
    <row r="37" spans="1:7" ht="31.5" x14ac:dyDescent="0.25">
      <c r="A37" s="616" t="s">
        <v>1424</v>
      </c>
      <c r="B37" s="659" t="e">
        <f>VLOOKUP(A1,Complet!A1:DS61,121,0)</f>
        <v>#N/A</v>
      </c>
      <c r="C37" s="660"/>
      <c r="D37" s="660"/>
      <c r="E37" s="660"/>
      <c r="F37" s="660"/>
      <c r="G37" s="661"/>
    </row>
    <row r="38" spans="1:7" ht="192.75" customHeight="1" x14ac:dyDescent="0.25">
      <c r="A38" s="616" t="s">
        <v>1425</v>
      </c>
      <c r="B38" s="662" t="e">
        <f>VLOOKUP(A1,Complet!A1:DS61,122,0)</f>
        <v>#N/A</v>
      </c>
      <c r="C38" s="663"/>
      <c r="D38" s="663"/>
      <c r="E38" s="663"/>
      <c r="F38" s="663"/>
      <c r="G38" s="664"/>
    </row>
    <row r="308" spans="1:116" x14ac:dyDescent="0.25">
      <c r="A308" s="458" t="s">
        <v>1287</v>
      </c>
      <c r="C308" s="458" t="s">
        <v>1520</v>
      </c>
      <c r="D308" s="458" t="s">
        <v>1521</v>
      </c>
      <c r="E308" s="458" t="s">
        <v>1522</v>
      </c>
      <c r="H308" s="458" t="s">
        <v>1523</v>
      </c>
      <c r="J308" s="458" t="s">
        <v>1287</v>
      </c>
      <c r="K308" s="458" t="s">
        <v>1287</v>
      </c>
      <c r="L308" s="458" t="s">
        <v>1287</v>
      </c>
      <c r="M308" s="458" t="s">
        <v>1287</v>
      </c>
      <c r="N308" s="458" t="s">
        <v>1524</v>
      </c>
      <c r="O308" s="458" t="s">
        <v>1287</v>
      </c>
      <c r="P308" s="458" t="s">
        <v>1287</v>
      </c>
      <c r="S308" s="458" t="s">
        <v>57</v>
      </c>
      <c r="T308" s="458" t="s">
        <v>1287</v>
      </c>
      <c r="Z308" s="458" t="s">
        <v>1287</v>
      </c>
      <c r="AB308" s="458" t="s">
        <v>1287</v>
      </c>
      <c r="AC308" s="458" t="s">
        <v>1287</v>
      </c>
      <c r="AD308" s="458" t="s">
        <v>1287</v>
      </c>
      <c r="AE308" s="458" t="s">
        <v>1287</v>
      </c>
      <c r="AF308" s="458" t="s">
        <v>1287</v>
      </c>
      <c r="AM308" s="458" t="s">
        <v>1287</v>
      </c>
      <c r="AN308" s="458" t="s">
        <v>1287</v>
      </c>
      <c r="AP308" s="458" t="s">
        <v>1287</v>
      </c>
      <c r="AS308" s="458" t="s">
        <v>1287</v>
      </c>
      <c r="AV308" s="458" t="s">
        <v>1287</v>
      </c>
      <c r="AY308" s="458" t="s">
        <v>1287</v>
      </c>
      <c r="AZ308" s="458" t="s">
        <v>1287</v>
      </c>
      <c r="BA308" s="458" t="s">
        <v>1287</v>
      </c>
      <c r="BB308" s="458" t="s">
        <v>1287</v>
      </c>
      <c r="BC308" s="458" t="s">
        <v>1287</v>
      </c>
      <c r="BD308" s="458" t="s">
        <v>1287</v>
      </c>
      <c r="BE308" s="458" t="s">
        <v>1287</v>
      </c>
      <c r="BF308" s="458" t="s">
        <v>1287</v>
      </c>
      <c r="BG308" s="458" t="s">
        <v>1287</v>
      </c>
      <c r="BH308" s="458" t="s">
        <v>1525</v>
      </c>
      <c r="BI308" s="458" t="s">
        <v>1526</v>
      </c>
      <c r="BJ308" s="458" t="s">
        <v>1287</v>
      </c>
      <c r="BK308" s="458" t="s">
        <v>1287</v>
      </c>
      <c r="BM308" s="458" t="s">
        <v>1287</v>
      </c>
      <c r="BN308" s="458" t="s">
        <v>1287</v>
      </c>
      <c r="BP308" s="458" t="s">
        <v>1287</v>
      </c>
      <c r="BQ308" s="458" t="s">
        <v>1287</v>
      </c>
      <c r="BS308" s="458" t="s">
        <v>1287</v>
      </c>
      <c r="BT308" s="458" t="s">
        <v>1287</v>
      </c>
      <c r="BV308" s="458" t="s">
        <v>1287</v>
      </c>
      <c r="BW308" s="458" t="s">
        <v>1287</v>
      </c>
      <c r="BY308" s="458" t="s">
        <v>1287</v>
      </c>
      <c r="BZ308" s="458" t="s">
        <v>1287</v>
      </c>
      <c r="CB308" s="458" t="s">
        <v>1287</v>
      </c>
      <c r="CC308" s="458" t="s">
        <v>1287</v>
      </c>
      <c r="CE308" s="458" t="s">
        <v>1287</v>
      </c>
      <c r="CF308" s="458" t="s">
        <v>1287</v>
      </c>
      <c r="CH308" s="458" t="s">
        <v>1287</v>
      </c>
      <c r="CI308" s="458" t="s">
        <v>1287</v>
      </c>
      <c r="CK308" s="458" t="s">
        <v>1287</v>
      </c>
      <c r="CL308" s="458" t="s">
        <v>1287</v>
      </c>
      <c r="CM308" s="458" t="s">
        <v>1287</v>
      </c>
      <c r="CN308" s="458" t="s">
        <v>1287</v>
      </c>
      <c r="CO308" s="458" t="s">
        <v>1287</v>
      </c>
      <c r="CP308" s="458" t="s">
        <v>1287</v>
      </c>
      <c r="CQ308" s="458" t="s">
        <v>1287</v>
      </c>
      <c r="CR308" s="458" t="s">
        <v>1287</v>
      </c>
      <c r="CS308" s="458" t="s">
        <v>1287</v>
      </c>
      <c r="CU308" s="458" t="s">
        <v>1287</v>
      </c>
      <c r="CV308" s="458" t="s">
        <v>1287</v>
      </c>
      <c r="CW308" s="458" t="s">
        <v>1287</v>
      </c>
      <c r="CX308" s="458" t="s">
        <v>1287</v>
      </c>
      <c r="CY308" s="458" t="s">
        <v>1287</v>
      </c>
      <c r="CZ308" s="458" t="s">
        <v>1287</v>
      </c>
      <c r="DA308" s="458" t="s">
        <v>1287</v>
      </c>
      <c r="DB308" s="458" t="s">
        <v>1287</v>
      </c>
      <c r="DC308" s="458" t="s">
        <v>1287</v>
      </c>
      <c r="DD308" s="458" t="s">
        <v>1287</v>
      </c>
      <c r="DE308" s="458" t="s">
        <v>1287</v>
      </c>
      <c r="DF308" s="458" t="s">
        <v>1287</v>
      </c>
      <c r="DG308" s="458" t="s">
        <v>1287</v>
      </c>
      <c r="DH308" s="458" t="s">
        <v>1287</v>
      </c>
      <c r="DI308" s="458" t="s">
        <v>1287</v>
      </c>
      <c r="DJ308" s="458" t="s">
        <v>1287</v>
      </c>
      <c r="DK308" s="458" t="s">
        <v>1287</v>
      </c>
      <c r="DL308" s="458" t="s">
        <v>1287</v>
      </c>
    </row>
  </sheetData>
  <mergeCells count="25">
    <mergeCell ref="B38:G38"/>
    <mergeCell ref="B5:C5"/>
    <mergeCell ref="B6:C6"/>
    <mergeCell ref="B7:C7"/>
    <mergeCell ref="B8:C8"/>
    <mergeCell ref="D12:E12"/>
    <mergeCell ref="F14:F15"/>
    <mergeCell ref="A28:B28"/>
    <mergeCell ref="B35:E35"/>
    <mergeCell ref="B9:C9"/>
    <mergeCell ref="B10:C10"/>
    <mergeCell ref="B13:C13"/>
    <mergeCell ref="B14:C14"/>
    <mergeCell ref="B15:C15"/>
    <mergeCell ref="C2:D2"/>
    <mergeCell ref="C1:D1"/>
    <mergeCell ref="A1:B1"/>
    <mergeCell ref="D13:E15"/>
    <mergeCell ref="B37:G37"/>
    <mergeCell ref="H12:I14"/>
    <mergeCell ref="A27:B27"/>
    <mergeCell ref="H11:I11"/>
    <mergeCell ref="A3:F3"/>
    <mergeCell ref="B12:C12"/>
    <mergeCell ref="B11:C11"/>
  </mergeCells>
  <conditionalFormatting sqref="C1">
    <cfRule type="containsText" dxfId="3315" priority="256" operator="containsText" text="Fiche Complète">
      <formula>NOT(ISERROR(SEARCH("Fiche Complète",C1)))</formula>
    </cfRule>
  </conditionalFormatting>
  <conditionalFormatting sqref="C1">
    <cfRule type="containsText" dxfId="3314" priority="255" operator="containsText" text="Mini">
      <formula>NOT(ISERROR(SEARCH("Mini",C1)))</formula>
    </cfRule>
  </conditionalFormatting>
  <conditionalFormatting sqref="C1">
    <cfRule type="containsText" dxfId="3313" priority="254" operator="containsText" text="Fiche Imcomplète">
      <formula>NOT(ISERROR(SEARCH("Fiche Imcomplète",C1)))</formula>
    </cfRule>
  </conditionalFormatting>
  <conditionalFormatting sqref="C1">
    <cfRule type="containsText" dxfId="3312" priority="253" operator="containsText" text="A Jour - Étude Envoyée">
      <formula>NOT(ISERROR(SEARCH("A Jour - Étude Envoyée",C1)))</formula>
    </cfRule>
  </conditionalFormatting>
  <conditionalFormatting sqref="E5">
    <cfRule type="containsText" dxfId="3311" priority="225" operator="containsText" text="Autre">
      <formula>NOT(ISERROR(SEARCH("Autre",E5)))</formula>
    </cfRule>
    <cfRule type="containsText" dxfId="3310" priority="226" operator="containsText" text="Prev. Part">
      <formula>NOT(ISERROR(SEARCH("Prev. Part",E5)))</formula>
    </cfRule>
    <cfRule type="containsText" dxfId="3309" priority="227" operator="containsText" text="Santé Collective">
      <formula>NOT(ISERROR(SEARCH("Santé Collective",E5)))</formula>
    </cfRule>
    <cfRule type="containsText" dxfId="3308" priority="228" operator="containsText" text="Santé Individuelle">
      <formula>NOT(ISERROR(SEARCH("Santé Individuelle",E5)))</formula>
    </cfRule>
    <cfRule type="containsText" dxfId="3307" priority="229" operator="containsText" text="Prev. Pro">
      <formula>NOT(ISERROR(SEARCH("Prev. Pro",E5)))</formula>
    </cfRule>
  </conditionalFormatting>
  <conditionalFormatting sqref="B8">
    <cfRule type="containsText" dxfId="3306" priority="215" operator="containsText" text="Sympathie">
      <formula>NOT(ISERROR(SEARCH("Sympathie",B8)))</formula>
    </cfRule>
  </conditionalFormatting>
  <conditionalFormatting sqref="B8">
    <cfRule type="containsText" dxfId="3305" priority="216" operator="containsText" text="Argent">
      <formula>NOT(ISERROR(SEARCH("Argent",B8)))</formula>
    </cfRule>
    <cfRule type="containsText" dxfId="3304" priority="217" operator="containsText" text="Confort">
      <formula>NOT(ISERROR(SEARCH("Confort",B8)))</formula>
    </cfRule>
    <cfRule type="containsText" dxfId="3303" priority="218" operator="containsText" text="Nouveauté">
      <formula>NOT(ISERROR(SEARCH("Nouveauté",B8)))</formula>
    </cfRule>
    <cfRule type="containsText" dxfId="3302" priority="219" operator="containsText" text="Orgueil">
      <formula>NOT(ISERROR(SEARCH("Orgueil",B8)))</formula>
    </cfRule>
    <cfRule type="containsText" dxfId="3301" priority="220" operator="containsText" text="Sécurité">
      <formula>NOT(ISERROR(SEARCH("Sécurité",B8)))</formula>
    </cfRule>
  </conditionalFormatting>
  <conditionalFormatting sqref="E6">
    <cfRule type="containsText" dxfId="3300" priority="205" operator="containsText" text="CEGEMA">
      <formula>NOT(ISERROR(SEARCH("CEGEMA",E6)))</formula>
    </cfRule>
    <cfRule type="containsText" dxfId="3299" priority="206" operator="containsText" text="ASAF">
      <formula>NOT(ISERROR(SEARCH("ASAF",E6)))</formula>
    </cfRule>
    <cfRule type="containsText" dxfId="3298" priority="207" operator="containsText" text="AVIVA">
      <formula>NOT(ISERROR(SEARCH("AVIVA",E6)))</formula>
    </cfRule>
    <cfRule type="containsText" dxfId="3297" priority="208" operator="containsText" text="CIPRES">
      <formula>NOT(ISERROR(SEARCH("CIPRES",E6)))</formula>
    </cfRule>
    <cfRule type="containsText" dxfId="3296" priority="209" operator="containsText" text="ALPTIS">
      <formula>NOT(ISERROR(SEARCH("ALPTIS",E6)))</formula>
    </cfRule>
    <cfRule type="containsText" dxfId="3295" priority="210" operator="containsText" text="NEOLIANE">
      <formula>NOT(ISERROR(SEARCH("NEOLIANE",E6)))</formula>
    </cfRule>
    <cfRule type="containsText" dxfId="3294" priority="211" operator="containsText" text="SWISSLIFE">
      <formula>NOT(ISERROR(SEARCH("SWISSLIFE",E6)))</formula>
    </cfRule>
    <cfRule type="containsText" dxfId="3293" priority="212" operator="containsText" text="APRIL">
      <formula>NOT(ISERROR(SEARCH("APRIL",E6)))</formula>
    </cfRule>
  </conditionalFormatting>
  <conditionalFormatting sqref="A8:B8">
    <cfRule type="expression" dxfId="3292" priority="190">
      <formula>$B8=0</formula>
    </cfRule>
  </conditionalFormatting>
  <conditionalFormatting sqref="B17">
    <cfRule type="containsText" dxfId="3291" priority="187" operator="containsText" text="Pré 2018 OK">
      <formula>NOT(ISERROR(SEARCH("Pré 2018 OK",B17)))</formula>
    </cfRule>
    <cfRule type="containsText" dxfId="3290" priority="188" operator="containsText" text="Pré 2018 à Voir">
      <formula>NOT(ISERROR(SEARCH("Pré 2018 à Voir",B17)))</formula>
    </cfRule>
    <cfRule type="containsText" dxfId="3289" priority="189" operator="containsText" text="Pré 2018 KO">
      <formula>NOT(ISERROR(SEARCH("Pré 2018 KO",B17)))</formula>
    </cfRule>
  </conditionalFormatting>
  <conditionalFormatting sqref="A20">
    <cfRule type="expression" dxfId="3288" priority="178">
      <formula>$B19=0</formula>
    </cfRule>
  </conditionalFormatting>
  <conditionalFormatting sqref="B19">
    <cfRule type="expression" dxfId="3287" priority="177">
      <formula>$B19=0</formula>
    </cfRule>
  </conditionalFormatting>
  <conditionalFormatting sqref="B20">
    <cfRule type="expression" dxfId="3286" priority="176">
      <formula>$B19=0</formula>
    </cfRule>
  </conditionalFormatting>
  <conditionalFormatting sqref="A19">
    <cfRule type="expression" dxfId="3285" priority="175">
      <formula>$B19=0</formula>
    </cfRule>
  </conditionalFormatting>
  <conditionalFormatting sqref="A23:E23">
    <cfRule type="cellIs" dxfId="3284" priority="172" operator="equal">
      <formula>0</formula>
    </cfRule>
  </conditionalFormatting>
  <conditionalFormatting sqref="F12">
    <cfRule type="containsText" dxfId="3283" priority="153" operator="containsText" text="OK">
      <formula>NOT(ISERROR(SEARCH("OK",F12)))</formula>
    </cfRule>
    <cfRule type="containsText" dxfId="3282" priority="165" operator="containsText" text="Programmée">
      <formula>NOT(ISERROR(SEARCH("Programmée",F12)))</formula>
    </cfRule>
    <cfRule type="expression" dxfId="3281" priority="168">
      <formula>$F8="Aucune"</formula>
    </cfRule>
  </conditionalFormatting>
  <conditionalFormatting sqref="F14">
    <cfRule type="containsText" dxfId="3280" priority="162" operator="containsText" text="OK">
      <formula>NOT(ISERROR(SEARCH("OK",F14)))</formula>
    </cfRule>
  </conditionalFormatting>
  <conditionalFormatting sqref="F8">
    <cfRule type="expression" dxfId="3279" priority="8444">
      <formula>$F12="Programmée"</formula>
    </cfRule>
    <cfRule type="expression" dxfId="3278" priority="8445">
      <formula>$F12="OK"</formula>
    </cfRule>
    <cfRule type="containsText" dxfId="3277" priority="8446" operator="containsText" text="Aucune">
      <formula>NOT(ISERROR(SEARCH("Aucune",F8)))</formula>
    </cfRule>
  </conditionalFormatting>
  <conditionalFormatting sqref="F10">
    <cfRule type="expression" dxfId="3276" priority="155">
      <formula>$F8="Aucune"</formula>
    </cfRule>
    <cfRule type="expression" dxfId="3275" priority="8447">
      <formula>$F12="OK"</formula>
    </cfRule>
    <cfRule type="expression" dxfId="3274" priority="8448">
      <formula>$F12="Programmée"</formula>
    </cfRule>
  </conditionalFormatting>
  <conditionalFormatting sqref="F11">
    <cfRule type="expression" dxfId="3273" priority="154">
      <formula>$F8="Aucune"</formula>
    </cfRule>
  </conditionalFormatting>
  <conditionalFormatting sqref="F13">
    <cfRule type="expression" dxfId="3272" priority="152">
      <formula>$F12&lt;&gt;"Programmée"</formula>
    </cfRule>
  </conditionalFormatting>
  <conditionalFormatting sqref="F14:F15">
    <cfRule type="expression" dxfId="3271" priority="151">
      <formula>$F12&lt;&gt;"Programmée"</formula>
    </cfRule>
  </conditionalFormatting>
  <conditionalFormatting sqref="A8">
    <cfRule type="expression" dxfId="3270" priority="150">
      <formula>$B8=0</formula>
    </cfRule>
  </conditionalFormatting>
  <conditionalFormatting sqref="F18">
    <cfRule type="cellIs" dxfId="3269" priority="139" operator="greaterThanOrEqual">
      <formula>2</formula>
    </cfRule>
    <cfRule type="cellIs" dxfId="3268" priority="140" operator="between">
      <formula>1</formula>
      <formula>1.99999999999999</formula>
    </cfRule>
    <cfRule type="cellIs" dxfId="3267" priority="141" operator="lessThan">
      <formula>1</formula>
    </cfRule>
  </conditionalFormatting>
  <conditionalFormatting sqref="A28">
    <cfRule type="expression" dxfId="3266" priority="135">
      <formula>OR($C28="4321A",$C28="4322A",$C28="4332A")</formula>
    </cfRule>
  </conditionalFormatting>
  <conditionalFormatting sqref="A28">
    <cfRule type="expression" dxfId="3265" priority="126">
      <formula>$C28="8690E"</formula>
    </cfRule>
    <cfRule type="expression" dxfId="3264" priority="127">
      <formula>$C28="8690D"</formula>
    </cfRule>
    <cfRule type="expression" dxfId="3263" priority="128">
      <formula>OR($C28="7112B",$C28="7120B",$C28="7410Z")</formula>
    </cfRule>
    <cfRule type="expression" dxfId="3262" priority="129">
      <formula>OR($C28="7022Z",$C28="7021Z")</formula>
    </cfRule>
    <cfRule type="expression" dxfId="3261" priority="130">
      <formula>$C28="6831Z"</formula>
    </cfRule>
    <cfRule type="expression" dxfId="3260" priority="131">
      <formula>$C28="8690F"</formula>
    </cfRule>
    <cfRule type="expression" dxfId="3259" priority="133">
      <formula>$C28="6202A"</formula>
    </cfRule>
  </conditionalFormatting>
  <conditionalFormatting sqref="C28">
    <cfRule type="expression" dxfId="3258" priority="125">
      <formula>OR($C28="4321A",$C28="4322A",$C28="4332A")</formula>
    </cfRule>
  </conditionalFormatting>
  <conditionalFormatting sqref="C28">
    <cfRule type="expression" dxfId="3257" priority="116">
      <formula>$C28="8690E"</formula>
    </cfRule>
    <cfRule type="expression" dxfId="3256" priority="117">
      <formula>$C28="8690D"</formula>
    </cfRule>
    <cfRule type="expression" dxfId="3255" priority="118">
      <formula>OR($C28="7112B",$C28="7120B",$C28="7410Z")</formula>
    </cfRule>
    <cfRule type="expression" dxfId="3254" priority="119">
      <formula>OR($C28="7022Z",$C28="7021Z")</formula>
    </cfRule>
    <cfRule type="expression" dxfId="3253" priority="120">
      <formula>$C28="6831Z"</formula>
    </cfRule>
    <cfRule type="expression" dxfId="3252" priority="121">
      <formula>$C28="8690F"</formula>
    </cfRule>
    <cfRule type="expression" dxfId="3251" priority="123">
      <formula>$C28="6202A"</formula>
    </cfRule>
  </conditionalFormatting>
  <conditionalFormatting sqref="B30">
    <cfRule type="containsText" dxfId="3250" priority="115" operator="containsText" text="Oui">
      <formula>NOT(ISERROR(SEARCH("Oui",B30)))</formula>
    </cfRule>
  </conditionalFormatting>
  <conditionalFormatting sqref="D30">
    <cfRule type="containsText" dxfId="3249" priority="102" operator="containsText" text="Plus Tard">
      <formula>NOT(ISERROR(SEARCH("Plus Tard",D30)))</formula>
    </cfRule>
    <cfRule type="containsText" dxfId="3248" priority="103" operator="containsText" text="Étude à Faire">
      <formula>NOT(ISERROR(SEARCH("Étude à Faire",D30)))</formula>
    </cfRule>
    <cfRule type="containsText" dxfId="3247" priority="104" operator="containsText" text="Étude KO">
      <formula>NOT(ISERROR(SEARCH("Étude KO",D30)))</formula>
    </cfRule>
    <cfRule type="containsText" dxfId="3246" priority="112" operator="containsText" text="OK - Couplé">
      <formula>NOT(ISERROR(SEARCH("OK - Couplé",D30)))</formula>
    </cfRule>
  </conditionalFormatting>
  <conditionalFormatting sqref="A32">
    <cfRule type="cellIs" dxfId="3245" priority="101" operator="greaterThan">
      <formula>0</formula>
    </cfRule>
  </conditionalFormatting>
  <conditionalFormatting sqref="D32">
    <cfRule type="cellIs" dxfId="3244" priority="99" operator="greaterThan">
      <formula>0</formula>
    </cfRule>
  </conditionalFormatting>
  <conditionalFormatting sqref="E32">
    <cfRule type="cellIs" dxfId="3243" priority="98" operator="greaterThan">
      <formula>0</formula>
    </cfRule>
  </conditionalFormatting>
  <conditionalFormatting sqref="B32">
    <cfRule type="containsText" dxfId="3242" priority="97" operator="containsText" text="Sans">
      <formula>NOT(ISERROR(SEARCH("Sans",B32)))</formula>
    </cfRule>
  </conditionalFormatting>
  <conditionalFormatting sqref="A34">
    <cfRule type="containsText" dxfId="3241" priority="96" operator="containsText" text="Barème">
      <formula>NOT(ISERROR(SEARCH("Barème",A34)))</formula>
    </cfRule>
  </conditionalFormatting>
  <conditionalFormatting sqref="B34:C34">
    <cfRule type="cellIs" dxfId="3240" priority="95" operator="greaterThan">
      <formula>0</formula>
    </cfRule>
  </conditionalFormatting>
  <conditionalFormatting sqref="D34:E34">
    <cfRule type="containsText" dxfId="3239" priority="94" operator="containsText" text="oui">
      <formula>NOT(ISERROR(SEARCH("oui",D34)))</formula>
    </cfRule>
  </conditionalFormatting>
  <conditionalFormatting sqref="A30">
    <cfRule type="containsText" dxfId="3238" priority="93" operator="containsText" text="oui">
      <formula>NOT(ISERROR(SEARCH("oui",A30)))</formula>
    </cfRule>
  </conditionalFormatting>
  <conditionalFormatting sqref="C30">
    <cfRule type="containsText" dxfId="3237" priority="92" operator="containsText" text="oui">
      <formula>NOT(ISERROR(SEARCH("oui",C30)))</formula>
    </cfRule>
  </conditionalFormatting>
  <conditionalFormatting sqref="E30">
    <cfRule type="containsText" dxfId="3236" priority="91" operator="containsText" text="oui">
      <formula>NOT(ISERROR(SEARCH("oui",E30)))</formula>
    </cfRule>
  </conditionalFormatting>
  <conditionalFormatting sqref="F9">
    <cfRule type="expression" dxfId="3235" priority="90">
      <formula>$F8="Aucune"</formula>
    </cfRule>
  </conditionalFormatting>
  <conditionalFormatting sqref="A27:E35">
    <cfRule type="expression" dxfId="3234" priority="82">
      <formula>$E$5&lt;&gt;"Prev. Pro"</formula>
    </cfRule>
  </conditionalFormatting>
  <conditionalFormatting sqref="H16:I31 H5:I14">
    <cfRule type="expression" dxfId="3233" priority="3">
      <formula>$E$5&lt;&gt;"Santé Individuelle"</formula>
    </cfRule>
  </conditionalFormatting>
  <conditionalFormatting sqref="A14:C15">
    <cfRule type="expression" dxfId="3232" priority="80">
      <formula>$E$5&lt;&gt;"Santé Individuelle"</formula>
    </cfRule>
  </conditionalFormatting>
  <conditionalFormatting sqref="A10:C10">
    <cfRule type="expression" dxfId="3231" priority="79">
      <formula>$B$10=""</formula>
    </cfRule>
  </conditionalFormatting>
  <conditionalFormatting sqref="E1">
    <cfRule type="containsText" dxfId="3230" priority="71" operator="containsText" text="CEGEMA">
      <formula>NOT(ISERROR(SEARCH("CEGEMA",E1)))</formula>
    </cfRule>
    <cfRule type="containsText" dxfId="3229" priority="72" operator="containsText" text="ASAF">
      <formula>NOT(ISERROR(SEARCH("ASAF",E1)))</formula>
    </cfRule>
    <cfRule type="containsText" dxfId="3228" priority="73" operator="containsText" text="AVIVA">
      <formula>NOT(ISERROR(SEARCH("AVIVA",E1)))</formula>
    </cfRule>
    <cfRule type="containsText" dxfId="3227" priority="74" operator="containsText" text="CIPRES">
      <formula>NOT(ISERROR(SEARCH("CIPRES",E1)))</formula>
    </cfRule>
    <cfRule type="containsText" dxfId="3226" priority="75" operator="containsText" text="ALPTIS">
      <formula>NOT(ISERROR(SEARCH("ALPTIS",E1)))</formula>
    </cfRule>
    <cfRule type="containsText" dxfId="3225" priority="76" operator="containsText" text="NEOLIANE">
      <formula>NOT(ISERROR(SEARCH("NEOLIANE",E1)))</formula>
    </cfRule>
    <cfRule type="containsText" dxfId="3224" priority="77" operator="containsText" text="SWISSLIFE">
      <formula>NOT(ISERROR(SEARCH("SWISSLIFE",E1)))</formula>
    </cfRule>
    <cfRule type="containsText" dxfId="3223" priority="78" operator="containsText" text="APRIL">
      <formula>NOT(ISERROR(SEARCH("APRIL",E1)))</formula>
    </cfRule>
  </conditionalFormatting>
  <conditionalFormatting sqref="F20">
    <cfRule type="expression" dxfId="3222" priority="68">
      <formula>$F20-TODAY()&lt;30</formula>
    </cfRule>
  </conditionalFormatting>
  <conditionalFormatting sqref="F20">
    <cfRule type="expression" dxfId="3221" priority="70">
      <formula>$F20-TODAY()&gt;90</formula>
    </cfRule>
  </conditionalFormatting>
  <conditionalFormatting sqref="D18">
    <cfRule type="cellIs" dxfId="3220" priority="61" operator="greaterThanOrEqual">
      <formula>2</formula>
    </cfRule>
    <cfRule type="cellIs" dxfId="3219" priority="62" operator="between">
      <formula>1</formula>
      <formula>1.99999999999999</formula>
    </cfRule>
    <cfRule type="cellIs" dxfId="3218" priority="63" operator="lessThan">
      <formula>1</formula>
    </cfRule>
  </conditionalFormatting>
  <conditionalFormatting sqref="A3">
    <cfRule type="expression" dxfId="3217" priority="31">
      <formula>OR($F6="A Trouver",$F6="Pas Trouvé",)</formula>
    </cfRule>
    <cfRule type="expression" dxfId="3216" priority="32">
      <formula>OR($F6="Annulé",$F6="Résilié",$F6="Résilié - Groupe",$F6="Résilié - ACS",$F6="Impayé",$F6="Radié")</formula>
    </cfRule>
    <cfRule type="expression" dxfId="3215" priority="33">
      <formula>OR($F6="Refus",$F6="Refus Médical",$F6="Sans Suite",$F6="Déjà Signé")</formula>
    </cfRule>
    <cfRule type="expression" dxfId="3214" priority="57">
      <formula>$F12="Retour"</formula>
    </cfRule>
    <cfRule type="expression" dxfId="3213" priority="58">
      <formula>$F12="OK"</formula>
    </cfRule>
    <cfRule type="expression" dxfId="3212" priority="59">
      <formula>$F12="Programmée"</formula>
    </cfRule>
    <cfRule type="expression" dxfId="3211" priority="60">
      <formula>AND($F6="V",$F8="Aucune")</formula>
    </cfRule>
  </conditionalFormatting>
  <conditionalFormatting sqref="F6">
    <cfRule type="expression" dxfId="3210" priority="24">
      <formula>OR($F6="A Trouver",$F6="Pas Trouvé",)</formula>
    </cfRule>
    <cfRule type="expression" dxfId="3209" priority="25">
      <formula>OR($F6="Annulé",$F6="Résilié",$F6="Résilié - Groupe",$F6="Résilié - ACS",$F6="Impayé",$F6="Radié")</formula>
    </cfRule>
    <cfRule type="expression" dxfId="3208" priority="26">
      <formula>OR($F6="Refus",$F6="Refus Médical",$F6="Sans Suite",$F6="Déjà Signé")</formula>
    </cfRule>
  </conditionalFormatting>
  <conditionalFormatting sqref="C32">
    <cfRule type="containsText" dxfId="3207" priority="18" operator="containsText" text="Longues">
      <formula>NOT(ISERROR(SEARCH("Longues",C32)))</formula>
    </cfRule>
    <cfRule type="containsText" dxfId="3206" priority="19" operator="containsText" text="Normales">
      <formula>NOT(ISERROR(SEARCH("Normales",C32)))</formula>
    </cfRule>
    <cfRule type="containsText" dxfId="3205" priority="20" operator="containsText" text="Très Courtes">
      <formula>NOT(ISERROR(SEARCH("Très Courtes",C32)))</formula>
    </cfRule>
    <cfRule type="containsText" dxfId="3204" priority="21" operator="containsText" text="Courtes">
      <formula>NOT(ISERROR(SEARCH("Courtes",C32)))</formula>
    </cfRule>
  </conditionalFormatting>
  <conditionalFormatting sqref="H18:I18">
    <cfRule type="expression" dxfId="3203" priority="9341">
      <formula>$H$1&lt;2</formula>
    </cfRule>
  </conditionalFormatting>
  <conditionalFormatting sqref="H19:I19">
    <cfRule type="expression" dxfId="3202" priority="9342">
      <formula>$H$1&lt;2</formula>
    </cfRule>
    <cfRule type="expression" dxfId="3201" priority="9343">
      <formula>$H$1&lt;2</formula>
    </cfRule>
  </conditionalFormatting>
  <conditionalFormatting sqref="H20:I25">
    <cfRule type="expression" dxfId="3200" priority="9347">
      <formula>$J$1&lt;1</formula>
    </cfRule>
  </conditionalFormatting>
  <conditionalFormatting sqref="H26:I31">
    <cfRule type="expression" dxfId="3199" priority="9348">
      <formula>$J$1&lt;4</formula>
    </cfRule>
  </conditionalFormatting>
  <conditionalFormatting sqref="H20:I20">
    <cfRule type="expression" dxfId="3198" priority="9349">
      <formula>$J$1&gt;1</formula>
    </cfRule>
  </conditionalFormatting>
  <conditionalFormatting sqref="B37:G37">
    <cfRule type="expression" dxfId="3197" priority="9350">
      <formula>OR($E$6="",$H$1="",$J$1="",$B$11="",)</formula>
    </cfRule>
  </conditionalFormatting>
  <conditionalFormatting sqref="B38:G38">
    <cfRule type="expression" dxfId="3196" priority="9353">
      <formula>OR($E$8="",$D$23="",$D$25="",$E$6="")</formula>
    </cfRule>
  </conditionalFormatting>
  <conditionalFormatting sqref="G1:J1">
    <cfRule type="expression" dxfId="3195" priority="1">
      <formula>$E$5&lt;&gt;"Santé Individuelle"</formula>
    </cfRule>
  </conditionalFormatting>
  <dataValidations count="1">
    <dataValidation type="list" allowBlank="1" showInputMessage="1" sqref="A1:B1">
      <formula1>IF(A1&lt;&gt;"",OFFSET(nompren,MATCH(A1,LEFT(nompren,LEN(A1)),0)-1,,SUM((LEFT(nompren,LEN(A1))=A1)*1)),)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DR61"/>
  <sheetViews>
    <sheetView tabSelected="1"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13" sqref="D13"/>
    </sheetView>
  </sheetViews>
  <sheetFormatPr baseColWidth="10" defaultColWidth="9.140625" defaultRowHeight="15" x14ac:dyDescent="0.25"/>
  <cols>
    <col min="1" max="1" width="2.42578125" style="600" customWidth="1"/>
    <col min="2" max="2" width="1.5703125" style="228" customWidth="1"/>
    <col min="3" max="3" width="23.7109375" style="226" bestFit="1" customWidth="1"/>
    <col min="4" max="4" width="19.140625" style="226" bestFit="1" customWidth="1"/>
    <col min="5" max="5" width="12.28515625" style="226" customWidth="1"/>
    <col min="6" max="6" width="10.5703125" style="226" bestFit="1" customWidth="1"/>
    <col min="7" max="7" width="15.28515625" style="226" bestFit="1" customWidth="1"/>
    <col min="8" max="8" width="11.5703125" style="232" customWidth="1"/>
    <col min="9" max="9" width="4.42578125" style="310" customWidth="1"/>
    <col min="10" max="10" width="19.42578125" style="226" bestFit="1" customWidth="1"/>
    <col min="11" max="11" width="15" style="226" bestFit="1" customWidth="1"/>
    <col min="12" max="12" width="17" style="233" bestFit="1" customWidth="1"/>
    <col min="13" max="13" width="10.28515625" style="233" bestFit="1" customWidth="1"/>
    <col min="14" max="14" width="10.85546875" style="233" customWidth="1"/>
    <col min="15" max="15" width="7.7109375" style="233" customWidth="1"/>
    <col min="16" max="16" width="17.140625" style="234" bestFit="1" customWidth="1"/>
    <col min="17" max="17" width="2.42578125" style="233" customWidth="1"/>
    <col min="18" max="18" width="8.140625" style="226" customWidth="1"/>
    <col min="19" max="19" width="15" style="233" customWidth="1"/>
    <col min="20" max="20" width="7.42578125" style="235" customWidth="1"/>
    <col min="21" max="21" width="8.140625" style="231" customWidth="1"/>
    <col min="22" max="22" width="10" style="236" customWidth="1"/>
    <col min="23" max="23" width="8.85546875" style="231" customWidth="1"/>
    <col min="24" max="24" width="9.28515625" style="231" customWidth="1"/>
    <col min="25" max="25" width="8" style="231" customWidth="1"/>
    <col min="26" max="26" width="12" style="231" bestFit="1" customWidth="1"/>
    <col min="27" max="27" width="5.140625" style="233" customWidth="1"/>
    <col min="28" max="28" width="19.85546875" style="226" customWidth="1"/>
    <col min="29" max="29" width="13.5703125" style="226" customWidth="1"/>
    <col min="30" max="30" width="13.42578125" style="226" customWidth="1"/>
    <col min="31" max="31" width="15.5703125" style="226" customWidth="1"/>
    <col min="32" max="32" width="53.7109375" style="226" customWidth="1"/>
    <col min="33" max="33" width="11.5703125" style="226" customWidth="1"/>
    <col min="34" max="34" width="8.5703125" style="226" customWidth="1"/>
    <col min="35" max="35" width="11.5703125" style="226" customWidth="1"/>
    <col min="36" max="36" width="12" style="226" customWidth="1"/>
    <col min="37" max="37" width="12.28515625" style="226" customWidth="1"/>
    <col min="38" max="38" width="7.85546875" style="226" customWidth="1"/>
    <col min="39" max="40" width="8.7109375" style="226" customWidth="1"/>
    <col min="41" max="41" width="8.42578125" style="226" customWidth="1"/>
    <col min="42" max="42" width="8.7109375" style="226" customWidth="1"/>
    <col min="43" max="43" width="8.42578125" style="226" customWidth="1"/>
    <col min="44" max="44" width="12.42578125" style="229" customWidth="1"/>
    <col min="45" max="45" width="8.7109375" style="226" customWidth="1"/>
    <col min="46" max="46" width="8.42578125" style="226" bestFit="1" customWidth="1"/>
    <col min="47" max="47" width="12.42578125" style="229" bestFit="1" customWidth="1"/>
    <col min="48" max="48" width="8.5703125" style="226" customWidth="1"/>
    <col min="49" max="49" width="8.42578125" style="226" customWidth="1"/>
    <col min="50" max="50" width="12.42578125" style="229" customWidth="1"/>
    <col min="51" max="51" width="11.42578125" style="226" customWidth="1"/>
    <col min="52" max="52" width="23.5703125" style="226" customWidth="1"/>
    <col min="53" max="53" width="6.5703125" style="226" customWidth="1"/>
    <col min="54" max="54" width="40.5703125" style="226" customWidth="1"/>
    <col min="55" max="56" width="14.140625" style="226" customWidth="1"/>
    <col min="57" max="57" width="35.140625" style="226" customWidth="1"/>
    <col min="58" max="58" width="20.7109375" style="226" customWidth="1"/>
    <col min="59" max="59" width="18" style="226" bestFit="1" customWidth="1"/>
    <col min="60" max="60" width="2.7109375" style="226" customWidth="1"/>
    <col min="61" max="61" width="2.28515625" style="226" customWidth="1"/>
    <col min="62" max="62" width="11.5703125" style="226" customWidth="1"/>
    <col min="63" max="63" width="6.42578125" style="226" bestFit="1" customWidth="1"/>
    <col min="64" max="64" width="5.85546875" style="226" customWidth="1"/>
    <col min="65" max="65" width="11.5703125" style="226" customWidth="1"/>
    <col min="66" max="66" width="8.42578125" style="226" customWidth="1"/>
    <col min="67" max="67" width="5.85546875" style="226" customWidth="1"/>
    <col min="68" max="68" width="11.5703125" style="226" customWidth="1"/>
    <col min="69" max="69" width="7" style="226" customWidth="1"/>
    <col min="70" max="70" width="7.140625" style="226" customWidth="1"/>
    <col min="71" max="71" width="11.5703125" style="226" customWidth="1"/>
    <col min="72" max="72" width="7" style="226" customWidth="1"/>
    <col min="73" max="73" width="7.140625" style="226" customWidth="1"/>
    <col min="74" max="74" width="11.5703125" style="226" customWidth="1"/>
    <col min="75" max="75" width="7" style="226" customWidth="1"/>
    <col min="76" max="76" width="7.140625" style="226" customWidth="1"/>
    <col min="77" max="77" width="11.5703125" style="226" customWidth="1"/>
    <col min="78" max="78" width="7" style="226" customWidth="1"/>
    <col min="79" max="79" width="7.140625" style="226" customWidth="1"/>
    <col min="80" max="80" width="7.42578125" style="226" customWidth="1"/>
    <col min="81" max="81" width="7" style="226" customWidth="1"/>
    <col min="82" max="82" width="7.140625" style="226" customWidth="1"/>
    <col min="83" max="83" width="7.42578125" style="226" customWidth="1"/>
    <col min="84" max="84" width="7" style="226" customWidth="1"/>
    <col min="85" max="85" width="7.140625" style="226" customWidth="1"/>
    <col min="86" max="86" width="7.42578125" style="226" customWidth="1"/>
    <col min="87" max="87" width="7" style="226" customWidth="1"/>
    <col min="88" max="88" width="7.140625" style="226" customWidth="1"/>
    <col min="89" max="89" width="8.28515625" style="226" customWidth="1"/>
    <col min="90" max="90" width="8.85546875" style="226" customWidth="1"/>
    <col min="91" max="91" width="10" style="226" customWidth="1"/>
    <col min="92" max="92" width="6.28515625" style="226" customWidth="1"/>
    <col min="93" max="93" width="8.140625" style="226" customWidth="1"/>
    <col min="94" max="94" width="7.7109375" style="226" customWidth="1"/>
    <col min="95" max="95" width="25.28515625" style="226" customWidth="1"/>
    <col min="96" max="96" width="32.85546875" style="226" customWidth="1"/>
    <col min="97" max="97" width="7" style="226" bestFit="1" customWidth="1"/>
    <col min="98" max="98" width="4.5703125" style="226" customWidth="1"/>
    <col min="99" max="99" width="10.85546875" style="226" customWidth="1"/>
    <col min="100" max="100" width="12.85546875" style="379" bestFit="1" customWidth="1"/>
    <col min="101" max="101" width="8" style="226" customWidth="1"/>
    <col min="102" max="102" width="20.7109375" style="226" customWidth="1"/>
    <col min="103" max="103" width="7.85546875" style="226" customWidth="1"/>
    <col min="104" max="104" width="14.140625" style="226" customWidth="1"/>
    <col min="105" max="105" width="26.28515625" style="226" customWidth="1"/>
    <col min="106" max="106" width="7.7109375" style="226" customWidth="1"/>
    <col min="107" max="107" width="8.7109375" style="226" customWidth="1"/>
    <col min="108" max="108" width="13.140625" style="226" customWidth="1"/>
    <col min="109" max="109" width="8.85546875" style="226" customWidth="1"/>
    <col min="110" max="110" width="9.85546875" style="226" customWidth="1"/>
    <col min="111" max="111" width="27.42578125" style="226" customWidth="1"/>
    <col min="112" max="112" width="11.28515625" style="226" customWidth="1"/>
    <col min="113" max="113" width="9.5703125" style="226" customWidth="1"/>
    <col min="114" max="115" width="5.140625" style="226" customWidth="1"/>
    <col min="116" max="116" width="28.5703125" style="230" customWidth="1"/>
    <col min="117" max="117" width="6.42578125" style="226" customWidth="1"/>
    <col min="118" max="118" width="5.7109375" style="226" customWidth="1"/>
    <col min="119" max="119" width="24.28515625" style="226" customWidth="1"/>
    <col min="120" max="120" width="40.5703125" style="226" customWidth="1"/>
    <col min="121" max="121" width="117.28515625" style="226" customWidth="1"/>
    <col min="122" max="122" width="255.7109375" style="226" customWidth="1"/>
    <col min="123" max="123" width="6.140625" style="226" customWidth="1"/>
    <col min="124" max="124" width="10.85546875" style="226" customWidth="1"/>
    <col min="125" max="142" width="9.140625" style="226" customWidth="1"/>
    <col min="143" max="16384" width="9.140625" style="226"/>
  </cols>
  <sheetData>
    <row r="1" spans="1:122" s="227" customFormat="1" ht="15.75" x14ac:dyDescent="0.25">
      <c r="A1" s="691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 t="str">
        <f>IF(COUNT(I2:I61)=0,"+J",SUM(I2:I61)/COUNT(I2:I61))</f>
        <v>+J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 t="str">
        <f>IF(COUNT(AA2:AA61)=0,"+J",SUM(AA2:AA61)/COUNT(AA2:AA61))</f>
        <v>+J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1377</v>
      </c>
      <c r="BD1" s="254" t="s">
        <v>1378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378" t="s">
        <v>1375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  <c r="DO1" s="391" t="s">
        <v>179</v>
      </c>
      <c r="DP1" s="390" t="s">
        <v>184</v>
      </c>
      <c r="DQ1" s="390" t="s">
        <v>1366</v>
      </c>
      <c r="DR1" s="390" t="s">
        <v>1367</v>
      </c>
    </row>
    <row r="2" spans="1:122" x14ac:dyDescent="0.25">
      <c r="A2" s="599" t="str">
        <f t="shared" ref="A2:A12" si="0">CONCATENATE(C2," ",D2," - ",K2," - ",J2)</f>
        <v>WIROTH Noemie - APRIL - Santé Individuelle</v>
      </c>
      <c r="B2" s="306"/>
      <c r="C2" s="617" t="s">
        <v>244</v>
      </c>
      <c r="D2" s="301" t="s">
        <v>245</v>
      </c>
      <c r="E2" s="276" t="s">
        <v>1530</v>
      </c>
      <c r="F2" s="278" t="s">
        <v>547</v>
      </c>
      <c r="G2" s="311" t="s">
        <v>262</v>
      </c>
      <c r="H2" s="276" t="s">
        <v>1287</v>
      </c>
      <c r="I2" s="313" t="s">
        <v>1287</v>
      </c>
      <c r="J2" s="312" t="s">
        <v>20</v>
      </c>
      <c r="K2" s="268" t="s">
        <v>33</v>
      </c>
      <c r="L2" s="277" t="s">
        <v>246</v>
      </c>
      <c r="M2" s="279" t="s">
        <v>1531</v>
      </c>
      <c r="N2" s="280" t="s">
        <v>1531</v>
      </c>
      <c r="O2" s="280" t="s">
        <v>1287</v>
      </c>
      <c r="P2" s="455" t="s">
        <v>57</v>
      </c>
      <c r="Q2" s="281" t="s">
        <v>1287</v>
      </c>
      <c r="R2" s="282" t="s">
        <v>1532</v>
      </c>
      <c r="S2" s="268" t="s">
        <v>18</v>
      </c>
      <c r="T2" s="283" t="s">
        <v>1533</v>
      </c>
      <c r="U2" s="284">
        <f>IF(M2=0,0,IF(G2="Annulation","",IF(assurance="ALPTIS",M2*12*T2/100*'Complet Data'!$K$4,IF(assurance="APRIL",M2*12*T2/100*'Complet Data'!$F$4,IF(assurance="ASAF",M2*12*T2/100*'Complet Data'!$I$4,IF(assurance="NEOLIANE",('Complet Data'!$G$5+M2*12*'Complet Data'!$G$4)*T2/100,IF(assurance="NEOLIANE Prev",('Complet Data'!$H$5+M2*12*'Complet Data'!$H$4)*T2/100,IF(assurance="SWISSLIFE",M2*12*T2/100*'Complet Data'!$J$4,IF(assurance="AVIVA",M2*12*T2/100*'Complet Data'!$L$4,IF(assurance="CIPRES",M2*12*T2/100*'Complet Data'!$M$4,IF(assurance="CEGEMA",M2*12*T2/100*'Complet Data'!$N$4,IF(assurance=0,0))))))))))))</f>
        <v>22.661099999999998</v>
      </c>
      <c r="V2" s="298" t="s">
        <v>1535</v>
      </c>
      <c r="W2" s="298" t="s">
        <v>1529</v>
      </c>
      <c r="X2" s="299" t="s">
        <v>1536</v>
      </c>
      <c r="Y2" s="368" t="s">
        <v>1529</v>
      </c>
      <c r="Z2" s="314" t="s">
        <v>1530</v>
      </c>
      <c r="AA2" s="313" t="s">
        <v>1529</v>
      </c>
      <c r="AB2" s="268" t="s">
        <v>13</v>
      </c>
      <c r="AC2" s="277" t="s">
        <v>1287</v>
      </c>
      <c r="AD2" s="309" t="s">
        <v>1287</v>
      </c>
      <c r="AE2" s="286" t="s">
        <v>1287</v>
      </c>
      <c r="AF2" s="277" t="s">
        <v>1287</v>
      </c>
      <c r="AG2" s="275" t="s">
        <v>1537</v>
      </c>
      <c r="AH2" s="287" t="s">
        <v>1538</v>
      </c>
      <c r="AI2" s="373" t="s">
        <v>1539</v>
      </c>
      <c r="AJ2" s="296" t="s">
        <v>1540</v>
      </c>
      <c r="AK2" s="296" t="s">
        <v>1541</v>
      </c>
      <c r="AL2" s="287" t="s">
        <v>1525</v>
      </c>
      <c r="AM2" s="279" t="s">
        <v>1529</v>
      </c>
      <c r="AN2" s="279" t="s">
        <v>1531</v>
      </c>
      <c r="AO2" s="288" t="s">
        <v>1529</v>
      </c>
      <c r="AP2" s="279" t="s">
        <v>1542</v>
      </c>
      <c r="AQ2" s="288" t="s">
        <v>1543</v>
      </c>
      <c r="AR2" s="289" t="s">
        <v>1543</v>
      </c>
      <c r="AS2" s="279" t="s">
        <v>1544</v>
      </c>
      <c r="AT2" s="288" t="s">
        <v>1545</v>
      </c>
      <c r="AU2" s="289" t="s">
        <v>1546</v>
      </c>
      <c r="AV2" s="279" t="s">
        <v>1529</v>
      </c>
      <c r="AW2" s="288">
        <f t="shared" ref="AW2:AW11" si="1">IF(G2="Annulation","",IF(AS2&gt;0,(AS2-AV2)/AS2*(-1),0))</f>
        <v>-1</v>
      </c>
      <c r="AX2" s="289" t="e">
        <f t="shared" ref="AX2:AX11" si="2">IF(G2="Annulation","",(IF(AM2&gt;0,(AM2-AV2)/(-AM2),IF(AN2&gt;0,(AN2-AV2)/(-AN2),IF(AP2&gt;0,(AP2-AV2)/(-AP2),IF(AS2&gt;0,(AS2-AV2)/(-AS2),0))))))</f>
        <v>#DIV/0!</v>
      </c>
      <c r="AY2" s="268" t="s">
        <v>1287</v>
      </c>
      <c r="AZ2" s="291">
        <v>665955700</v>
      </c>
      <c r="BA2" s="292">
        <v>75001</v>
      </c>
      <c r="BB2" s="303" t="s">
        <v>510</v>
      </c>
      <c r="BC2" s="293">
        <v>666666666</v>
      </c>
      <c r="BD2" s="293"/>
      <c r="BE2" s="304" t="s">
        <v>1528</v>
      </c>
      <c r="BF2" s="274" t="s">
        <v>1376</v>
      </c>
      <c r="BG2" s="377"/>
      <c r="BH2" s="268" t="s">
        <v>1526</v>
      </c>
      <c r="BI2" s="273" t="s">
        <v>1529</v>
      </c>
      <c r="BJ2" s="276">
        <v>28243</v>
      </c>
      <c r="BK2" s="294" t="s">
        <v>202</v>
      </c>
      <c r="BL2" s="269">
        <f t="shared" ref="BL2:BL11" ca="1" si="3">IF(DATEDIF(BJ2,TODAY(),"Y")=118,"",DATEDIF(BJ2,TODAY(),"Y"))</f>
        <v>41</v>
      </c>
      <c r="BM2" s="270"/>
      <c r="BN2" s="271" t="s">
        <v>1287</v>
      </c>
      <c r="BO2" s="272" t="str">
        <f t="shared" ref="BO2:BO11" ca="1" si="4">IF(DATEDIF(BM2,TODAY(),"Y")=118,"",DATEDIF(BM2,TODAY(),"Y"))</f>
        <v/>
      </c>
      <c r="BP2" s="270"/>
      <c r="BQ2" s="271" t="s">
        <v>1287</v>
      </c>
      <c r="BR2" s="272" t="str">
        <f t="shared" ref="BR2:BR11" ca="1" si="5">IF(DATEDIF(BP2,TODAY(),"Y")=118,"",DATEDIF(BP2,TODAY(),"Y"))</f>
        <v/>
      </c>
      <c r="BS2" s="270"/>
      <c r="BT2" s="271" t="s">
        <v>1287</v>
      </c>
      <c r="BU2" s="272" t="str">
        <f t="shared" ref="BU2:BU11" ca="1" si="6">IF(DATEDIF(BS2,TODAY(),"Y")=118,"",DATEDIF(BS2,TODAY(),"Y"))</f>
        <v/>
      </c>
      <c r="BV2" s="270"/>
      <c r="BW2" s="271" t="s">
        <v>1287</v>
      </c>
      <c r="BX2" s="272" t="str">
        <f t="shared" ref="BX2:BX11" ca="1" si="7">IF(DATEDIF(BV2,TODAY(),"Y")=118,"",DATEDIF(BV2,TODAY(),"Y"))</f>
        <v/>
      </c>
      <c r="BY2" s="270"/>
      <c r="BZ2" s="271" t="s">
        <v>1287</v>
      </c>
      <c r="CA2" s="272" t="str">
        <f t="shared" ref="CA2:CA11" ca="1" si="8">IF(DATEDIF(BY2,TODAY(),"Y")=118,"",DATEDIF(BY2,TODAY(),"Y"))</f>
        <v/>
      </c>
      <c r="CB2" s="270"/>
      <c r="CC2" s="271" t="s">
        <v>1287</v>
      </c>
      <c r="CD2" s="272" t="str">
        <f t="shared" ref="CD2:CD11" ca="1" si="9">IF(DATEDIF(CB2,TODAY(),"Y")=118,"",DATEDIF(CB2,TODAY(),"Y"))</f>
        <v/>
      </c>
      <c r="CE2" s="270"/>
      <c r="CF2" s="271" t="s">
        <v>1287</v>
      </c>
      <c r="CG2" s="272" t="str">
        <f t="shared" ref="CG2:CG11" ca="1" si="10">IF(DATEDIF(CE2,TODAY(),"Y")=118,"",DATEDIF(CE2,TODAY(),"Y"))</f>
        <v/>
      </c>
      <c r="CH2" s="270"/>
      <c r="CI2" s="271" t="s">
        <v>1287</v>
      </c>
      <c r="CJ2" s="272" t="str">
        <f t="shared" ref="CJ2:CJ11" ca="1" si="11">IF(DATEDIF(CH2,TODAY(),"Y")=118,"",DATEDIF(CH2,TODAY(),"Y"))</f>
        <v/>
      </c>
      <c r="CK2" s="262" t="s">
        <v>1287</v>
      </c>
      <c r="CL2" s="264" t="s">
        <v>1287</v>
      </c>
      <c r="CM2" s="264" t="s">
        <v>1287</v>
      </c>
      <c r="CN2" s="264" t="s">
        <v>1287</v>
      </c>
      <c r="CO2" s="264" t="s">
        <v>1287</v>
      </c>
      <c r="CP2" s="264" t="s">
        <v>1287</v>
      </c>
      <c r="CQ2" s="264"/>
      <c r="CR2" s="262"/>
      <c r="CS2" s="263"/>
      <c r="CT2" s="297" t="str">
        <f t="shared" ref="CT2:CT37" si="12">IF(J2="Prev. Pro",IF(BL2=118,"",BL2),"")</f>
        <v/>
      </c>
      <c r="CU2" s="264" t="s">
        <v>1287</v>
      </c>
      <c r="CV2" s="265"/>
      <c r="CW2" s="264" t="s">
        <v>1287</v>
      </c>
      <c r="CX2" s="264" t="s">
        <v>1287</v>
      </c>
      <c r="CY2" s="264" t="str">
        <f t="shared" ref="CY2:CY42" si="13">IF(J2&lt;&gt;"Prev. Pro","",IF(AC2="","Non",IF(J2="Prev. Pro","Oui","Non")))</f>
        <v/>
      </c>
      <c r="CZ2" s="264" t="s">
        <v>1287</v>
      </c>
      <c r="DA2" s="264" t="s">
        <v>1287</v>
      </c>
      <c r="DB2" s="266"/>
      <c r="DC2" s="264" t="s">
        <v>1287</v>
      </c>
      <c r="DD2" s="264" t="s">
        <v>1287</v>
      </c>
      <c r="DE2" s="266"/>
      <c r="DF2" s="266"/>
      <c r="DG2" s="264" t="s">
        <v>1287</v>
      </c>
      <c r="DH2" s="266"/>
      <c r="DI2" s="266"/>
      <c r="DJ2" s="264" t="s">
        <v>1287</v>
      </c>
      <c r="DK2" s="264" t="s">
        <v>1287</v>
      </c>
      <c r="DL2" s="267"/>
      <c r="DM2" s="261">
        <f t="shared" ref="DM2:DM11" si="14">Infoman</f>
        <v>0</v>
      </c>
      <c r="DN2" s="295" t="str">
        <f t="shared" ref="DN2:DN11" si="15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  <c r="DO2" s="392" t="str">
        <f t="shared" ref="DO2:DO11" si="16">IF(C2="","",C2)</f>
        <v>WIROTH</v>
      </c>
      <c r="DP2" s="392" t="str">
        <f t="shared" ref="DP2:DP11" si="17">IF(BB2="","",BB2)</f>
        <v>nwiroth@gmail.com</v>
      </c>
      <c r="DQ2" s="456" t="str">
        <f t="shared" ref="DQ2:DQ11" si="18">IF(C2="","",IF(J2="Santé Individuelle",CONCATENATE((IF(BH2=1,CONCATENATE("Étude Mutuelles 2019 pour ",F2," ",C2),IF(BH2=2,CONCATENATE("Étude Mutuelles 2019 pour Monsieur et Madame ",C2)))),(IF(BI2=0," [ Mathieu CEDELLE - ASSURE DIRECT ]",IF(BI2=1," + 1 Enfant [ Mathieu CEDELLE - ASSURE DIRECT ]",IF(BI2&gt;1,CONCATENATE(" + ",BI2," Enfants [ Mathieu CEDELLE - ASSURE DIRECT ]")))))),IF(J2="Prev. Pro",CONCATENATE((IF(BH2=1,CONCATENATE("Étude Prévoyance Pro 2019 pour ",F2," ",C2),IF(BH2=2,CONCATENATE("Étude Prévoyance Pro 2019 pour Monsieur et Madame ",C2)))),(IF(BI2=0," [ Mathieu CEDELLE - ASSURE DIRECT ]",IF(BI2=1," + 1 Enfant [ Mathieu CEDELLE - ASSURE DIRECT ]",IF(BI2&gt;1,CONCATENATE(" + ",BI2," Enfants [ Mathieu CEDELLE - ASSURE DIRECT ]")))))),CONCATENATE((IF(BH2=1,CONCATENATE("Étude Assurances 2019 pour ",F2," ",C2),IF(BH2=2,CONCATENATE("Étude Assurances 2019 pour Monsieur et Madame ",C2)))),(IF(BI2=0," [ Mathieu CEDELLE - ASSURE DIRECT ]",IF(BI2=1," + 1 Enfant [ Mathieu CEDELLE - ASSURE DIRECT ]",IF(BI2&gt;1,CONCATENATE(" + ",BI2," Enfants [ Mathieu CEDELLE - ASSURE DIRECT ]")))))))))</f>
        <v>FAUX + 0 Enfants [ Mathieu CEDELLE - ASSURE DIRECT ]</v>
      </c>
      <c r="DR2" s="456" t="str">
        <f t="shared" ref="DR2:DR11" si="19">IF(M2="","",CONCATENATE("Bonjour ",F2," ",C2,",
Tout d'abord, constatant que vous êtes toujours client chez la mutuelle ",K2," (mutuelle que nous avions choisie ensemble), je tiens à vous remercier de votre fidélité. 
Ensuite, plutôt que de vous faire attendre votre futur échéancier, je tiens à vous informer que ",K2," a depuis peu annoncé ses augmentations pour janvier 2019. Dans votre cas, votre tarif passera à ",AS2,"€/mois. 
Sachant que nous avions initialement souscrit au tarif de ",M2,"€/mois cela fera une augmentation totale de ",ROUND(AU2*100,1)," % ce qui me semble un peu trop élevé en si peu de temps. C'est donc pourquoi je prends les devants pour éviter de devoir changer dans la précipitation."))</f>
        <v>Bonjour Madame WIROTH,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75,68€/mois. 
Sachant que nous avions initialement souscrit au tarif de 68,67€/mois cela fera une augmentation totale de 10,2 % ce qui me semble un peu trop élevé en si peu de temps. C'est donc pourquoi je prends les devants pour éviter de devoir changer dans la précipitation.</v>
      </c>
    </row>
    <row r="3" spans="1:122" x14ac:dyDescent="0.25">
      <c r="A3" s="599" t="str">
        <f t="shared" si="0"/>
        <v xml:space="preserve">PARITEC Noemie -  - </v>
      </c>
      <c r="B3" s="306"/>
      <c r="C3" s="305" t="s">
        <v>1547</v>
      </c>
      <c r="D3" s="301" t="s">
        <v>245</v>
      </c>
      <c r="E3" s="276" t="s">
        <v>1530</v>
      </c>
      <c r="F3" s="278"/>
      <c r="G3" s="311"/>
      <c r="H3" s="276" t="s">
        <v>547</v>
      </c>
      <c r="I3" s="313"/>
      <c r="J3" s="312"/>
      <c r="K3" s="268"/>
      <c r="L3" s="277"/>
      <c r="M3" s="279"/>
      <c r="N3" s="280"/>
      <c r="O3" s="280"/>
      <c r="P3" s="455"/>
      <c r="Q3" s="281"/>
      <c r="R3" s="282"/>
      <c r="S3" s="268"/>
      <c r="T3" s="283"/>
      <c r="U3" s="284">
        <f>IF(M3=0,0,IF(G3="Annulation","",IF(assurance="ALPTIS",M3*12*T3/100*'Complet Data'!$K$4,IF(assurance="APRIL",M3*12*T3/100*'Complet Data'!$F$4,IF(assurance="ASAF",M3*12*T3/100*'Complet Data'!$I$4,IF(assurance="NEOLIANE",('Complet Data'!$G$5+M3*12*'Complet Data'!$G$4)*T3/100,IF(assurance="NEOLIANE Prev",('Complet Data'!$H$5+M3*12*'Complet Data'!$H$4)*T3/100,IF(assurance="SWISSLIFE",M3*12*T3/100*'Complet Data'!$J$4,IF(assurance="AVIVA",M3*12*T3/100*'Complet Data'!$L$4,IF(assurance="CIPRES",M3*12*T3/100*'Complet Data'!$M$4,IF(assurance="CEGEMA",M3*12*T3/100*'Complet Data'!$N$4,IF(assurance=0,0))))))))))))</f>
        <v>0</v>
      </c>
      <c r="V3" s="298"/>
      <c r="W3" s="298"/>
      <c r="X3" s="299"/>
      <c r="Y3" s="368">
        <f t="shared" ref="Y3:Y11" si="20">IF(G3="Annulation",0,IF(M3="",0,IF(typecomm="Linéaire",SUM(W3-U3/12),IF(typecomm="Précompte 1",0,IF(typecomm="Précompte",0,IF(typecomm=0,0))))))</f>
        <v>0</v>
      </c>
      <c r="Z3" s="314"/>
      <c r="AA3" s="313" t="str">
        <f t="shared" ref="AA3:AA11" si="21">IF(Z3="","",IF(G3="Annulation","",IF(E3="",0,Z3-E3)))</f>
        <v/>
      </c>
      <c r="AB3" s="268" t="s">
        <v>13</v>
      </c>
      <c r="AC3" s="277"/>
      <c r="AD3" s="309" t="str">
        <f t="shared" ref="AD3:AD9" si="22">IF(Z3=43466,"Programmée","")</f>
        <v/>
      </c>
      <c r="AE3" s="286" t="str">
        <f t="shared" ref="AE3" si="23">IF(Z3=43466,43404,"")</f>
        <v/>
      </c>
      <c r="AF3" s="277"/>
      <c r="AG3" s="275" t="str">
        <f t="shared" ref="AG3:AG11" si="24"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/>
      </c>
      <c r="AH3" s="287" t="str">
        <f t="shared" ref="AH3:AH11" ca="1" si="25">(IF(COUNT(Z3)=0,"",IF(G3="Annulation","",IF(Z3&gt;0,(Z3-TODAY())/(-365),0))))</f>
        <v/>
      </c>
      <c r="AI3" s="373" t="str">
        <f t="shared" ref="AI3:AI11" ca="1" si="26">(IF(COUNT(Z3)=0,"",IF(G3="Annulation","",IF(K3="SWISSLIFE",Z3+365+IF(Z3&gt;TODAY(),0,365*(DATEDIF(Z3,TODAY(),"Y"))),IF(K3="AVIVA",Z3+365+IF(Z3&gt;TODAY(),0,365*(DATEDIF(Z3,TODAY(),"Y"))),IF(K3="NEOLIANE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+IF(((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Prev",Z3+365+IF(Z3&gt;TODAY(),0,365*(DATEDIF(Z3,TODAY(),"Y"))),IF(Z3&lt;=43252,43466,43831))))+365*(année-2018)+IF(année&gt;=2020,1))-62)&lt;TODAY(),365))))</f>
        <v/>
      </c>
      <c r="AJ3" s="296" t="str">
        <f t="shared" ref="AJ3:AJ11" si="27">IF(G3="Annulation","",IF(Z3="","",AI3-62))</f>
        <v/>
      </c>
      <c r="AK3" s="296" t="str">
        <f t="shared" ref="AK3:AK11" si="28">IF(G3="Annulation","",IF(Z3="","",AI3-92))</f>
        <v/>
      </c>
      <c r="AL3" s="287" t="str">
        <f t="shared" ref="AL3:AL11" si="29">(IF(COUNT(Z3)=0,"",IF(G3="Annulation","",IF(Z3&gt;0,(Z3-AI3)/(-365),0))))</f>
        <v/>
      </c>
      <c r="AM3" s="279">
        <f t="shared" ref="AM3:AM11" si="30">IF(G3="Annulation","",IF(Z3&lt;42736,M3,0))</f>
        <v>0</v>
      </c>
      <c r="AN3" s="279">
        <f t="shared" ref="AN3:AN31" si="31">IF(G3="Annulation","",IF(Z3&gt;=42736,IF(Z3&lt;43101,M3,0),0))</f>
        <v>0</v>
      </c>
      <c r="AO3" s="288">
        <f t="shared" ref="AO3:AO11" si="32">IF(G3="Annulation","",IF(AM3&gt;0,IF(AM3&gt;0,(AM3-AN3)/AM3*(-1),),0))</f>
        <v>0</v>
      </c>
      <c r="AP3" s="279">
        <f t="shared" ref="AP3:AP33" si="33">IF(G3="Annulation","",IF(Z3&gt;=43101,IF(Z3&lt;43466,M3,0),0))</f>
        <v>0</v>
      </c>
      <c r="AQ3" s="288">
        <f t="shared" ref="AQ3:AQ11" si="34">IF(G3="Annulation","",IF(AN3&gt;0,(AN3-AP3)/AN3*(-1),))</f>
        <v>0</v>
      </c>
      <c r="AR3" s="289">
        <f t="shared" ref="AR3:AR11" si="35"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 t="shared" ref="AS3:AS33" si="36">IF(G3="Annulation","",IF(Z3&gt;=43466,IF(Z3&lt;43831,M3,0),0))</f>
        <v>0</v>
      </c>
      <c r="AT3" s="288">
        <f t="shared" ref="AT3:AT11" si="37">IF(G3="Annulation","",IF(AP3&gt;0,(AP3-AS3)/AP3*(-1),0))</f>
        <v>0</v>
      </c>
      <c r="AU3" s="289">
        <f t="shared" ref="AU3:AU11" si="38">IF(G3="Annulation","",IF(AS3&gt;0,IF(AM3&gt;0,(AM3-AS3)/(-AM3),IF(AN3&gt;0,(AN3-AS3)/(-AN3),IF(AP3&gt;0,(AP3-AS3)/(-AP3),0))),0))</f>
        <v>0</v>
      </c>
      <c r="AV3" s="279">
        <f t="shared" ref="AV3:AV11" si="39">IF(G3="Annulation","",IF(Z3&gt;=43831,IF(Z3&lt;44197,M3,0),0))</f>
        <v>0</v>
      </c>
      <c r="AW3" s="288">
        <f t="shared" si="1"/>
        <v>0</v>
      </c>
      <c r="AX3" s="289">
        <f t="shared" si="2"/>
        <v>0</v>
      </c>
      <c r="AY3" s="268"/>
      <c r="AZ3" s="291"/>
      <c r="BA3" s="292"/>
      <c r="BB3" s="303"/>
      <c r="BC3" s="293"/>
      <c r="BD3" s="293"/>
      <c r="BE3" s="304"/>
      <c r="BF3" s="274"/>
      <c r="BG3" s="377"/>
      <c r="BH3" s="268">
        <v>1</v>
      </c>
      <c r="BI3" s="273">
        <v>0</v>
      </c>
      <c r="BJ3" s="276"/>
      <c r="BK3" s="294"/>
      <c r="BL3" s="269" t="str">
        <f t="shared" ca="1" si="3"/>
        <v/>
      </c>
      <c r="BM3" s="270"/>
      <c r="BN3" s="271"/>
      <c r="BO3" s="272" t="str">
        <f t="shared" ca="1" si="4"/>
        <v/>
      </c>
      <c r="BP3" s="270"/>
      <c r="BQ3" s="271"/>
      <c r="BR3" s="272" t="str">
        <f t="shared" ca="1" si="5"/>
        <v/>
      </c>
      <c r="BS3" s="270"/>
      <c r="BT3" s="271"/>
      <c r="BU3" s="272" t="str">
        <f t="shared" ca="1" si="6"/>
        <v/>
      </c>
      <c r="BV3" s="270"/>
      <c r="BW3" s="271"/>
      <c r="BX3" s="272" t="str">
        <f t="shared" ca="1" si="7"/>
        <v/>
      </c>
      <c r="BY3" s="270"/>
      <c r="BZ3" s="271"/>
      <c r="CA3" s="272" t="str">
        <f t="shared" ca="1" si="8"/>
        <v/>
      </c>
      <c r="CB3" s="270"/>
      <c r="CC3" s="271"/>
      <c r="CD3" s="272" t="str">
        <f t="shared" ca="1" si="9"/>
        <v/>
      </c>
      <c r="CE3" s="270"/>
      <c r="CF3" s="271"/>
      <c r="CG3" s="272" t="str">
        <f t="shared" ca="1" si="10"/>
        <v/>
      </c>
      <c r="CH3" s="270"/>
      <c r="CI3" s="271"/>
      <c r="CJ3" s="272" t="str">
        <f t="shared" ca="1" si="11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12"/>
        <v/>
      </c>
      <c r="CU3" s="264"/>
      <c r="CV3" s="265"/>
      <c r="CW3" s="264"/>
      <c r="CX3" s="264"/>
      <c r="CY3" s="264" t="str">
        <f t="shared" si="13"/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14"/>
        <v>0</v>
      </c>
      <c r="DN3" s="295" t="str">
        <f t="shared" si="15"/>
        <v>KO</v>
      </c>
      <c r="DO3" s="392" t="str">
        <f t="shared" si="16"/>
        <v>PARITEC</v>
      </c>
      <c r="DP3" s="392" t="str">
        <f t="shared" si="17"/>
        <v/>
      </c>
      <c r="DQ3" s="456" t="str">
        <f t="shared" si="18"/>
        <v>Étude Assurances 2019 pour  PARITEC [ Mathieu CEDELLE - ASSURE DIRECT ]</v>
      </c>
      <c r="DR3" s="456" t="str">
        <f t="shared" si="19"/>
        <v/>
      </c>
    </row>
    <row r="4" spans="1:122" x14ac:dyDescent="0.25">
      <c r="A4" s="599" t="str">
        <f t="shared" si="0"/>
        <v xml:space="preserve">  -  - </v>
      </c>
      <c r="B4" s="306"/>
      <c r="C4" s="305"/>
      <c r="D4" s="301"/>
      <c r="E4" s="276"/>
      <c r="F4" s="278"/>
      <c r="G4" s="311"/>
      <c r="H4" s="276"/>
      <c r="I4" s="313" t="str">
        <f t="shared" ref="I3:I11" si="40">IF(G4="Annulation","",IF(H4=0,"",E4-H4))</f>
        <v/>
      </c>
      <c r="J4" s="312"/>
      <c r="K4" s="268"/>
      <c r="L4" s="277"/>
      <c r="M4" s="279"/>
      <c r="N4" s="280"/>
      <c r="O4" s="280"/>
      <c r="P4" s="455"/>
      <c r="Q4" s="281" t="str">
        <f t="shared" ref="Q3:Q11" si="41">IF(COUNT(AD4)=0,"",AD4)</f>
        <v/>
      </c>
      <c r="R4" s="282">
        <f t="shared" ref="R3:R11" si="42">SUM(M4*12)</f>
        <v>0</v>
      </c>
      <c r="S4" s="268"/>
      <c r="T4" s="283">
        <f t="shared" ref="T3:T9" si="43">IF(G4="Annulation","",IF(assurance="ALPTIS",IF(L4="SO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4" s="284">
        <f>IF(M4=0,0,IF(G4="Annulation","",IF(assurance="ALPTIS",M4*12*T4/100*'Complet Data'!$K$4,IF(assurance="APRIL",M4*12*T4/100*'Complet Data'!$F$4,IF(assurance="ASAF",M4*12*T4/100*'Complet Data'!$I$4,IF(assurance="NEOLIANE",('Complet Data'!$G$5+M4*12*'Complet Data'!$G$4)*T4/100,IF(assurance="NEOLIANE Prev",('Complet Data'!$H$5+M4*12*'Complet Data'!$H$4)*T4/100,IF(assurance="SWISSLIFE",M4*12*T4/100*'Complet Data'!$J$4,IF(assurance="AVIVA",M4*12*T4/100*'Complet Data'!$L$4,IF(assurance="CIPRES",M4*12*T4/100*'Complet Data'!$M$4,IF(assurance="CEGEMA",M4*12*T4/100*'Complet Data'!$N$4,IF(assurance=0,0))))))))))))</f>
        <v>0</v>
      </c>
      <c r="V4" s="298" t="str">
        <f t="shared" ref="V3:V11" si="44">IF(M4="","",IF(G4="Annulation","",IF(typecomm="Précompte",SUM((M4-O4)*T4/100*12)+O4*12*0.15,IF(typecomm="Précompte 1",SUM((M4-O4)*T4/100*12)+O4*12*0.15,IF(typecomm="Linéaire",0,IF(typecomm=0,0))))))</f>
        <v/>
      </c>
      <c r="W4" s="298" t="str">
        <f t="shared" ref="W3:W11" si="45">IF(M4="","",IF(G4="Annulation","",IF(typecomm="Linéaire",SUM((M4-O4)*T4/100)+O4*0.15,IF(typecomm="Précompte 1",0,IF(typecomm="Précompte",0,IF(typecomm=0,0))))))</f>
        <v/>
      </c>
      <c r="X4" s="299">
        <f t="shared" ref="X3:X11" si="46">IF(G4="Annulation",0,IF(typecomm="Linéaire",0,IF(typecomm="Précompte 1",V4-U4,IF(mens=0,0,IF(typecomm="Précompte",V4-U4,IF(typecomm=0,0))))))</f>
        <v>0</v>
      </c>
      <c r="Y4" s="368">
        <f t="shared" si="20"/>
        <v>0</v>
      </c>
      <c r="Z4" s="314"/>
      <c r="AA4" s="313" t="str">
        <f t="shared" si="21"/>
        <v/>
      </c>
      <c r="AB4" s="268" t="s">
        <v>13</v>
      </c>
      <c r="AC4" s="277"/>
      <c r="AD4" s="309" t="str">
        <f t="shared" si="22"/>
        <v/>
      </c>
      <c r="AE4" s="286" t="str">
        <f t="shared" ref="AE4:AE35" si="47">IF(Z4=43466,43404,"")</f>
        <v/>
      </c>
      <c r="AF4" s="277"/>
      <c r="AG4" s="275" t="str">
        <f t="shared" si="24"/>
        <v/>
      </c>
      <c r="AH4" s="287" t="str">
        <f t="shared" ca="1" si="25"/>
        <v/>
      </c>
      <c r="AI4" s="373" t="str">
        <f t="shared" ca="1" si="26"/>
        <v/>
      </c>
      <c r="AJ4" s="296" t="str">
        <f t="shared" si="27"/>
        <v/>
      </c>
      <c r="AK4" s="296" t="str">
        <f t="shared" si="28"/>
        <v/>
      </c>
      <c r="AL4" s="287" t="str">
        <f t="shared" si="29"/>
        <v/>
      </c>
      <c r="AM4" s="279">
        <f t="shared" si="30"/>
        <v>0</v>
      </c>
      <c r="AN4" s="279">
        <f t="shared" si="31"/>
        <v>0</v>
      </c>
      <c r="AO4" s="288">
        <f t="shared" si="32"/>
        <v>0</v>
      </c>
      <c r="AP4" s="279">
        <f t="shared" si="33"/>
        <v>0</v>
      </c>
      <c r="AQ4" s="288">
        <f t="shared" si="34"/>
        <v>0</v>
      </c>
      <c r="AR4" s="289">
        <f t="shared" si="35"/>
        <v>0</v>
      </c>
      <c r="AS4" s="279">
        <f t="shared" si="36"/>
        <v>0</v>
      </c>
      <c r="AT4" s="288">
        <f t="shared" si="37"/>
        <v>0</v>
      </c>
      <c r="AU4" s="289">
        <f t="shared" si="38"/>
        <v>0</v>
      </c>
      <c r="AV4" s="279">
        <f t="shared" si="39"/>
        <v>0</v>
      </c>
      <c r="AW4" s="288">
        <f t="shared" si="1"/>
        <v>0</v>
      </c>
      <c r="AX4" s="289">
        <f t="shared" si="2"/>
        <v>0</v>
      </c>
      <c r="AY4" s="268"/>
      <c r="AZ4" s="291"/>
      <c r="BA4" s="292"/>
      <c r="BB4" s="303"/>
      <c r="BC4" s="293"/>
      <c r="BD4" s="293"/>
      <c r="BE4" s="304"/>
      <c r="BF4" s="274"/>
      <c r="BG4" s="377"/>
      <c r="BH4" s="268">
        <v>1</v>
      </c>
      <c r="BI4" s="273">
        <v>0</v>
      </c>
      <c r="BJ4" s="276"/>
      <c r="BK4" s="294"/>
      <c r="BL4" s="269" t="str">
        <f t="shared" ca="1" si="3"/>
        <v/>
      </c>
      <c r="BM4" s="270"/>
      <c r="BN4" s="271"/>
      <c r="BO4" s="272" t="str">
        <f t="shared" ca="1" si="4"/>
        <v/>
      </c>
      <c r="BP4" s="270"/>
      <c r="BQ4" s="271"/>
      <c r="BR4" s="272" t="str">
        <f t="shared" ca="1" si="5"/>
        <v/>
      </c>
      <c r="BS4" s="270"/>
      <c r="BT4" s="271"/>
      <c r="BU4" s="272" t="str">
        <f t="shared" ca="1" si="6"/>
        <v/>
      </c>
      <c r="BV4" s="270"/>
      <c r="BW4" s="271"/>
      <c r="BX4" s="272" t="str">
        <f t="shared" ca="1" si="7"/>
        <v/>
      </c>
      <c r="BY4" s="270"/>
      <c r="BZ4" s="271"/>
      <c r="CA4" s="272" t="str">
        <f t="shared" ca="1" si="8"/>
        <v/>
      </c>
      <c r="CB4" s="270"/>
      <c r="CC4" s="271"/>
      <c r="CD4" s="272" t="str">
        <f t="shared" ca="1" si="9"/>
        <v/>
      </c>
      <c r="CE4" s="270"/>
      <c r="CF4" s="271"/>
      <c r="CG4" s="272" t="str">
        <f t="shared" ca="1" si="10"/>
        <v/>
      </c>
      <c r="CH4" s="270"/>
      <c r="CI4" s="271"/>
      <c r="CJ4" s="272" t="str">
        <f t="shared" ca="1" si="11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12"/>
        <v/>
      </c>
      <c r="CU4" s="264"/>
      <c r="CV4" s="265"/>
      <c r="CW4" s="264"/>
      <c r="CX4" s="264"/>
      <c r="CY4" s="264" t="str">
        <f t="shared" si="13"/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14"/>
        <v>0</v>
      </c>
      <c r="DN4" s="295" t="str">
        <f t="shared" si="15"/>
        <v/>
      </c>
      <c r="DO4" s="392" t="str">
        <f t="shared" si="16"/>
        <v/>
      </c>
      <c r="DP4" s="392" t="str">
        <f t="shared" si="17"/>
        <v/>
      </c>
      <c r="DQ4" s="456" t="str">
        <f t="shared" si="18"/>
        <v/>
      </c>
      <c r="DR4" s="456" t="str">
        <f t="shared" si="19"/>
        <v/>
      </c>
    </row>
    <row r="5" spans="1:122" x14ac:dyDescent="0.25">
      <c r="A5" s="599" t="str">
        <f t="shared" si="0"/>
        <v xml:space="preserve">  -  - </v>
      </c>
      <c r="B5" s="306"/>
      <c r="C5" s="305"/>
      <c r="D5" s="301"/>
      <c r="E5" s="276"/>
      <c r="F5" s="278"/>
      <c r="G5" s="311"/>
      <c r="H5" s="276"/>
      <c r="I5" s="313" t="str">
        <f t="shared" si="40"/>
        <v/>
      </c>
      <c r="J5" s="312"/>
      <c r="K5" s="268"/>
      <c r="L5" s="277"/>
      <c r="M5" s="279"/>
      <c r="N5" s="280"/>
      <c r="O5" s="280"/>
      <c r="P5" s="455"/>
      <c r="Q5" s="281" t="str">
        <f t="shared" si="41"/>
        <v/>
      </c>
      <c r="R5" s="282">
        <f t="shared" si="42"/>
        <v>0</v>
      </c>
      <c r="S5" s="268"/>
      <c r="T5" s="283">
        <f t="shared" si="43"/>
        <v>0</v>
      </c>
      <c r="U5" s="284">
        <f>IF(M5=0,0,IF(G5="Annulation","",IF(assurance="ALPTIS",M5*12*T5/100*'Complet Data'!$K$4,IF(assurance="APRIL",M5*12*T5/100*'Complet Data'!$F$4,IF(assurance="ASAF",M5*12*T5/100*'Complet Data'!$I$4,IF(assurance="NEOLIANE",('Complet Data'!$G$5+M5*12*'Complet Data'!$G$4)*T5/100,IF(assurance="NEOLIANE Prev",('Complet Data'!$H$5+M5*12*'Complet Data'!$H$4)*T5/100,IF(assurance="SWISSLIFE",M5*12*T5/100*'Complet Data'!$J$4,IF(assurance="AVIVA",M5*12*T5/100*'Complet Data'!$L$4,IF(assurance="CIPRES",M5*12*T5/100*'Complet Data'!$M$4,IF(assurance="CEGEMA",M5*12*T5/100*'Complet Data'!$N$4,IF(assurance=0,0))))))))))))</f>
        <v>0</v>
      </c>
      <c r="V5" s="298" t="str">
        <f t="shared" si="44"/>
        <v/>
      </c>
      <c r="W5" s="298" t="str">
        <f t="shared" si="45"/>
        <v/>
      </c>
      <c r="X5" s="299">
        <f t="shared" si="46"/>
        <v>0</v>
      </c>
      <c r="Y5" s="368">
        <f t="shared" si="20"/>
        <v>0</v>
      </c>
      <c r="Z5" s="314"/>
      <c r="AA5" s="313" t="str">
        <f t="shared" si="21"/>
        <v/>
      </c>
      <c r="AB5" s="268" t="s">
        <v>13</v>
      </c>
      <c r="AC5" s="277"/>
      <c r="AD5" s="309" t="str">
        <f t="shared" si="22"/>
        <v/>
      </c>
      <c r="AE5" s="286" t="str">
        <f t="shared" si="47"/>
        <v/>
      </c>
      <c r="AF5" s="277"/>
      <c r="AG5" s="275" t="str">
        <f t="shared" si="24"/>
        <v/>
      </c>
      <c r="AH5" s="287" t="str">
        <f t="shared" ca="1" si="25"/>
        <v/>
      </c>
      <c r="AI5" s="373" t="str">
        <f t="shared" ca="1" si="26"/>
        <v/>
      </c>
      <c r="AJ5" s="296" t="str">
        <f t="shared" si="27"/>
        <v/>
      </c>
      <c r="AK5" s="296" t="str">
        <f t="shared" si="28"/>
        <v/>
      </c>
      <c r="AL5" s="287" t="str">
        <f t="shared" si="29"/>
        <v/>
      </c>
      <c r="AM5" s="279">
        <f t="shared" si="30"/>
        <v>0</v>
      </c>
      <c r="AN5" s="279">
        <f t="shared" si="31"/>
        <v>0</v>
      </c>
      <c r="AO5" s="288">
        <f t="shared" si="32"/>
        <v>0</v>
      </c>
      <c r="AP5" s="279">
        <f t="shared" si="33"/>
        <v>0</v>
      </c>
      <c r="AQ5" s="288">
        <f t="shared" si="34"/>
        <v>0</v>
      </c>
      <c r="AR5" s="289">
        <f t="shared" si="35"/>
        <v>0</v>
      </c>
      <c r="AS5" s="279">
        <f t="shared" si="36"/>
        <v>0</v>
      </c>
      <c r="AT5" s="288">
        <f t="shared" si="37"/>
        <v>0</v>
      </c>
      <c r="AU5" s="289">
        <f t="shared" si="38"/>
        <v>0</v>
      </c>
      <c r="AV5" s="279">
        <f t="shared" si="39"/>
        <v>0</v>
      </c>
      <c r="AW5" s="288">
        <f t="shared" si="1"/>
        <v>0</v>
      </c>
      <c r="AX5" s="289">
        <f t="shared" si="2"/>
        <v>0</v>
      </c>
      <c r="AY5" s="268"/>
      <c r="AZ5" s="291"/>
      <c r="BA5" s="292"/>
      <c r="BB5" s="303"/>
      <c r="BC5" s="293"/>
      <c r="BD5" s="293"/>
      <c r="BE5" s="304"/>
      <c r="BF5" s="274"/>
      <c r="BG5" s="377"/>
      <c r="BH5" s="268">
        <v>1</v>
      </c>
      <c r="BI5" s="273">
        <v>0</v>
      </c>
      <c r="BJ5" s="276"/>
      <c r="BK5" s="294"/>
      <c r="BL5" s="269" t="str">
        <f t="shared" ca="1" si="3"/>
        <v/>
      </c>
      <c r="BM5" s="270"/>
      <c r="BN5" s="271"/>
      <c r="BO5" s="272" t="str">
        <f t="shared" ca="1" si="4"/>
        <v/>
      </c>
      <c r="BP5" s="270"/>
      <c r="BQ5" s="271"/>
      <c r="BR5" s="272" t="str">
        <f t="shared" ca="1" si="5"/>
        <v/>
      </c>
      <c r="BS5" s="270"/>
      <c r="BT5" s="271"/>
      <c r="BU5" s="272" t="str">
        <f t="shared" ca="1" si="6"/>
        <v/>
      </c>
      <c r="BV5" s="270"/>
      <c r="BW5" s="271"/>
      <c r="BX5" s="272" t="str">
        <f t="shared" ca="1" si="7"/>
        <v/>
      </c>
      <c r="BY5" s="270"/>
      <c r="BZ5" s="271"/>
      <c r="CA5" s="272" t="str">
        <f t="shared" ca="1" si="8"/>
        <v/>
      </c>
      <c r="CB5" s="270"/>
      <c r="CC5" s="271"/>
      <c r="CD5" s="272" t="str">
        <f t="shared" ca="1" si="9"/>
        <v/>
      </c>
      <c r="CE5" s="270"/>
      <c r="CF5" s="271"/>
      <c r="CG5" s="272" t="str">
        <f t="shared" ca="1" si="10"/>
        <v/>
      </c>
      <c r="CH5" s="270"/>
      <c r="CI5" s="271"/>
      <c r="CJ5" s="272" t="str">
        <f t="shared" ca="1" si="11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12"/>
        <v/>
      </c>
      <c r="CU5" s="264"/>
      <c r="CV5" s="265"/>
      <c r="CW5" s="264"/>
      <c r="CX5" s="264"/>
      <c r="CY5" s="264" t="str">
        <f t="shared" si="13"/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14"/>
        <v>0</v>
      </c>
      <c r="DN5" s="295" t="str">
        <f t="shared" si="15"/>
        <v/>
      </c>
      <c r="DO5" s="392" t="str">
        <f t="shared" si="16"/>
        <v/>
      </c>
      <c r="DP5" s="392" t="str">
        <f t="shared" si="17"/>
        <v/>
      </c>
      <c r="DQ5" s="456" t="str">
        <f t="shared" si="18"/>
        <v/>
      </c>
      <c r="DR5" s="456" t="str">
        <f t="shared" si="19"/>
        <v/>
      </c>
    </row>
    <row r="6" spans="1:122" x14ac:dyDescent="0.25">
      <c r="A6" s="599" t="str">
        <f t="shared" si="0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 t="shared" si="40"/>
        <v/>
      </c>
      <c r="J6" s="312"/>
      <c r="K6" s="268"/>
      <c r="L6" s="277"/>
      <c r="M6" s="279"/>
      <c r="N6" s="280"/>
      <c r="O6" s="280"/>
      <c r="P6" s="455"/>
      <c r="Q6" s="281" t="str">
        <f t="shared" si="41"/>
        <v/>
      </c>
      <c r="R6" s="282">
        <f t="shared" si="42"/>
        <v>0</v>
      </c>
      <c r="S6" s="268"/>
      <c r="T6" s="283">
        <f t="shared" si="43"/>
        <v>0</v>
      </c>
      <c r="U6" s="284">
        <f>IF(M6=0,0,IF(G6="Annulation","",IF(assurance="ALPTIS",M6*12*T6/100*'Complet Data'!$K$4,IF(assurance="APRIL",M6*12*T6/100*'Complet Data'!$F$4,IF(assurance="ASAF",M6*12*T6/100*'Complet Data'!$I$4,IF(assurance="NEOLIANE",('Complet Data'!$G$5+M6*12*'Complet Data'!$G$4)*T6/100,IF(assurance="NEOLIANE Prev",('Complet Data'!$H$5+M6*12*'Complet Data'!$H$4)*T6/100,IF(assurance="SWISSLIFE",M6*12*T6/100*'Complet Data'!$J$4,IF(assurance="AVIVA",M6*12*T6/100*'Complet Data'!$L$4,IF(assurance="CIPRES",M6*12*T6/100*'Complet Data'!$M$4,IF(assurance="CEGEMA",M6*12*T6/100*'Complet Data'!$N$4,IF(assurance=0,0))))))))))))</f>
        <v>0</v>
      </c>
      <c r="V6" s="298" t="str">
        <f t="shared" si="44"/>
        <v/>
      </c>
      <c r="W6" s="298" t="str">
        <f t="shared" si="45"/>
        <v/>
      </c>
      <c r="X6" s="299">
        <f t="shared" si="46"/>
        <v>0</v>
      </c>
      <c r="Y6" s="368">
        <f t="shared" si="20"/>
        <v>0</v>
      </c>
      <c r="Z6" s="314"/>
      <c r="AA6" s="313" t="str">
        <f t="shared" si="21"/>
        <v/>
      </c>
      <c r="AB6" s="268" t="s">
        <v>13</v>
      </c>
      <c r="AC6" s="277"/>
      <c r="AD6" s="309" t="str">
        <f t="shared" si="22"/>
        <v/>
      </c>
      <c r="AE6" s="286" t="str">
        <f t="shared" si="47"/>
        <v/>
      </c>
      <c r="AF6" s="277"/>
      <c r="AG6" s="275" t="str">
        <f t="shared" si="24"/>
        <v/>
      </c>
      <c r="AH6" s="287" t="str">
        <f t="shared" ca="1" si="25"/>
        <v/>
      </c>
      <c r="AI6" s="373" t="str">
        <f t="shared" ca="1" si="26"/>
        <v/>
      </c>
      <c r="AJ6" s="296" t="str">
        <f t="shared" si="27"/>
        <v/>
      </c>
      <c r="AK6" s="296" t="str">
        <f t="shared" si="28"/>
        <v/>
      </c>
      <c r="AL6" s="287" t="str">
        <f t="shared" si="29"/>
        <v/>
      </c>
      <c r="AM6" s="279">
        <f t="shared" si="30"/>
        <v>0</v>
      </c>
      <c r="AN6" s="279">
        <f t="shared" si="31"/>
        <v>0</v>
      </c>
      <c r="AO6" s="288">
        <f t="shared" si="32"/>
        <v>0</v>
      </c>
      <c r="AP6" s="279">
        <f t="shared" si="33"/>
        <v>0</v>
      </c>
      <c r="AQ6" s="288">
        <f t="shared" si="34"/>
        <v>0</v>
      </c>
      <c r="AR6" s="289">
        <f t="shared" si="35"/>
        <v>0</v>
      </c>
      <c r="AS6" s="279">
        <f t="shared" si="36"/>
        <v>0</v>
      </c>
      <c r="AT6" s="288">
        <f t="shared" si="37"/>
        <v>0</v>
      </c>
      <c r="AU6" s="289">
        <f t="shared" si="38"/>
        <v>0</v>
      </c>
      <c r="AV6" s="279">
        <f t="shared" si="39"/>
        <v>0</v>
      </c>
      <c r="AW6" s="288">
        <f t="shared" si="1"/>
        <v>0</v>
      </c>
      <c r="AX6" s="289">
        <f t="shared" si="2"/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t="shared" ca="1" si="3"/>
        <v/>
      </c>
      <c r="BM6" s="270"/>
      <c r="BN6" s="271"/>
      <c r="BO6" s="272" t="str">
        <f t="shared" ca="1" si="4"/>
        <v/>
      </c>
      <c r="BP6" s="270"/>
      <c r="BQ6" s="271"/>
      <c r="BR6" s="272" t="str">
        <f t="shared" ca="1" si="5"/>
        <v/>
      </c>
      <c r="BS6" s="270"/>
      <c r="BT6" s="271"/>
      <c r="BU6" s="272" t="str">
        <f t="shared" ca="1" si="6"/>
        <v/>
      </c>
      <c r="BV6" s="270"/>
      <c r="BW6" s="271"/>
      <c r="BX6" s="272" t="str">
        <f t="shared" ca="1" si="7"/>
        <v/>
      </c>
      <c r="BY6" s="270"/>
      <c r="BZ6" s="271"/>
      <c r="CA6" s="272" t="str">
        <f t="shared" ca="1" si="8"/>
        <v/>
      </c>
      <c r="CB6" s="270"/>
      <c r="CC6" s="271"/>
      <c r="CD6" s="272" t="str">
        <f t="shared" ca="1" si="9"/>
        <v/>
      </c>
      <c r="CE6" s="270"/>
      <c r="CF6" s="271"/>
      <c r="CG6" s="272" t="str">
        <f t="shared" ca="1" si="10"/>
        <v/>
      </c>
      <c r="CH6" s="270"/>
      <c r="CI6" s="271"/>
      <c r="CJ6" s="272" t="str">
        <f t="shared" ca="1" si="11"/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12"/>
        <v/>
      </c>
      <c r="CU6" s="264"/>
      <c r="CV6" s="265"/>
      <c r="CW6" s="264"/>
      <c r="CX6" s="264"/>
      <c r="CY6" s="264" t="str">
        <f t="shared" si="13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si="14"/>
        <v>0</v>
      </c>
      <c r="DN6" s="295" t="str">
        <f t="shared" si="15"/>
        <v/>
      </c>
      <c r="DO6" s="392" t="str">
        <f t="shared" si="16"/>
        <v/>
      </c>
      <c r="DP6" s="392" t="str">
        <f t="shared" si="17"/>
        <v/>
      </c>
      <c r="DQ6" s="456" t="str">
        <f t="shared" si="18"/>
        <v/>
      </c>
      <c r="DR6" s="456" t="str">
        <f t="shared" si="19"/>
        <v/>
      </c>
    </row>
    <row r="7" spans="1:122" x14ac:dyDescent="0.25">
      <c r="A7" s="599" t="str">
        <f t="shared" si="0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si="40"/>
        <v/>
      </c>
      <c r="J7" s="312"/>
      <c r="K7" s="268"/>
      <c r="L7" s="277"/>
      <c r="M7" s="279"/>
      <c r="N7" s="280"/>
      <c r="O7" s="280"/>
      <c r="P7" s="455"/>
      <c r="Q7" s="281" t="str">
        <f t="shared" si="41"/>
        <v/>
      </c>
      <c r="R7" s="282">
        <f t="shared" si="42"/>
        <v>0</v>
      </c>
      <c r="S7" s="268"/>
      <c r="T7" s="283">
        <f t="shared" si="43"/>
        <v>0</v>
      </c>
      <c r="U7" s="284">
        <f>IF(M7=0,0,IF(G7="Annulation","",IF(assurance="ALPTIS",M7*12*T7/100*'Complet Data'!$K$4,IF(assurance="APRIL",M7*12*T7/100*'Complet Data'!$F$4,IF(assurance="ASAF",M7*12*T7/100*'Complet Data'!$I$4,IF(assurance="NEOLIANE",('Complet Data'!$G$5+M7*12*'Complet Data'!$G$4)*T7/100,IF(assurance="NEOLIANE Prev",('Complet Data'!$H$5+M7*12*'Complet Data'!$H$4)*T7/100,IF(assurance="SWISSLIFE",M7*12*T7/100*'Complet Data'!$J$4,IF(assurance="AVIVA",M7*12*T7/100*'Complet Data'!$L$4,IF(assurance="CIPRES",M7*12*T7/100*'Complet Data'!$M$4,IF(assurance="CEGEMA",M7*12*T7/100*'Complet Data'!$N$4,IF(assurance=0,0))))))))))))</f>
        <v>0</v>
      </c>
      <c r="V7" s="298" t="str">
        <f t="shared" si="44"/>
        <v/>
      </c>
      <c r="W7" s="298" t="str">
        <f t="shared" si="45"/>
        <v/>
      </c>
      <c r="X7" s="299">
        <f t="shared" si="46"/>
        <v>0</v>
      </c>
      <c r="Y7" s="368">
        <f t="shared" si="20"/>
        <v>0</v>
      </c>
      <c r="Z7" s="314"/>
      <c r="AA7" s="313" t="str">
        <f t="shared" si="21"/>
        <v/>
      </c>
      <c r="AB7" s="268" t="s">
        <v>13</v>
      </c>
      <c r="AC7" s="277"/>
      <c r="AD7" s="309" t="str">
        <f t="shared" si="22"/>
        <v/>
      </c>
      <c r="AE7" s="286" t="str">
        <f t="shared" si="47"/>
        <v/>
      </c>
      <c r="AF7" s="277"/>
      <c r="AG7" s="275" t="str">
        <f t="shared" si="24"/>
        <v/>
      </c>
      <c r="AH7" s="287" t="str">
        <f t="shared" ca="1" si="25"/>
        <v/>
      </c>
      <c r="AI7" s="373" t="str">
        <f t="shared" ca="1" si="26"/>
        <v/>
      </c>
      <c r="AJ7" s="296" t="str">
        <f t="shared" si="27"/>
        <v/>
      </c>
      <c r="AK7" s="296" t="str">
        <f t="shared" si="28"/>
        <v/>
      </c>
      <c r="AL7" s="287" t="str">
        <f t="shared" si="29"/>
        <v/>
      </c>
      <c r="AM7" s="279">
        <f t="shared" si="30"/>
        <v>0</v>
      </c>
      <c r="AN7" s="279">
        <f t="shared" si="31"/>
        <v>0</v>
      </c>
      <c r="AO7" s="288">
        <f t="shared" si="32"/>
        <v>0</v>
      </c>
      <c r="AP7" s="279">
        <f t="shared" si="33"/>
        <v>0</v>
      </c>
      <c r="AQ7" s="288">
        <f t="shared" si="34"/>
        <v>0</v>
      </c>
      <c r="AR7" s="289">
        <f t="shared" si="35"/>
        <v>0</v>
      </c>
      <c r="AS7" s="279">
        <f t="shared" si="36"/>
        <v>0</v>
      </c>
      <c r="AT7" s="288">
        <f t="shared" si="37"/>
        <v>0</v>
      </c>
      <c r="AU7" s="289">
        <f t="shared" si="38"/>
        <v>0</v>
      </c>
      <c r="AV7" s="279">
        <f t="shared" si="39"/>
        <v>0</v>
      </c>
      <c r="AW7" s="288">
        <f t="shared" si="1"/>
        <v>0</v>
      </c>
      <c r="AX7" s="289">
        <f t="shared" si="2"/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ca="1" si="3"/>
        <v/>
      </c>
      <c r="BM7" s="270"/>
      <c r="BN7" s="271"/>
      <c r="BO7" s="272" t="str">
        <f t="shared" ca="1" si="4"/>
        <v/>
      </c>
      <c r="BP7" s="270"/>
      <c r="BQ7" s="271"/>
      <c r="BR7" s="272" t="str">
        <f t="shared" ca="1" si="5"/>
        <v/>
      </c>
      <c r="BS7" s="270"/>
      <c r="BT7" s="271"/>
      <c r="BU7" s="272" t="str">
        <f t="shared" ca="1" si="6"/>
        <v/>
      </c>
      <c r="BV7" s="270"/>
      <c r="BW7" s="271"/>
      <c r="BX7" s="272" t="str">
        <f t="shared" ca="1" si="7"/>
        <v/>
      </c>
      <c r="BY7" s="270"/>
      <c r="BZ7" s="271"/>
      <c r="CA7" s="272" t="str">
        <f t="shared" ca="1" si="8"/>
        <v/>
      </c>
      <c r="CB7" s="270"/>
      <c r="CC7" s="271"/>
      <c r="CD7" s="272" t="str">
        <f t="shared" ca="1" si="9"/>
        <v/>
      </c>
      <c r="CE7" s="270"/>
      <c r="CF7" s="271"/>
      <c r="CG7" s="272" t="str">
        <f t="shared" ca="1" si="10"/>
        <v/>
      </c>
      <c r="CH7" s="270"/>
      <c r="CI7" s="271"/>
      <c r="CJ7" s="272" t="str">
        <f t="shared" ca="1" si="11"/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12"/>
        <v/>
      </c>
      <c r="CU7" s="264"/>
      <c r="CV7" s="265"/>
      <c r="CW7" s="264"/>
      <c r="CX7" s="264"/>
      <c r="CY7" s="264" t="str">
        <f t="shared" si="13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14"/>
        <v>0</v>
      </c>
      <c r="DN7" s="295" t="str">
        <f t="shared" si="15"/>
        <v/>
      </c>
      <c r="DO7" s="392" t="str">
        <f t="shared" si="16"/>
        <v/>
      </c>
      <c r="DP7" s="392" t="str">
        <f t="shared" si="17"/>
        <v/>
      </c>
      <c r="DQ7" s="456" t="str">
        <f t="shared" si="18"/>
        <v/>
      </c>
      <c r="DR7" s="456" t="str">
        <f t="shared" si="19"/>
        <v/>
      </c>
    </row>
    <row r="8" spans="1:122" x14ac:dyDescent="0.25">
      <c r="A8" s="599" t="str">
        <f t="shared" si="0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40"/>
        <v/>
      </c>
      <c r="J8" s="312"/>
      <c r="K8" s="268"/>
      <c r="L8" s="277"/>
      <c r="M8" s="279"/>
      <c r="N8" s="280"/>
      <c r="O8" s="280"/>
      <c r="P8" s="455"/>
      <c r="Q8" s="281" t="str">
        <f t="shared" si="41"/>
        <v/>
      </c>
      <c r="R8" s="282">
        <f t="shared" si="42"/>
        <v>0</v>
      </c>
      <c r="S8" s="268"/>
      <c r="T8" s="283">
        <f t="shared" si="43"/>
        <v>0</v>
      </c>
      <c r="U8" s="284">
        <f>IF(M8=0,0,IF(G8="Annulation","",IF(assurance="ALPTIS",M8*12*T8/100*'Complet Data'!$K$4,IF(assurance="APRIL",M8*12*T8/100*'Complet Data'!$F$4,IF(assurance="ASAF",M8*12*T8/100*'Complet Data'!$I$4,IF(assurance="NEOLIANE",('Complet Data'!$G$5+M8*12*'Complet Data'!$G$4)*T8/100,IF(assurance="NEOLIANE Prev",('Complet Data'!$H$5+M8*12*'Complet Data'!$H$4)*T8/100,IF(assurance="SWISSLIFE",M8*12*T8/100*'Complet Data'!$J$4,IF(assurance="AVIVA",M8*12*T8/100*'Complet Data'!$L$4,IF(assurance="CIPRES",M8*12*T8/100*'Complet Data'!$M$4,IF(assurance="CEGEMA",M8*12*T8/100*'Complet Data'!$N$4,IF(assurance=0,0))))))))))))</f>
        <v>0</v>
      </c>
      <c r="V8" s="298" t="str">
        <f t="shared" si="44"/>
        <v/>
      </c>
      <c r="W8" s="298" t="str">
        <f t="shared" si="45"/>
        <v/>
      </c>
      <c r="X8" s="299">
        <f t="shared" si="46"/>
        <v>0</v>
      </c>
      <c r="Y8" s="368">
        <f t="shared" si="20"/>
        <v>0</v>
      </c>
      <c r="Z8" s="314"/>
      <c r="AA8" s="313" t="str">
        <f t="shared" si="21"/>
        <v/>
      </c>
      <c r="AB8" s="268" t="s">
        <v>13</v>
      </c>
      <c r="AC8" s="277"/>
      <c r="AD8" s="309" t="str">
        <f t="shared" si="22"/>
        <v/>
      </c>
      <c r="AE8" s="286" t="str">
        <f t="shared" si="47"/>
        <v/>
      </c>
      <c r="AF8" s="277"/>
      <c r="AG8" s="275" t="str">
        <f t="shared" si="24"/>
        <v/>
      </c>
      <c r="AH8" s="287" t="str">
        <f t="shared" ca="1" si="25"/>
        <v/>
      </c>
      <c r="AI8" s="373" t="str">
        <f t="shared" ca="1" si="26"/>
        <v/>
      </c>
      <c r="AJ8" s="296" t="str">
        <f t="shared" si="27"/>
        <v/>
      </c>
      <c r="AK8" s="296" t="str">
        <f t="shared" si="28"/>
        <v/>
      </c>
      <c r="AL8" s="287" t="str">
        <f t="shared" si="29"/>
        <v/>
      </c>
      <c r="AM8" s="279">
        <f t="shared" si="30"/>
        <v>0</v>
      </c>
      <c r="AN8" s="279">
        <f t="shared" si="31"/>
        <v>0</v>
      </c>
      <c r="AO8" s="288">
        <f t="shared" si="32"/>
        <v>0</v>
      </c>
      <c r="AP8" s="279">
        <f t="shared" si="33"/>
        <v>0</v>
      </c>
      <c r="AQ8" s="288">
        <f t="shared" si="34"/>
        <v>0</v>
      </c>
      <c r="AR8" s="289">
        <f t="shared" si="35"/>
        <v>0</v>
      </c>
      <c r="AS8" s="279">
        <f t="shared" si="36"/>
        <v>0</v>
      </c>
      <c r="AT8" s="288">
        <f t="shared" si="37"/>
        <v>0</v>
      </c>
      <c r="AU8" s="289">
        <f t="shared" si="38"/>
        <v>0</v>
      </c>
      <c r="AV8" s="279">
        <f t="shared" si="39"/>
        <v>0</v>
      </c>
      <c r="AW8" s="288">
        <f t="shared" si="1"/>
        <v>0</v>
      </c>
      <c r="AX8" s="289">
        <f t="shared" si="2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3"/>
        <v/>
      </c>
      <c r="BM8" s="270"/>
      <c r="BN8" s="271"/>
      <c r="BO8" s="272" t="str">
        <f t="shared" ca="1" si="4"/>
        <v/>
      </c>
      <c r="BP8" s="270"/>
      <c r="BQ8" s="271"/>
      <c r="BR8" s="272" t="str">
        <f t="shared" ca="1" si="5"/>
        <v/>
      </c>
      <c r="BS8" s="270"/>
      <c r="BT8" s="271"/>
      <c r="BU8" s="272" t="str">
        <f t="shared" ca="1" si="6"/>
        <v/>
      </c>
      <c r="BV8" s="270"/>
      <c r="BW8" s="271"/>
      <c r="BX8" s="272" t="str">
        <f t="shared" ca="1" si="7"/>
        <v/>
      </c>
      <c r="BY8" s="270"/>
      <c r="BZ8" s="271"/>
      <c r="CA8" s="272" t="str">
        <f t="shared" ca="1" si="8"/>
        <v/>
      </c>
      <c r="CB8" s="270"/>
      <c r="CC8" s="271"/>
      <c r="CD8" s="272" t="str">
        <f t="shared" ca="1" si="9"/>
        <v/>
      </c>
      <c r="CE8" s="270"/>
      <c r="CF8" s="271"/>
      <c r="CG8" s="272" t="str">
        <f t="shared" ca="1" si="10"/>
        <v/>
      </c>
      <c r="CH8" s="270"/>
      <c r="CI8" s="271"/>
      <c r="CJ8" s="272" t="str">
        <f t="shared" ca="1" si="11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12"/>
        <v/>
      </c>
      <c r="CU8" s="264"/>
      <c r="CV8" s="265"/>
      <c r="CW8" s="264"/>
      <c r="CX8" s="264"/>
      <c r="CY8" s="264" t="str">
        <f t="shared" si="13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14"/>
        <v>0</v>
      </c>
      <c r="DN8" s="295" t="str">
        <f t="shared" si="15"/>
        <v/>
      </c>
      <c r="DO8" s="392" t="str">
        <f t="shared" si="16"/>
        <v/>
      </c>
      <c r="DP8" s="392" t="str">
        <f t="shared" si="17"/>
        <v/>
      </c>
      <c r="DQ8" s="456" t="str">
        <f t="shared" si="18"/>
        <v/>
      </c>
      <c r="DR8" s="456" t="str">
        <f t="shared" si="19"/>
        <v/>
      </c>
    </row>
    <row r="9" spans="1:122" x14ac:dyDescent="0.25">
      <c r="A9" s="599" t="str">
        <f t="shared" si="0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40"/>
        <v/>
      </c>
      <c r="J9" s="312"/>
      <c r="K9" s="268"/>
      <c r="L9" s="277"/>
      <c r="M9" s="279"/>
      <c r="N9" s="280"/>
      <c r="O9" s="280"/>
      <c r="P9" s="455"/>
      <c r="Q9" s="281" t="str">
        <f t="shared" si="41"/>
        <v/>
      </c>
      <c r="R9" s="282">
        <f t="shared" si="42"/>
        <v>0</v>
      </c>
      <c r="S9" s="268"/>
      <c r="T9" s="283">
        <f t="shared" si="43"/>
        <v>0</v>
      </c>
      <c r="U9" s="284">
        <f>IF(M9=0,0,IF(G9="Annulation","",IF(assurance="ALPTIS",M9*12*T9/100*'Complet Data'!$K$4,IF(assurance="APRIL",M9*12*T9/100*'Complet Data'!$F$4,IF(assurance="ASAF",M9*12*T9/100*'Complet Data'!$I$4,IF(assurance="NEOLIANE",('Complet Data'!$G$5+M9*12*'Complet Data'!$G$4)*T9/100,IF(assurance="NEOLIANE Prev",('Complet Data'!$H$5+M9*12*'Complet Data'!$H$4)*T9/100,IF(assurance="SWISSLIFE",M9*12*T9/100*'Complet Data'!$J$4,IF(assurance="AVIVA",M9*12*T9/100*'Complet Data'!$L$4,IF(assurance="CIPRES",M9*12*T9/100*'Complet Data'!$M$4,IF(assurance="CEGEMA",M9*12*T9/100*'Complet Data'!$N$4,IF(assurance=0,0))))))))))))</f>
        <v>0</v>
      </c>
      <c r="V9" s="298" t="str">
        <f t="shared" si="44"/>
        <v/>
      </c>
      <c r="W9" s="298" t="str">
        <f t="shared" si="45"/>
        <v/>
      </c>
      <c r="X9" s="299">
        <f t="shared" si="46"/>
        <v>0</v>
      </c>
      <c r="Y9" s="368">
        <f t="shared" si="20"/>
        <v>0</v>
      </c>
      <c r="Z9" s="314"/>
      <c r="AA9" s="313" t="str">
        <f t="shared" si="21"/>
        <v/>
      </c>
      <c r="AB9" s="268" t="s">
        <v>13</v>
      </c>
      <c r="AC9" s="277"/>
      <c r="AD9" s="309" t="str">
        <f t="shared" si="22"/>
        <v/>
      </c>
      <c r="AE9" s="286" t="str">
        <f t="shared" si="47"/>
        <v/>
      </c>
      <c r="AF9" s="277"/>
      <c r="AG9" s="275" t="str">
        <f t="shared" si="24"/>
        <v/>
      </c>
      <c r="AH9" s="287" t="str">
        <f t="shared" ca="1" si="25"/>
        <v/>
      </c>
      <c r="AI9" s="373" t="str">
        <f t="shared" ca="1" si="26"/>
        <v/>
      </c>
      <c r="AJ9" s="296" t="str">
        <f t="shared" si="27"/>
        <v/>
      </c>
      <c r="AK9" s="296" t="str">
        <f t="shared" si="28"/>
        <v/>
      </c>
      <c r="AL9" s="287" t="str">
        <f t="shared" si="29"/>
        <v/>
      </c>
      <c r="AM9" s="279">
        <f t="shared" si="30"/>
        <v>0</v>
      </c>
      <c r="AN9" s="279">
        <f t="shared" si="31"/>
        <v>0</v>
      </c>
      <c r="AO9" s="288">
        <f t="shared" si="32"/>
        <v>0</v>
      </c>
      <c r="AP9" s="279">
        <f t="shared" si="33"/>
        <v>0</v>
      </c>
      <c r="AQ9" s="288">
        <f t="shared" si="34"/>
        <v>0</v>
      </c>
      <c r="AR9" s="289">
        <f t="shared" si="35"/>
        <v>0</v>
      </c>
      <c r="AS9" s="279">
        <f t="shared" si="36"/>
        <v>0</v>
      </c>
      <c r="AT9" s="288">
        <f t="shared" si="37"/>
        <v>0</v>
      </c>
      <c r="AU9" s="289">
        <f t="shared" si="38"/>
        <v>0</v>
      </c>
      <c r="AV9" s="279">
        <f t="shared" si="39"/>
        <v>0</v>
      </c>
      <c r="AW9" s="288">
        <f t="shared" si="1"/>
        <v>0</v>
      </c>
      <c r="AX9" s="289">
        <f t="shared" si="2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3"/>
        <v/>
      </c>
      <c r="BM9" s="270"/>
      <c r="BN9" s="271"/>
      <c r="BO9" s="272" t="str">
        <f t="shared" ca="1" si="4"/>
        <v/>
      </c>
      <c r="BP9" s="270"/>
      <c r="BQ9" s="271"/>
      <c r="BR9" s="272" t="str">
        <f t="shared" ca="1" si="5"/>
        <v/>
      </c>
      <c r="BS9" s="270"/>
      <c r="BT9" s="271"/>
      <c r="BU9" s="272" t="str">
        <f t="shared" ca="1" si="6"/>
        <v/>
      </c>
      <c r="BV9" s="270"/>
      <c r="BW9" s="271"/>
      <c r="BX9" s="272" t="str">
        <f t="shared" ca="1" si="7"/>
        <v/>
      </c>
      <c r="BY9" s="270"/>
      <c r="BZ9" s="271"/>
      <c r="CA9" s="272" t="str">
        <f t="shared" ca="1" si="8"/>
        <v/>
      </c>
      <c r="CB9" s="270"/>
      <c r="CC9" s="271"/>
      <c r="CD9" s="272" t="str">
        <f t="shared" ca="1" si="9"/>
        <v/>
      </c>
      <c r="CE9" s="270"/>
      <c r="CF9" s="271"/>
      <c r="CG9" s="272" t="str">
        <f t="shared" ca="1" si="10"/>
        <v/>
      </c>
      <c r="CH9" s="270"/>
      <c r="CI9" s="271"/>
      <c r="CJ9" s="272" t="str">
        <f t="shared" ca="1" si="11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12"/>
        <v/>
      </c>
      <c r="CU9" s="264"/>
      <c r="CV9" s="265"/>
      <c r="CW9" s="264"/>
      <c r="CX9" s="264"/>
      <c r="CY9" s="264" t="str">
        <f t="shared" si="13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14"/>
        <v>0</v>
      </c>
      <c r="DN9" s="295" t="str">
        <f t="shared" si="15"/>
        <v/>
      </c>
      <c r="DO9" s="392" t="str">
        <f t="shared" si="16"/>
        <v/>
      </c>
      <c r="DP9" s="392" t="str">
        <f t="shared" si="17"/>
        <v/>
      </c>
      <c r="DQ9" s="456" t="str">
        <f t="shared" si="18"/>
        <v/>
      </c>
      <c r="DR9" s="456" t="str">
        <f t="shared" si="19"/>
        <v/>
      </c>
    </row>
    <row r="10" spans="1:122" x14ac:dyDescent="0.25">
      <c r="A10" s="599" t="str">
        <f t="shared" si="0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40"/>
        <v/>
      </c>
      <c r="J10" s="312"/>
      <c r="K10" s="268"/>
      <c r="L10" s="277"/>
      <c r="M10" s="279"/>
      <c r="N10" s="280"/>
      <c r="O10" s="280"/>
      <c r="P10" s="455"/>
      <c r="Q10" s="281" t="str">
        <f t="shared" si="41"/>
        <v/>
      </c>
      <c r="R10" s="282">
        <f t="shared" si="42"/>
        <v>0</v>
      </c>
      <c r="S10" s="268"/>
      <c r="T10" s="283">
        <f t="shared" ref="T10:T41" si="48">IF(G10="Annulation","",IF(assurance="ALPTIS",IF(L10="SO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10" s="284">
        <f>IF(M10=0,0,IF(G10="Annulation","",IF(assurance="ALPTIS",M10*12*T10/100*'Complet Data'!$K$4,IF(assurance="APRIL",M10*12*T10/100*'Complet Data'!$F$4,IF(assurance="ASAF",M10*12*T10/100*'Complet Data'!$I$4,IF(assurance="NEOLIANE",('Complet Data'!$G$5+M10*12*'Complet Data'!$G$4)*T10/100,IF(assurance="NEOLIANE Prev",('Complet Data'!$H$5+M10*12*'Complet Data'!$H$4)*T10/100,IF(assurance="SWISSLIFE",M10*12*T10/100*'Complet Data'!$J$4,IF(assurance="AVIVA",M10*12*T10/100*'Complet Data'!$L$4,IF(assurance="CIPRES",M10*12*T10/100*'Complet Data'!$M$4,IF(assurance="CEGEMA",M10*12*T10/100*'Complet Data'!$N$4,IF(assurance=0,0))))))))))))</f>
        <v>0</v>
      </c>
      <c r="V10" s="298" t="str">
        <f t="shared" si="44"/>
        <v/>
      </c>
      <c r="W10" s="298" t="str">
        <f t="shared" si="45"/>
        <v/>
      </c>
      <c r="X10" s="299">
        <f t="shared" si="46"/>
        <v>0</v>
      </c>
      <c r="Y10" s="368">
        <f t="shared" si="20"/>
        <v>0</v>
      </c>
      <c r="Z10" s="314"/>
      <c r="AA10" s="313" t="str">
        <f t="shared" si="21"/>
        <v/>
      </c>
      <c r="AB10" s="268" t="s">
        <v>13</v>
      </c>
      <c r="AC10" s="277"/>
      <c r="AD10" s="309" t="str">
        <f t="shared" ref="AD10:AD41" si="49">IF(Z10=43466,"Programmée","")</f>
        <v/>
      </c>
      <c r="AE10" s="286" t="str">
        <f t="shared" si="47"/>
        <v/>
      </c>
      <c r="AF10" s="277"/>
      <c r="AG10" s="275" t="str">
        <f t="shared" si="24"/>
        <v/>
      </c>
      <c r="AH10" s="287" t="str">
        <f t="shared" ca="1" si="25"/>
        <v/>
      </c>
      <c r="AI10" s="373" t="str">
        <f t="shared" ca="1" si="26"/>
        <v/>
      </c>
      <c r="AJ10" s="296" t="str">
        <f t="shared" si="27"/>
        <v/>
      </c>
      <c r="AK10" s="296" t="str">
        <f t="shared" si="28"/>
        <v/>
      </c>
      <c r="AL10" s="287" t="str">
        <f t="shared" si="29"/>
        <v/>
      </c>
      <c r="AM10" s="279">
        <f t="shared" si="30"/>
        <v>0</v>
      </c>
      <c r="AN10" s="279">
        <f t="shared" si="31"/>
        <v>0</v>
      </c>
      <c r="AO10" s="288">
        <f t="shared" si="32"/>
        <v>0</v>
      </c>
      <c r="AP10" s="279">
        <f t="shared" si="33"/>
        <v>0</v>
      </c>
      <c r="AQ10" s="288">
        <f t="shared" si="34"/>
        <v>0</v>
      </c>
      <c r="AR10" s="289">
        <f t="shared" si="35"/>
        <v>0</v>
      </c>
      <c r="AS10" s="279">
        <f t="shared" si="36"/>
        <v>0</v>
      </c>
      <c r="AT10" s="288">
        <f t="shared" si="37"/>
        <v>0</v>
      </c>
      <c r="AU10" s="289">
        <f t="shared" si="38"/>
        <v>0</v>
      </c>
      <c r="AV10" s="279">
        <f t="shared" si="39"/>
        <v>0</v>
      </c>
      <c r="AW10" s="288">
        <f t="shared" si="1"/>
        <v>0</v>
      </c>
      <c r="AX10" s="289">
        <f t="shared" si="2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3"/>
        <v/>
      </c>
      <c r="BM10" s="270"/>
      <c r="BN10" s="271"/>
      <c r="BO10" s="272" t="str">
        <f t="shared" ca="1" si="4"/>
        <v/>
      </c>
      <c r="BP10" s="270"/>
      <c r="BQ10" s="271"/>
      <c r="BR10" s="272" t="str">
        <f t="shared" ca="1" si="5"/>
        <v/>
      </c>
      <c r="BS10" s="270"/>
      <c r="BT10" s="271"/>
      <c r="BU10" s="272" t="str">
        <f t="shared" ca="1" si="6"/>
        <v/>
      </c>
      <c r="BV10" s="270"/>
      <c r="BW10" s="271"/>
      <c r="BX10" s="272" t="str">
        <f t="shared" ca="1" si="7"/>
        <v/>
      </c>
      <c r="BY10" s="270"/>
      <c r="BZ10" s="271"/>
      <c r="CA10" s="272" t="str">
        <f t="shared" ca="1" si="8"/>
        <v/>
      </c>
      <c r="CB10" s="270"/>
      <c r="CC10" s="271"/>
      <c r="CD10" s="272" t="str">
        <f t="shared" ca="1" si="9"/>
        <v/>
      </c>
      <c r="CE10" s="270"/>
      <c r="CF10" s="271"/>
      <c r="CG10" s="272" t="str">
        <f t="shared" ca="1" si="10"/>
        <v/>
      </c>
      <c r="CH10" s="270"/>
      <c r="CI10" s="271"/>
      <c r="CJ10" s="272" t="str">
        <f t="shared" ca="1" si="11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12"/>
        <v/>
      </c>
      <c r="CU10" s="264"/>
      <c r="CV10" s="265"/>
      <c r="CW10" s="264"/>
      <c r="CX10" s="264"/>
      <c r="CY10" s="264" t="str">
        <f t="shared" si="13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14"/>
        <v>0</v>
      </c>
      <c r="DN10" s="295" t="str">
        <f t="shared" si="15"/>
        <v/>
      </c>
      <c r="DO10" s="392" t="str">
        <f t="shared" si="16"/>
        <v/>
      </c>
      <c r="DP10" s="392" t="str">
        <f t="shared" si="17"/>
        <v/>
      </c>
      <c r="DQ10" s="456" t="str">
        <f t="shared" si="18"/>
        <v/>
      </c>
      <c r="DR10" s="456" t="str">
        <f t="shared" si="19"/>
        <v/>
      </c>
    </row>
    <row r="11" spans="1:122" x14ac:dyDescent="0.25">
      <c r="A11" s="599" t="str">
        <f t="shared" si="0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40"/>
        <v/>
      </c>
      <c r="J11" s="312"/>
      <c r="K11" s="268"/>
      <c r="L11" s="277"/>
      <c r="M11" s="279"/>
      <c r="N11" s="280"/>
      <c r="O11" s="280"/>
      <c r="P11" s="455"/>
      <c r="Q11" s="281" t="str">
        <f t="shared" si="41"/>
        <v/>
      </c>
      <c r="R11" s="282">
        <f t="shared" si="42"/>
        <v>0</v>
      </c>
      <c r="S11" s="268"/>
      <c r="T11" s="283">
        <f t="shared" si="48"/>
        <v>0</v>
      </c>
      <c r="U11" s="284">
        <f>IF(M11=0,0,IF(G11="Annulation","",IF(assurance="ALPTIS",M11*12*T11/100*'Complet Data'!$K$4,IF(assurance="APRIL",M11*12*T11/100*'Complet Data'!$F$4,IF(assurance="ASAF",M11*12*T11/100*'Complet Data'!$I$4,IF(assurance="NEOLIANE",('Complet Data'!$G$5+M11*12*'Complet Data'!$G$4)*T11/100,IF(assurance="NEOLIANE Prev",('Complet Data'!$H$5+M11*12*'Complet Data'!$H$4)*T11/100,IF(assurance="SWISSLIFE",M11*12*T11/100*'Complet Data'!$J$4,IF(assurance="AVIVA",M11*12*T11/100*'Complet Data'!$L$4,IF(assurance="CIPRES",M11*12*T11/100*'Complet Data'!$M$4,IF(assurance="CEGEMA",M11*12*T11/100*'Complet Data'!$N$4,IF(assurance=0,0))))))))))))</f>
        <v>0</v>
      </c>
      <c r="V11" s="298" t="str">
        <f t="shared" si="44"/>
        <v/>
      </c>
      <c r="W11" s="298" t="str">
        <f t="shared" si="45"/>
        <v/>
      </c>
      <c r="X11" s="299">
        <f t="shared" si="46"/>
        <v>0</v>
      </c>
      <c r="Y11" s="368">
        <f t="shared" si="20"/>
        <v>0</v>
      </c>
      <c r="Z11" s="314"/>
      <c r="AA11" s="313" t="str">
        <f t="shared" si="21"/>
        <v/>
      </c>
      <c r="AB11" s="268" t="s">
        <v>13</v>
      </c>
      <c r="AC11" s="277"/>
      <c r="AD11" s="309" t="str">
        <f t="shared" si="49"/>
        <v/>
      </c>
      <c r="AE11" s="286" t="str">
        <f t="shared" si="47"/>
        <v/>
      </c>
      <c r="AF11" s="277"/>
      <c r="AG11" s="275" t="str">
        <f t="shared" si="24"/>
        <v/>
      </c>
      <c r="AH11" s="287" t="str">
        <f t="shared" ca="1" si="25"/>
        <v/>
      </c>
      <c r="AI11" s="373" t="str">
        <f t="shared" ca="1" si="26"/>
        <v/>
      </c>
      <c r="AJ11" s="296" t="str">
        <f t="shared" si="27"/>
        <v/>
      </c>
      <c r="AK11" s="296" t="str">
        <f t="shared" si="28"/>
        <v/>
      </c>
      <c r="AL11" s="287" t="str">
        <f t="shared" si="29"/>
        <v/>
      </c>
      <c r="AM11" s="279">
        <f t="shared" si="30"/>
        <v>0</v>
      </c>
      <c r="AN11" s="279">
        <f t="shared" si="31"/>
        <v>0</v>
      </c>
      <c r="AO11" s="288">
        <f t="shared" si="32"/>
        <v>0</v>
      </c>
      <c r="AP11" s="279">
        <f t="shared" si="33"/>
        <v>0</v>
      </c>
      <c r="AQ11" s="288">
        <f t="shared" si="34"/>
        <v>0</v>
      </c>
      <c r="AR11" s="289">
        <f t="shared" si="35"/>
        <v>0</v>
      </c>
      <c r="AS11" s="279">
        <f t="shared" si="36"/>
        <v>0</v>
      </c>
      <c r="AT11" s="288">
        <f t="shared" si="37"/>
        <v>0</v>
      </c>
      <c r="AU11" s="289">
        <f t="shared" si="38"/>
        <v>0</v>
      </c>
      <c r="AV11" s="279">
        <f t="shared" si="39"/>
        <v>0</v>
      </c>
      <c r="AW11" s="288">
        <f t="shared" si="1"/>
        <v>0</v>
      </c>
      <c r="AX11" s="289">
        <f t="shared" si="2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3"/>
        <v/>
      </c>
      <c r="BM11" s="270"/>
      <c r="BN11" s="271"/>
      <c r="BO11" s="272" t="str">
        <f t="shared" ca="1" si="4"/>
        <v/>
      </c>
      <c r="BP11" s="270"/>
      <c r="BQ11" s="271"/>
      <c r="BR11" s="272" t="str">
        <f t="shared" ca="1" si="5"/>
        <v/>
      </c>
      <c r="BS11" s="270"/>
      <c r="BT11" s="271"/>
      <c r="BU11" s="272" t="str">
        <f t="shared" ca="1" si="6"/>
        <v/>
      </c>
      <c r="BV11" s="270"/>
      <c r="BW11" s="271"/>
      <c r="BX11" s="272" t="str">
        <f t="shared" ca="1" si="7"/>
        <v/>
      </c>
      <c r="BY11" s="270"/>
      <c r="BZ11" s="271"/>
      <c r="CA11" s="272" t="str">
        <f t="shared" ca="1" si="8"/>
        <v/>
      </c>
      <c r="CB11" s="270"/>
      <c r="CC11" s="271"/>
      <c r="CD11" s="272" t="str">
        <f t="shared" ca="1" si="9"/>
        <v/>
      </c>
      <c r="CE11" s="270"/>
      <c r="CF11" s="271"/>
      <c r="CG11" s="272" t="str">
        <f t="shared" ca="1" si="10"/>
        <v/>
      </c>
      <c r="CH11" s="270"/>
      <c r="CI11" s="271"/>
      <c r="CJ11" s="272" t="str">
        <f t="shared" ca="1" si="11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12"/>
        <v/>
      </c>
      <c r="CU11" s="264"/>
      <c r="CV11" s="265"/>
      <c r="CW11" s="264"/>
      <c r="CX11" s="264"/>
      <c r="CY11" s="264" t="str">
        <f t="shared" si="13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14"/>
        <v>0</v>
      </c>
      <c r="DN11" s="295" t="str">
        <f t="shared" si="15"/>
        <v/>
      </c>
      <c r="DO11" s="392" t="str">
        <f t="shared" si="16"/>
        <v/>
      </c>
      <c r="DP11" s="392" t="str">
        <f t="shared" si="17"/>
        <v/>
      </c>
      <c r="DQ11" s="456" t="str">
        <f t="shared" si="18"/>
        <v/>
      </c>
      <c r="DR11" s="456" t="str">
        <f t="shared" si="19"/>
        <v/>
      </c>
    </row>
    <row r="12" spans="1:122" x14ac:dyDescent="0.25">
      <c r="A12" s="599" t="str">
        <f t="shared" si="0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ref="I12:I61" si="50">IF(G12="Annulation","",IF(H12=0,"",E12-H12))</f>
        <v/>
      </c>
      <c r="J12" s="312"/>
      <c r="K12" s="268"/>
      <c r="L12" s="277"/>
      <c r="M12" s="279"/>
      <c r="N12" s="280"/>
      <c r="O12" s="280"/>
      <c r="P12" s="455"/>
      <c r="Q12" s="281" t="str">
        <f t="shared" ref="Q12:Q61" si="51">IF(COUNT(AD12)=0,"",AD12)</f>
        <v/>
      </c>
      <c r="R12" s="282">
        <f t="shared" ref="R12:R61" si="52">SUM(M12*12)</f>
        <v>0</v>
      </c>
      <c r="S12" s="268"/>
      <c r="T12" s="283">
        <f t="shared" si="48"/>
        <v>0</v>
      </c>
      <c r="U12" s="284">
        <f>IF(M12=0,0,IF(G12="Annulation","",IF(assurance="ALPTIS",M12*12*T12/100*'Complet Data'!$K$4,IF(assurance="APRIL",M12*12*T12/100*'Complet Data'!$F$4,IF(assurance="ASAF",M12*12*T12/100*'Complet Data'!$I$4,IF(assurance="NEOLIANE",('Complet Data'!$G$5+M12*12*'Complet Data'!$G$4)*T12/100,IF(assurance="NEOLIANE Prev",('Complet Data'!$H$5+M12*12*'Complet Data'!$H$4)*T12/100,IF(assurance="SWISSLIFE",M12*12*T12/100*'Complet Data'!$J$4,IF(assurance="AVIVA",M12*12*T12/100*'Complet Data'!$L$4,IF(assurance="CIPRES",M12*12*T12/100*'Complet Data'!$M$4,IF(assurance="CEGEMA",M12*12*T12/100*'Complet Data'!$N$4,IF(assurance=0,0))))))))))))</f>
        <v>0</v>
      </c>
      <c r="V12" s="298" t="str">
        <f t="shared" ref="V12:V61" si="53">IF(M12="","",IF(G12="Annulation","",IF(typecomm="Précompte",SUM((M12-O12)*T12/100*12)+O12*12*0.15,IF(typecomm="Précompte 1",SUM((M12-O12)*T12/100*12)+O12*12*0.15,IF(typecomm="Linéaire",0,IF(typecomm=0,0))))))</f>
        <v/>
      </c>
      <c r="W12" s="298" t="str">
        <f t="shared" ref="W12:W61" si="54">IF(M12="","",IF(G12="Annulation","",IF(typecomm="Linéaire",SUM((M12-O12)*T12/100)+O12*0.15,IF(typecomm="Précompte 1",0,IF(typecomm="Précompte",0,IF(typecomm=0,0))))))</f>
        <v/>
      </c>
      <c r="X12" s="299">
        <f t="shared" ref="X12:X61" si="55">IF(G12="Annulation",0,IF(typecomm="Linéaire",0,IF(typecomm="Précompte 1",V12-U12,IF(mens=0,0,IF(typecomm="Précompte",V12-U12,IF(typecomm=0,0))))))</f>
        <v>0</v>
      </c>
      <c r="Y12" s="368">
        <f t="shared" ref="Y12:Y61" si="56">IF(G12="Annulation",0,IF(M12="",0,IF(typecomm="Linéaire",SUM(W12-U12/12),IF(typecomm="Précompte 1",0,IF(typecomm="Précompte",0,IF(typecomm=0,0))))))</f>
        <v>0</v>
      </c>
      <c r="Z12" s="314"/>
      <c r="AA12" s="313" t="str">
        <f t="shared" ref="AA12:AA61" si="57">IF(Z12="","",IF(G12="Annulation","",IF(E12="",0,Z12-E12)))</f>
        <v/>
      </c>
      <c r="AB12" s="268" t="s">
        <v>13</v>
      </c>
      <c r="AC12" s="277"/>
      <c r="AD12" s="309" t="str">
        <f t="shared" si="49"/>
        <v/>
      </c>
      <c r="AE12" s="286" t="str">
        <f t="shared" si="47"/>
        <v/>
      </c>
      <c r="AF12" s="277"/>
      <c r="AG12" s="275" t="str">
        <f t="shared" ref="AG12:AG61" si="58">(IF(COUNT(Z12)=0,"",IF(G12="Annulation","",IF(K12="SWISSLIFE",Z12+365,IF(K12="AVIVA",Z12+365,IF(K12="NEOLIANE Prev",Z12+365,IF(Z12&lt;42370,42370,IF(Z12&lt;42736,42736,IF(Z12&lt;43101,43101,IF(Z12&lt;43466,43466,IF(Z12&lt;43831,43831,IF(Z12&lt;44197,44197,IF(Z12&lt;44562,44562,IF(Z12&lt;44927,44927))))))))))))))</f>
        <v/>
      </c>
      <c r="AH12" s="287" t="str">
        <f t="shared" ref="AH12:AH61" ca="1" si="59">(IF(COUNT(Z12)=0,"",IF(G12="Annulation","",IF(Z12&gt;0,(Z12-TODAY())/(-365),0))))</f>
        <v/>
      </c>
      <c r="AI12" s="373" t="str">
        <f t="shared" ref="AI12:AI61" ca="1" si="60">(IF(COUNT(Z12)=0,"",IF(G12="Annulation","",IF(K12="SWISSLIFE",Z12+365+IF(Z12&gt;TODAY(),0,365*(DATEDIF(Z12,TODAY(),"Y"))),IF(K12="AVIVA",Z12+365+IF(Z12&gt;TODAY(),0,365*(DATEDIF(Z12,TODAY(),"Y"))),IF(K12="NEOLIANE Prev",Z12+365+IF(Z12&gt;TODAY(),0,365*(DATEDIF(Z12,TODAY(),"Y"))),IF(Z12&lt;=43252,43466,43831))))+365*(année-2018)+IF(année&gt;=2020,1)+IF(((IF(K12="SWISSLIFE",Z12+365+IF(Z12&gt;TODAY(),0,365*(DATEDIF(Z12,TODAY(),"Y"))),IF(K12="AVIVA",Z12+365+IF(Z12&gt;TODAY(),0,365*(DATEDIF(Z12,TODAY(),"Y"))),IF(K12="NEOLIANE Prev",Z12+365+IF(Z12&gt;TODAY(),0,365*(DATEDIF(Z12,TODAY(),"Y"))),IF(Z12&lt;=43252,43466,43831))))+365*(année-2018)+IF(année&gt;=2020,1))-62)&lt;TODAY(),365))))</f>
        <v/>
      </c>
      <c r="AJ12" s="296" t="str">
        <f t="shared" ref="AJ12:AJ61" si="61">IF(G12="Annulation","",IF(Z12="","",AI12-62))</f>
        <v/>
      </c>
      <c r="AK12" s="296" t="str">
        <f t="shared" ref="AK12:AK61" si="62">IF(G12="Annulation","",IF(Z12="","",AI12-92))</f>
        <v/>
      </c>
      <c r="AL12" s="287" t="str">
        <f t="shared" ref="AL12:AL61" si="63">(IF(COUNT(Z12)=0,"",IF(G12="Annulation","",IF(Z12&gt;0,(Z12-AI12)/(-365),0))))</f>
        <v/>
      </c>
      <c r="AM12" s="279">
        <f t="shared" ref="AM12:AM61" si="64">IF(G12="Annulation","",IF(Z12&lt;42736,M12,0))</f>
        <v>0</v>
      </c>
      <c r="AN12" s="279">
        <f t="shared" si="31"/>
        <v>0</v>
      </c>
      <c r="AO12" s="288">
        <f t="shared" ref="AO12:AO61" si="65">IF(G12="Annulation","",IF(AM12&gt;0,IF(AM12&gt;0,(AM12-AN12)/AM12*(-1),),0))</f>
        <v>0</v>
      </c>
      <c r="AP12" s="279">
        <f t="shared" si="33"/>
        <v>0</v>
      </c>
      <c r="AQ12" s="288">
        <f t="shared" ref="AQ12:AQ61" si="66">IF(G12="Annulation","",IF(AN12&gt;0,(AN12-AP12)/AN12*(-1),))</f>
        <v>0</v>
      </c>
      <c r="AR12" s="289">
        <f t="shared" ref="AR12:AR61" si="67">IF(G12="Annulation","",IF(AND(AM12&lt;=0,AN12&lt;=0,AO12&lt;=0),0,IF(AND(AM12&lt;=0,AN12&lt;=0,AO12&gt;0),(AP12-AO12)/AO12,0+IF(AND(AM12&lt;=0,AN12&gt;0,AO12&lt;=0),(AP12-AN12)/AN12,0+IF(AND(AM12&gt;0,AN12&lt;=0,AO12&lt;=0),(AP12-AM12)/AM12,0+IF(AND(AM12&lt;=0,AN12&gt;0,AO12&gt;0),(AP12-AN12)/AN12,0+IF(AND(AM12&gt;0,AN12&lt;=0,AO12&gt;0),(AP12-AM12)/AM12,0+IF(AND(AM12&lt;=0,AN12&gt;0,AO12&gt;0),(AP12-AN12)/AN12,0+IF(AND(AM12&gt;0,AN12&gt;0,AO12&lt;=0),(AP12-AM12)/AM12,0+IF(AND(AM12&gt;0,AN12&gt;0,AO12&gt;0),(AP12-AM12)/AM12,0))))))))))</f>
        <v>0</v>
      </c>
      <c r="AS12" s="279">
        <f t="shared" si="36"/>
        <v>0</v>
      </c>
      <c r="AT12" s="288">
        <f t="shared" ref="AT12:AT61" si="68">IF(G12="Annulation","",IF(AP12&gt;0,(AP12-AS12)/AP12*(-1),0))</f>
        <v>0</v>
      </c>
      <c r="AU12" s="289">
        <f t="shared" ref="AU12:AU61" si="69">IF(G12="Annulation","",IF(AS12&gt;0,IF(AM12&gt;0,(AM12-AS12)/(-AM12),IF(AN12&gt;0,(AN12-AS12)/(-AN12),IF(AP12&gt;0,(AP12-AS12)/(-AP12),0))),0))</f>
        <v>0</v>
      </c>
      <c r="AV12" s="279">
        <f t="shared" ref="AV12:AV61" si="70">IF(G12="Annulation","",IF(Z12&gt;=43831,IF(Z12&lt;44197,M12,0),0))</f>
        <v>0</v>
      </c>
      <c r="AW12" s="288">
        <f t="shared" ref="AW12:AW61" si="71">IF(G12="Annulation","",IF(AS12&gt;0,(AS12-AV12)/AS12*(-1),0))</f>
        <v>0</v>
      </c>
      <c r="AX12" s="289">
        <f t="shared" ref="AX12:AX61" si="72">IF(G12="Annulation","",(IF(AM12&gt;0,(AM12-AV12)/(-AM12),IF(AN12&gt;0,(AN12-AV12)/(-AN12),IF(AP12&gt;0,(AP12-AV12)/(-AP12),IF(AS12&gt;0,(AS12-AV12)/(-AS12),0))))))</f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ref="BL12:BL61" ca="1" si="73">IF(DATEDIF(BJ12,TODAY(),"Y")=118,"",DATEDIF(BJ12,TODAY(),"Y"))</f>
        <v/>
      </c>
      <c r="BM12" s="270"/>
      <c r="BN12" s="271"/>
      <c r="BO12" s="272" t="str">
        <f t="shared" ref="BO12:BO61" ca="1" si="74">IF(DATEDIF(BM12,TODAY(),"Y")=118,"",DATEDIF(BM12,TODAY(),"Y"))</f>
        <v/>
      </c>
      <c r="BP12" s="270"/>
      <c r="BQ12" s="271"/>
      <c r="BR12" s="272" t="str">
        <f t="shared" ref="BR12:BR61" ca="1" si="75">IF(DATEDIF(BP12,TODAY(),"Y")=118,"",DATEDIF(BP12,TODAY(),"Y"))</f>
        <v/>
      </c>
      <c r="BS12" s="270"/>
      <c r="BT12" s="271"/>
      <c r="BU12" s="272" t="str">
        <f t="shared" ref="BU12:BU61" ca="1" si="76">IF(DATEDIF(BS12,TODAY(),"Y")=118,"",DATEDIF(BS12,TODAY(),"Y"))</f>
        <v/>
      </c>
      <c r="BV12" s="270"/>
      <c r="BW12" s="271"/>
      <c r="BX12" s="272" t="str">
        <f t="shared" ref="BX12:BX61" ca="1" si="77">IF(DATEDIF(BV12,TODAY(),"Y")=118,"",DATEDIF(BV12,TODAY(),"Y"))</f>
        <v/>
      </c>
      <c r="BY12" s="270"/>
      <c r="BZ12" s="271"/>
      <c r="CA12" s="272" t="str">
        <f t="shared" ref="CA12:CA61" ca="1" si="78">IF(DATEDIF(BY12,TODAY(),"Y")=118,"",DATEDIF(BY12,TODAY(),"Y"))</f>
        <v/>
      </c>
      <c r="CB12" s="270"/>
      <c r="CC12" s="271"/>
      <c r="CD12" s="272" t="str">
        <f t="shared" ref="CD12:CD61" ca="1" si="79">IF(DATEDIF(CB12,TODAY(),"Y")=118,"",DATEDIF(CB12,TODAY(),"Y"))</f>
        <v/>
      </c>
      <c r="CE12" s="270"/>
      <c r="CF12" s="271"/>
      <c r="CG12" s="272" t="str">
        <f t="shared" ref="CG12:CG61" ca="1" si="80">IF(DATEDIF(CE12,TODAY(),"Y")=118,"",DATEDIF(CE12,TODAY(),"Y"))</f>
        <v/>
      </c>
      <c r="CH12" s="270"/>
      <c r="CI12" s="271"/>
      <c r="CJ12" s="272" t="str">
        <f t="shared" ref="CJ12:CJ61" ca="1" si="81">IF(DATEDIF(CH12,TODAY(),"Y")=118,"",DATEDIF(CH12,TODAY(),"Y"))</f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12"/>
        <v/>
      </c>
      <c r="CU12" s="264"/>
      <c r="CV12" s="265"/>
      <c r="CW12" s="264"/>
      <c r="CX12" s="264"/>
      <c r="CY12" s="264" t="str">
        <f t="shared" si="13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ref="DM12:DM61" si="82">Infoman</f>
        <v>0</v>
      </c>
      <c r="DN12" s="295" t="str">
        <f t="shared" ref="DN12:DN61" si="83">IF(C12=0,"",IF((IF(C12=0,"",IF(BJ12=0,"KO",IF(J12="Santé Individuelle",IF(COUNTBLANK(C12)+COUNTBLANK(K12)+COUNTBLANK(N12)+COUNTBLANK(L12)+COUNTBLANK(AZ12)+COUNTBLANK(BB12)+COUNTBLANK(BE12)+COUNTBLANK(BF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OK",IF(COUNTBLANK(L12)+COUNTBLANK(AZ12)+COUNTBLANK(BB12)+COUNTBLANK(BE12)+COUNTBLANK(J12)+COUNTBLANK(C12)+COUNTBLANK(K12)+COUNTBLANK(N12)+COUNTBLANK(Z12)+COUNTBLANK(BC12)+COUNTBLANK(BA12)+COUNTBLANK(BJ12)+COUNTBLANK(BK12)=4,"Mini",IF(COUNTBLANK(C12)+COUNTBLANK(K12)+COUNTBLANK(N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Mini","KO"))),IF(COUNTBLANK(L12)+COUNTBLANK(AZ12)+COUNTBLANK(BB12)+COUNTBLANK(BE12)+COUNTBLANK(J12)+COUNTBLANK(C12)+COUNTBLANK(K12)+COUNTBLANK(N12)+COUNTBLANK(Z12)+COUNTBLANK(BC12)+COUNTBLANK(BA12)+COUNTBLANK(BJ12)+COUNTBLANK(BK12)=0,"OK",IF(COUNTBLANK(J12)+COUNTBLANK(C12)+COUNTBLANK(K12)+COUNTBLANK(N12)+COUNTBLANK(Z12)+COUNTBLANK(BC12)+COUNTBLANK(BA12)+COUNTBLANK(BJ12)+COUNTBLANK(BK12)=0,"Mini","KO"))))))="OK",IF(G12="Pré 2018 OK","AJ",(IF(C12=0,"",IF(BJ12=0,"KO",IF(J12="Santé Individuelle",IF(COUNTBLANK(C12)+COUNTBLANK(K12)+COUNTBLANK(N12)+COUNTBLANK(L12)+COUNTBLANK(AZ12)+COUNTBLANK(BB12)+COUNTBLANK(BE12)+COUNTBLANK(BF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OK",IF(COUNTBLANK(L12)+COUNTBLANK(AZ12)+COUNTBLANK(BB12)+COUNTBLANK(BE12)+COUNTBLANK(J12)+COUNTBLANK(C12)+COUNTBLANK(K12)+COUNTBLANK(N12)+COUNTBLANK(Z12)+COUNTBLANK(BC12)+COUNTBLANK(BA12)+COUNTBLANK(BJ12)+COUNTBLANK(BK12)=4,"Mini",IF(COUNTBLANK(C12)+COUNTBLANK(K12)+COUNTBLANK(N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Mini","KO"))),IF(COUNTBLANK(L12)+COUNTBLANK(AZ12)+COUNTBLANK(BB12)+COUNTBLANK(BE12)+COUNTBLANK(J12)+COUNTBLANK(C12)+COUNTBLANK(K12)+COUNTBLANK(N12)+COUNTBLANK(Z12)+COUNTBLANK(BC12)+COUNTBLANK(BA12)+COUNTBLANK(BJ12)+COUNTBLANK(BK12)=0,"OK",IF(COUNTBLANK(J12)+COUNTBLANK(C12)+COUNTBLANK(K12)+COUNTBLANK(N12)+COUNTBLANK(Z12)+COUNTBLANK(BC12)+COUNTBLANK(BA12)+COUNTBLANK(BJ12)+COUNTBLANK(BK12)=0,"Mini","KO"))))))),(IF(C12=0,"",IF(BJ12=0,"KO",IF(J12="Santé Individuelle",IF(COUNTBLANK(C12)+COUNTBLANK(K12)+COUNTBLANK(N12)+COUNTBLANK(L12)+COUNTBLANK(AZ12)+COUNTBLANK(BB12)+COUNTBLANK(BE12)+COUNTBLANK(BF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OK",IF(COUNTBLANK(L12)+COUNTBLANK(AZ12)+COUNTBLANK(BB12)+COUNTBLANK(BE12)+COUNTBLANK(J12)+COUNTBLANK(C12)+COUNTBLANK(K12)+COUNTBLANK(N12)+COUNTBLANK(Z12)+COUNTBLANK(BC12)+COUNTBLANK(BA12)+COUNTBLANK(BJ12)+COUNTBLANK(BK12)=4,"Mini",IF(COUNTBLANK(C12)+COUNTBLANK(K12)+COUNTBLANK(N12)+COUNTBLANK(Z12)+COUNTBLANK(BA12)+COUNTBLANK(BC12)+COUNTBLANK(BJ12)+COUNTBLANK(BK12)+COUNTBLANK(BM12)+COUNTBLANK(BN12)+COUNTBLANK(BP12)+COUNTBLANK(BQ12)+COUNTBLANK(BS12)+COUNTBLANK(BT12)+COUNTBLANK(BV12)+COUNTBLANK(BW12)+COUNTBLANK(BY12)+COUNTBLANK(BZ12)+COUNTBLANK(CB12)+COUNTBLANK(CC12)+COUNTBLANK(CE12)+COUNTBLANK(CF12)+COUNTBLANK(CH12)+COUNTBLANK(CI12)=18-2*(BH12+BI12),"Mini","KO"))),IF(COUNTBLANK(L12)+COUNTBLANK(AZ12)+COUNTBLANK(BB12)+COUNTBLANK(BE12)+COUNTBLANK(J12)+COUNTBLANK(C12)+COUNTBLANK(K12)+COUNTBLANK(N12)+COUNTBLANK(Z12)+COUNTBLANK(BC12)+COUNTBLANK(BA12)+COUNTBLANK(BJ12)+COUNTBLANK(BK12)=0,"OK",IF(COUNTBLANK(J12)+COUNTBLANK(C12)+COUNTBLANK(K12)+COUNTBLANK(N12)+COUNTBLANK(Z12)+COUNTBLANK(BC12)+COUNTBLANK(BA12)+COUNTBLANK(BJ12)+COUNTBLANK(BK12)=0,"Mini","KO"))))))))</f>
        <v/>
      </c>
      <c r="DO12" s="392" t="str">
        <f t="shared" ref="DO12:DO61" si="84">IF(C12="","",C12)</f>
        <v/>
      </c>
      <c r="DP12" s="392" t="str">
        <f t="shared" ref="DP12:DP61" si="85">IF(BB12="","",BB12)</f>
        <v/>
      </c>
      <c r="DQ12" s="456" t="str">
        <f t="shared" ref="DQ12:DQ61" si="86">IF(C12="","",IF(J12="Santé Individuelle",CONCATENATE((IF(BH12=1,CONCATENATE("Étude Mutuelles 2019 pour ",F12," ",C12),IF(BH12=2,CONCATENATE("Étude Mutuelles 2019 pour Monsieur et Madame ",C12)))),(IF(BI12=0," [ Mathieu CEDELLE - ASSURE DIRECT ]",IF(BI12=1," + 1 Enfant [ Mathieu CEDELLE - ASSURE DIRECT ]",IF(BI12&gt;1,CONCATENATE(" + ",BI12," Enfants [ Mathieu CEDELLE - ASSURE DIRECT ]")))))),IF(J12="Prev. Pro",CONCATENATE((IF(BH12=1,CONCATENATE("Étude Prévoyance Pro 2019 pour ",F12," ",C12),IF(BH12=2,CONCATENATE("Étude Prévoyance Pro 2019 pour Monsieur et Madame ",C12)))),(IF(BI12=0," [ Mathieu CEDELLE - ASSURE DIRECT ]",IF(BI12=1," + 1 Enfant [ Mathieu CEDELLE - ASSURE DIRECT ]",IF(BI12&gt;1,CONCATENATE(" + ",BI12," Enfants [ Mathieu CEDELLE - ASSURE DIRECT ]")))))),CONCATENATE((IF(BH12=1,CONCATENATE("Étude Assurances 2019 pour ",F12," ",C12),IF(BH12=2,CONCATENATE("Étude Assurances 2019 pour Monsieur et Madame ",C12)))),(IF(BI12=0," [ Mathieu CEDELLE - ASSURE DIRECT ]",IF(BI12=1," + 1 Enfant [ Mathieu CEDELLE - ASSURE DIRECT ]",IF(BI12&gt;1,CONCATENATE(" + ",BI12," Enfants [ Mathieu CEDELLE - ASSURE DIRECT ]")))))))))</f>
        <v/>
      </c>
      <c r="DR12" s="456" t="str">
        <f t="shared" ref="DR12:DR61" si="87">IF(M12="","",CONCATENATE("Bonjour ",F12," ",C12,",
Tout d'abord, constatant que vous êtes toujours client chez la mutuelle ",K12," (mutuelle que nous avions choisie ensemble), je tiens à vous remercier de votre fidélité. 
Ensuite, plutôt que de vous faire attendre votre futur échéancier, je tiens à vous informer que ",K12," a depuis peu annoncé ses augmentations pour janvier 2019. Dans votre cas, votre tarif passera à ",AS12,"€/mois. 
Sachant que nous avions initialement souscrit au tarif de ",M12,"€/mois cela fera une augmentation totale de ",ROUND(AU12*100,1)," % ce qui me semble un peu trop élevé en si peu de temps. C'est donc pourquoi je prends les devants pour éviter de devoir changer dans la précipitation."))</f>
        <v/>
      </c>
    </row>
    <row r="13" spans="1:122" x14ac:dyDescent="0.25">
      <c r="A13" s="599" t="str">
        <f t="shared" ref="A13:A59" si="88">CONCATENATE(C13," ",D13," - ",K13," - ",J13)</f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si="50"/>
        <v/>
      </c>
      <c r="J13" s="312"/>
      <c r="K13" s="268"/>
      <c r="L13" s="277"/>
      <c r="M13" s="279"/>
      <c r="N13" s="280"/>
      <c r="O13" s="280"/>
      <c r="P13" s="455"/>
      <c r="Q13" s="281" t="str">
        <f t="shared" si="51"/>
        <v/>
      </c>
      <c r="R13" s="282">
        <f t="shared" si="52"/>
        <v>0</v>
      </c>
      <c r="S13" s="268"/>
      <c r="T13" s="283">
        <f t="shared" si="48"/>
        <v>0</v>
      </c>
      <c r="U13" s="284">
        <f>IF(M13=0,0,IF(G13="Annulation","",IF(assurance="ALPTIS",M13*12*T13/100*'Complet Data'!$K$4,IF(assurance="APRIL",M13*12*T13/100*'Complet Data'!$F$4,IF(assurance="ASAF",M13*12*T13/100*'Complet Data'!$I$4,IF(assurance="NEOLIANE",('Complet Data'!$G$5+M13*12*'Complet Data'!$G$4)*T13/100,IF(assurance="NEOLIANE Prev",('Complet Data'!$H$5+M13*12*'Complet Data'!$H$4)*T13/100,IF(assurance="SWISSLIFE",M13*12*T13/100*'Complet Data'!$J$4,IF(assurance="AVIVA",M13*12*T13/100*'Complet Data'!$L$4,IF(assurance="CIPRES",M13*12*T13/100*'Complet Data'!$M$4,IF(assurance="CEGEMA",M13*12*T13/100*'Complet Data'!$N$4,IF(assurance=0,0))))))))))))</f>
        <v>0</v>
      </c>
      <c r="V13" s="298" t="str">
        <f t="shared" si="53"/>
        <v/>
      </c>
      <c r="W13" s="298" t="str">
        <f t="shared" si="54"/>
        <v/>
      </c>
      <c r="X13" s="299">
        <f t="shared" si="55"/>
        <v>0</v>
      </c>
      <c r="Y13" s="368">
        <f t="shared" si="56"/>
        <v>0</v>
      </c>
      <c r="Z13" s="314"/>
      <c r="AA13" s="313" t="str">
        <f t="shared" si="57"/>
        <v/>
      </c>
      <c r="AB13" s="268" t="s">
        <v>13</v>
      </c>
      <c r="AC13" s="277"/>
      <c r="AD13" s="309" t="str">
        <f t="shared" si="49"/>
        <v/>
      </c>
      <c r="AE13" s="286" t="str">
        <f t="shared" si="47"/>
        <v/>
      </c>
      <c r="AF13" s="277"/>
      <c r="AG13" s="275" t="str">
        <f t="shared" si="58"/>
        <v/>
      </c>
      <c r="AH13" s="287" t="str">
        <f t="shared" ca="1" si="59"/>
        <v/>
      </c>
      <c r="AI13" s="373" t="str">
        <f t="shared" ca="1" si="60"/>
        <v/>
      </c>
      <c r="AJ13" s="296" t="str">
        <f t="shared" si="61"/>
        <v/>
      </c>
      <c r="AK13" s="296" t="str">
        <f t="shared" si="62"/>
        <v/>
      </c>
      <c r="AL13" s="287" t="str">
        <f t="shared" si="63"/>
        <v/>
      </c>
      <c r="AM13" s="279">
        <f t="shared" si="64"/>
        <v>0</v>
      </c>
      <c r="AN13" s="279">
        <f t="shared" si="31"/>
        <v>0</v>
      </c>
      <c r="AO13" s="288">
        <f t="shared" si="65"/>
        <v>0</v>
      </c>
      <c r="AP13" s="279">
        <f t="shared" si="33"/>
        <v>0</v>
      </c>
      <c r="AQ13" s="288">
        <f t="shared" si="66"/>
        <v>0</v>
      </c>
      <c r="AR13" s="289">
        <f t="shared" si="67"/>
        <v>0</v>
      </c>
      <c r="AS13" s="279">
        <f t="shared" si="36"/>
        <v>0</v>
      </c>
      <c r="AT13" s="288">
        <f t="shared" si="68"/>
        <v>0</v>
      </c>
      <c r="AU13" s="289">
        <f t="shared" si="69"/>
        <v>0</v>
      </c>
      <c r="AV13" s="279">
        <f t="shared" si="70"/>
        <v>0</v>
      </c>
      <c r="AW13" s="288">
        <f t="shared" si="71"/>
        <v>0</v>
      </c>
      <c r="AX13" s="289">
        <f t="shared" si="72"/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ca="1" si="73"/>
        <v/>
      </c>
      <c r="BM13" s="270"/>
      <c r="BN13" s="271"/>
      <c r="BO13" s="272" t="str">
        <f t="shared" ca="1" si="74"/>
        <v/>
      </c>
      <c r="BP13" s="270"/>
      <c r="BQ13" s="271"/>
      <c r="BR13" s="272" t="str">
        <f t="shared" ca="1" si="75"/>
        <v/>
      </c>
      <c r="BS13" s="270"/>
      <c r="BT13" s="271"/>
      <c r="BU13" s="272" t="str">
        <f t="shared" ca="1" si="76"/>
        <v/>
      </c>
      <c r="BV13" s="270"/>
      <c r="BW13" s="271"/>
      <c r="BX13" s="272" t="str">
        <f t="shared" ca="1" si="77"/>
        <v/>
      </c>
      <c r="BY13" s="270"/>
      <c r="BZ13" s="271"/>
      <c r="CA13" s="272" t="str">
        <f t="shared" ca="1" si="78"/>
        <v/>
      </c>
      <c r="CB13" s="270"/>
      <c r="CC13" s="271"/>
      <c r="CD13" s="272" t="str">
        <f t="shared" ca="1" si="79"/>
        <v/>
      </c>
      <c r="CE13" s="270"/>
      <c r="CF13" s="271"/>
      <c r="CG13" s="272" t="str">
        <f t="shared" ca="1" si="80"/>
        <v/>
      </c>
      <c r="CH13" s="270"/>
      <c r="CI13" s="271"/>
      <c r="CJ13" s="272" t="str">
        <f t="shared" ca="1" si="81"/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12"/>
        <v/>
      </c>
      <c r="CU13" s="264"/>
      <c r="CV13" s="265"/>
      <c r="CW13" s="264"/>
      <c r="CX13" s="264"/>
      <c r="CY13" s="264" t="str">
        <f t="shared" si="13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si="82"/>
        <v>0</v>
      </c>
      <c r="DN13" s="295" t="str">
        <f t="shared" si="83"/>
        <v/>
      </c>
      <c r="DO13" s="392" t="str">
        <f t="shared" si="84"/>
        <v/>
      </c>
      <c r="DP13" s="392" t="str">
        <f t="shared" si="85"/>
        <v/>
      </c>
      <c r="DQ13" s="456" t="str">
        <f t="shared" si="86"/>
        <v/>
      </c>
      <c r="DR13" s="456" t="str">
        <f t="shared" si="87"/>
        <v/>
      </c>
    </row>
    <row r="14" spans="1:122" x14ac:dyDescent="0.25">
      <c r="A14" s="599" t="str">
        <f t="shared" si="88"/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50"/>
        <v/>
      </c>
      <c r="J14" s="312"/>
      <c r="K14" s="268"/>
      <c r="L14" s="277"/>
      <c r="M14" s="279"/>
      <c r="N14" s="280"/>
      <c r="O14" s="280"/>
      <c r="P14" s="455"/>
      <c r="Q14" s="281" t="str">
        <f t="shared" si="51"/>
        <v/>
      </c>
      <c r="R14" s="282">
        <f t="shared" si="52"/>
        <v>0</v>
      </c>
      <c r="S14" s="268"/>
      <c r="T14" s="283">
        <f t="shared" si="48"/>
        <v>0</v>
      </c>
      <c r="U14" s="284">
        <f>IF(M14=0,0,IF(G14="Annulation","",IF(assurance="ALPTIS",M14*12*T14/100*'Complet Data'!$K$4,IF(assurance="APRIL",M14*12*T14/100*'Complet Data'!$F$4,IF(assurance="ASAF",M14*12*T14/100*'Complet Data'!$I$4,IF(assurance="NEOLIANE",('Complet Data'!$G$5+M14*12*'Complet Data'!$G$4)*T14/100,IF(assurance="NEOLIANE Prev",('Complet Data'!$H$5+M14*12*'Complet Data'!$H$4)*T14/100,IF(assurance="SWISSLIFE",M14*12*T14/100*'Complet Data'!$J$4,IF(assurance="AVIVA",M14*12*T14/100*'Complet Data'!$L$4,IF(assurance="CIPRES",M14*12*T14/100*'Complet Data'!$M$4,IF(assurance="CEGEMA",M14*12*T14/100*'Complet Data'!$N$4,IF(assurance=0,0))))))))))))</f>
        <v>0</v>
      </c>
      <c r="V14" s="298" t="str">
        <f t="shared" si="53"/>
        <v/>
      </c>
      <c r="W14" s="298" t="str">
        <f t="shared" si="54"/>
        <v/>
      </c>
      <c r="X14" s="299">
        <f t="shared" si="55"/>
        <v>0</v>
      </c>
      <c r="Y14" s="368">
        <f t="shared" si="56"/>
        <v>0</v>
      </c>
      <c r="Z14" s="314"/>
      <c r="AA14" s="313" t="str">
        <f t="shared" si="57"/>
        <v/>
      </c>
      <c r="AB14" s="268" t="s">
        <v>13</v>
      </c>
      <c r="AC14" s="277"/>
      <c r="AD14" s="309" t="str">
        <f t="shared" si="49"/>
        <v/>
      </c>
      <c r="AE14" s="286" t="str">
        <f t="shared" si="47"/>
        <v/>
      </c>
      <c r="AF14" s="277"/>
      <c r="AG14" s="275" t="str">
        <f t="shared" si="58"/>
        <v/>
      </c>
      <c r="AH14" s="287" t="str">
        <f t="shared" ca="1" si="59"/>
        <v/>
      </c>
      <c r="AI14" s="373" t="str">
        <f t="shared" ca="1" si="60"/>
        <v/>
      </c>
      <c r="AJ14" s="296" t="str">
        <f t="shared" si="61"/>
        <v/>
      </c>
      <c r="AK14" s="296" t="str">
        <f t="shared" si="62"/>
        <v/>
      </c>
      <c r="AL14" s="287" t="str">
        <f t="shared" si="63"/>
        <v/>
      </c>
      <c r="AM14" s="279">
        <f t="shared" si="64"/>
        <v>0</v>
      </c>
      <c r="AN14" s="279">
        <f t="shared" si="31"/>
        <v>0</v>
      </c>
      <c r="AO14" s="288">
        <f t="shared" si="65"/>
        <v>0</v>
      </c>
      <c r="AP14" s="279">
        <f t="shared" si="33"/>
        <v>0</v>
      </c>
      <c r="AQ14" s="288">
        <f t="shared" si="66"/>
        <v>0</v>
      </c>
      <c r="AR14" s="289">
        <f t="shared" si="67"/>
        <v>0</v>
      </c>
      <c r="AS14" s="279">
        <f t="shared" si="36"/>
        <v>0</v>
      </c>
      <c r="AT14" s="288">
        <f t="shared" si="68"/>
        <v>0</v>
      </c>
      <c r="AU14" s="289">
        <f t="shared" si="69"/>
        <v>0</v>
      </c>
      <c r="AV14" s="279">
        <f t="shared" si="70"/>
        <v>0</v>
      </c>
      <c r="AW14" s="288">
        <f t="shared" si="71"/>
        <v>0</v>
      </c>
      <c r="AX14" s="289">
        <f t="shared" si="72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73"/>
        <v/>
      </c>
      <c r="BM14" s="270"/>
      <c r="BN14" s="271"/>
      <c r="BO14" s="272" t="str">
        <f t="shared" ca="1" si="74"/>
        <v/>
      </c>
      <c r="BP14" s="270"/>
      <c r="BQ14" s="271"/>
      <c r="BR14" s="272" t="str">
        <f t="shared" ca="1" si="75"/>
        <v/>
      </c>
      <c r="BS14" s="270"/>
      <c r="BT14" s="271"/>
      <c r="BU14" s="272" t="str">
        <f t="shared" ca="1" si="76"/>
        <v/>
      </c>
      <c r="BV14" s="270"/>
      <c r="BW14" s="271"/>
      <c r="BX14" s="272" t="str">
        <f t="shared" ca="1" si="77"/>
        <v/>
      </c>
      <c r="BY14" s="270"/>
      <c r="BZ14" s="271"/>
      <c r="CA14" s="272" t="str">
        <f t="shared" ca="1" si="78"/>
        <v/>
      </c>
      <c r="CB14" s="270"/>
      <c r="CC14" s="271"/>
      <c r="CD14" s="272" t="str">
        <f t="shared" ca="1" si="79"/>
        <v/>
      </c>
      <c r="CE14" s="270"/>
      <c r="CF14" s="271"/>
      <c r="CG14" s="272" t="str">
        <f t="shared" ca="1" si="80"/>
        <v/>
      </c>
      <c r="CH14" s="270"/>
      <c r="CI14" s="271"/>
      <c r="CJ14" s="272" t="str">
        <f t="shared" ca="1" si="81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12"/>
        <v/>
      </c>
      <c r="CU14" s="264"/>
      <c r="CV14" s="265"/>
      <c r="CW14" s="264"/>
      <c r="CX14" s="264"/>
      <c r="CY14" s="264" t="str">
        <f t="shared" si="13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82"/>
        <v>0</v>
      </c>
      <c r="DN14" s="295" t="str">
        <f t="shared" si="83"/>
        <v/>
      </c>
      <c r="DO14" s="392" t="str">
        <f t="shared" si="84"/>
        <v/>
      </c>
      <c r="DP14" s="392" t="str">
        <f t="shared" si="85"/>
        <v/>
      </c>
      <c r="DQ14" s="456" t="str">
        <f t="shared" si="86"/>
        <v/>
      </c>
      <c r="DR14" s="456" t="str">
        <f t="shared" si="87"/>
        <v/>
      </c>
    </row>
    <row r="15" spans="1:122" x14ac:dyDescent="0.25">
      <c r="A15" s="599" t="str">
        <f t="shared" si="88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50"/>
        <v/>
      </c>
      <c r="J15" s="312"/>
      <c r="K15" s="268"/>
      <c r="L15" s="277"/>
      <c r="M15" s="279"/>
      <c r="N15" s="280"/>
      <c r="O15" s="280"/>
      <c r="P15" s="455"/>
      <c r="Q15" s="281" t="str">
        <f t="shared" si="51"/>
        <v/>
      </c>
      <c r="R15" s="282">
        <f t="shared" si="52"/>
        <v>0</v>
      </c>
      <c r="S15" s="268"/>
      <c r="T15" s="283">
        <f t="shared" si="48"/>
        <v>0</v>
      </c>
      <c r="U15" s="284">
        <f>IF(M15=0,0,IF(G15="Annulation","",IF(assurance="ALPTIS",M15*12*T15/100*'Complet Data'!$K$4,IF(assurance="APRIL",M15*12*T15/100*'Complet Data'!$F$4,IF(assurance="ASAF",M15*12*T15/100*'Complet Data'!$I$4,IF(assurance="NEOLIANE",('Complet Data'!$G$5+M15*12*'Complet Data'!$G$4)*T15/100,IF(assurance="NEOLIANE Prev",('Complet Data'!$H$5+M15*12*'Complet Data'!$H$4)*T15/100,IF(assurance="SWISSLIFE",M15*12*T15/100*'Complet Data'!$J$4,IF(assurance="AVIVA",M15*12*T15/100*'Complet Data'!$L$4,IF(assurance="CIPRES",M15*12*T15/100*'Complet Data'!$M$4,IF(assurance="CEGEMA",M15*12*T15/100*'Complet Data'!$N$4,IF(assurance=0,0))))))))))))</f>
        <v>0</v>
      </c>
      <c r="V15" s="298" t="str">
        <f t="shared" si="53"/>
        <v/>
      </c>
      <c r="W15" s="298" t="str">
        <f t="shared" si="54"/>
        <v/>
      </c>
      <c r="X15" s="299">
        <f t="shared" si="55"/>
        <v>0</v>
      </c>
      <c r="Y15" s="368">
        <f t="shared" si="56"/>
        <v>0</v>
      </c>
      <c r="Z15" s="314"/>
      <c r="AA15" s="313" t="str">
        <f t="shared" si="57"/>
        <v/>
      </c>
      <c r="AB15" s="268" t="s">
        <v>13</v>
      </c>
      <c r="AC15" s="277"/>
      <c r="AD15" s="309" t="str">
        <f t="shared" si="49"/>
        <v/>
      </c>
      <c r="AE15" s="286" t="str">
        <f t="shared" si="47"/>
        <v/>
      </c>
      <c r="AF15" s="277"/>
      <c r="AG15" s="275" t="str">
        <f t="shared" si="58"/>
        <v/>
      </c>
      <c r="AH15" s="287" t="str">
        <f t="shared" ca="1" si="59"/>
        <v/>
      </c>
      <c r="AI15" s="373" t="str">
        <f t="shared" ca="1" si="60"/>
        <v/>
      </c>
      <c r="AJ15" s="296" t="str">
        <f t="shared" si="61"/>
        <v/>
      </c>
      <c r="AK15" s="296" t="str">
        <f t="shared" si="62"/>
        <v/>
      </c>
      <c r="AL15" s="287" t="str">
        <f t="shared" si="63"/>
        <v/>
      </c>
      <c r="AM15" s="279">
        <f t="shared" si="64"/>
        <v>0</v>
      </c>
      <c r="AN15" s="279">
        <f t="shared" si="31"/>
        <v>0</v>
      </c>
      <c r="AO15" s="288">
        <f t="shared" si="65"/>
        <v>0</v>
      </c>
      <c r="AP15" s="279">
        <f t="shared" si="33"/>
        <v>0</v>
      </c>
      <c r="AQ15" s="288">
        <f t="shared" si="66"/>
        <v>0</v>
      </c>
      <c r="AR15" s="289">
        <f t="shared" si="67"/>
        <v>0</v>
      </c>
      <c r="AS15" s="279">
        <f t="shared" si="36"/>
        <v>0</v>
      </c>
      <c r="AT15" s="288">
        <f t="shared" si="68"/>
        <v>0</v>
      </c>
      <c r="AU15" s="289">
        <f t="shared" si="69"/>
        <v>0</v>
      </c>
      <c r="AV15" s="279">
        <f t="shared" si="70"/>
        <v>0</v>
      </c>
      <c r="AW15" s="288">
        <f t="shared" si="71"/>
        <v>0</v>
      </c>
      <c r="AX15" s="289">
        <f t="shared" si="72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73"/>
        <v/>
      </c>
      <c r="BM15" s="270"/>
      <c r="BN15" s="271"/>
      <c r="BO15" s="272" t="str">
        <f t="shared" ca="1" si="74"/>
        <v/>
      </c>
      <c r="BP15" s="270"/>
      <c r="BQ15" s="271"/>
      <c r="BR15" s="272" t="str">
        <f t="shared" ca="1" si="75"/>
        <v/>
      </c>
      <c r="BS15" s="270"/>
      <c r="BT15" s="271"/>
      <c r="BU15" s="272" t="str">
        <f t="shared" ca="1" si="76"/>
        <v/>
      </c>
      <c r="BV15" s="270"/>
      <c r="BW15" s="271"/>
      <c r="BX15" s="272" t="str">
        <f t="shared" ca="1" si="77"/>
        <v/>
      </c>
      <c r="BY15" s="270"/>
      <c r="BZ15" s="271"/>
      <c r="CA15" s="272" t="str">
        <f t="shared" ca="1" si="78"/>
        <v/>
      </c>
      <c r="CB15" s="270"/>
      <c r="CC15" s="271"/>
      <c r="CD15" s="272" t="str">
        <f t="shared" ca="1" si="79"/>
        <v/>
      </c>
      <c r="CE15" s="270"/>
      <c r="CF15" s="271"/>
      <c r="CG15" s="272" t="str">
        <f t="shared" ca="1" si="80"/>
        <v/>
      </c>
      <c r="CH15" s="270"/>
      <c r="CI15" s="271"/>
      <c r="CJ15" s="272" t="str">
        <f t="shared" ca="1" si="81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12"/>
        <v/>
      </c>
      <c r="CU15" s="264"/>
      <c r="CV15" s="265"/>
      <c r="CW15" s="264"/>
      <c r="CX15" s="264"/>
      <c r="CY15" s="264" t="str">
        <f t="shared" si="13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82"/>
        <v>0</v>
      </c>
      <c r="DN15" s="295" t="str">
        <f t="shared" si="83"/>
        <v/>
      </c>
      <c r="DO15" s="392" t="str">
        <f t="shared" si="84"/>
        <v/>
      </c>
      <c r="DP15" s="392" t="str">
        <f t="shared" si="85"/>
        <v/>
      </c>
      <c r="DQ15" s="456" t="str">
        <f t="shared" si="86"/>
        <v/>
      </c>
      <c r="DR15" s="456" t="str">
        <f t="shared" si="87"/>
        <v/>
      </c>
    </row>
    <row r="16" spans="1:122" x14ac:dyDescent="0.25">
      <c r="A16" s="599" t="str">
        <f t="shared" si="88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50"/>
        <v/>
      </c>
      <c r="J16" s="312"/>
      <c r="K16" s="268"/>
      <c r="L16" s="277"/>
      <c r="M16" s="279"/>
      <c r="N16" s="280"/>
      <c r="O16" s="280"/>
      <c r="P16" s="455"/>
      <c r="Q16" s="281" t="str">
        <f t="shared" si="51"/>
        <v/>
      </c>
      <c r="R16" s="282">
        <f t="shared" si="52"/>
        <v>0</v>
      </c>
      <c r="S16" s="268"/>
      <c r="T16" s="283">
        <f t="shared" si="48"/>
        <v>0</v>
      </c>
      <c r="U16" s="284">
        <f>IF(M16=0,0,IF(G16="Annulation","",IF(assurance="ALPTIS",M16*12*T16/100*'Complet Data'!$K$4,IF(assurance="APRIL",M16*12*T16/100*'Complet Data'!$F$4,IF(assurance="ASAF",M16*12*T16/100*'Complet Data'!$I$4,IF(assurance="NEOLIANE",('Complet Data'!$G$5+M16*12*'Complet Data'!$G$4)*T16/100,IF(assurance="NEOLIANE Prev",('Complet Data'!$H$5+M16*12*'Complet Data'!$H$4)*T16/100,IF(assurance="SWISSLIFE",M16*12*T16/100*'Complet Data'!$J$4,IF(assurance="AVIVA",M16*12*T16/100*'Complet Data'!$L$4,IF(assurance="CIPRES",M16*12*T16/100*'Complet Data'!$M$4,IF(assurance="CEGEMA",M16*12*T16/100*'Complet Data'!$N$4,IF(assurance=0,0))))))))))))</f>
        <v>0</v>
      </c>
      <c r="V16" s="298" t="str">
        <f t="shared" si="53"/>
        <v/>
      </c>
      <c r="W16" s="298" t="str">
        <f t="shared" si="54"/>
        <v/>
      </c>
      <c r="X16" s="299">
        <f t="shared" si="55"/>
        <v>0</v>
      </c>
      <c r="Y16" s="368">
        <f t="shared" si="56"/>
        <v>0</v>
      </c>
      <c r="Z16" s="314"/>
      <c r="AA16" s="313" t="str">
        <f t="shared" si="57"/>
        <v/>
      </c>
      <c r="AB16" s="268" t="s">
        <v>13</v>
      </c>
      <c r="AC16" s="277"/>
      <c r="AD16" s="309" t="str">
        <f t="shared" si="49"/>
        <v/>
      </c>
      <c r="AE16" s="286" t="str">
        <f t="shared" si="47"/>
        <v/>
      </c>
      <c r="AF16" s="277"/>
      <c r="AG16" s="275" t="str">
        <f t="shared" si="58"/>
        <v/>
      </c>
      <c r="AH16" s="287" t="str">
        <f t="shared" ca="1" si="59"/>
        <v/>
      </c>
      <c r="AI16" s="373" t="str">
        <f t="shared" ca="1" si="60"/>
        <v/>
      </c>
      <c r="AJ16" s="296" t="str">
        <f t="shared" si="61"/>
        <v/>
      </c>
      <c r="AK16" s="296" t="str">
        <f t="shared" si="62"/>
        <v/>
      </c>
      <c r="AL16" s="287" t="str">
        <f t="shared" si="63"/>
        <v/>
      </c>
      <c r="AM16" s="279">
        <f t="shared" si="64"/>
        <v>0</v>
      </c>
      <c r="AN16" s="279">
        <f t="shared" si="31"/>
        <v>0</v>
      </c>
      <c r="AO16" s="288">
        <f t="shared" si="65"/>
        <v>0</v>
      </c>
      <c r="AP16" s="279">
        <f t="shared" si="33"/>
        <v>0</v>
      </c>
      <c r="AQ16" s="288">
        <f t="shared" si="66"/>
        <v>0</v>
      </c>
      <c r="AR16" s="289">
        <f t="shared" si="67"/>
        <v>0</v>
      </c>
      <c r="AS16" s="279">
        <f t="shared" si="36"/>
        <v>0</v>
      </c>
      <c r="AT16" s="288">
        <f t="shared" si="68"/>
        <v>0</v>
      </c>
      <c r="AU16" s="289">
        <f t="shared" si="69"/>
        <v>0</v>
      </c>
      <c r="AV16" s="279">
        <f t="shared" si="70"/>
        <v>0</v>
      </c>
      <c r="AW16" s="288">
        <f t="shared" si="71"/>
        <v>0</v>
      </c>
      <c r="AX16" s="289">
        <f t="shared" si="72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73"/>
        <v/>
      </c>
      <c r="BM16" s="270"/>
      <c r="BN16" s="271"/>
      <c r="BO16" s="272" t="str">
        <f t="shared" ca="1" si="74"/>
        <v/>
      </c>
      <c r="BP16" s="270"/>
      <c r="BQ16" s="271"/>
      <c r="BR16" s="272" t="str">
        <f t="shared" ca="1" si="75"/>
        <v/>
      </c>
      <c r="BS16" s="270"/>
      <c r="BT16" s="271"/>
      <c r="BU16" s="272" t="str">
        <f t="shared" ca="1" si="76"/>
        <v/>
      </c>
      <c r="BV16" s="270"/>
      <c r="BW16" s="271"/>
      <c r="BX16" s="272" t="str">
        <f t="shared" ca="1" si="77"/>
        <v/>
      </c>
      <c r="BY16" s="270"/>
      <c r="BZ16" s="271"/>
      <c r="CA16" s="272" t="str">
        <f t="shared" ca="1" si="78"/>
        <v/>
      </c>
      <c r="CB16" s="270"/>
      <c r="CC16" s="271"/>
      <c r="CD16" s="272" t="str">
        <f t="shared" ca="1" si="79"/>
        <v/>
      </c>
      <c r="CE16" s="270"/>
      <c r="CF16" s="271"/>
      <c r="CG16" s="272" t="str">
        <f t="shared" ca="1" si="80"/>
        <v/>
      </c>
      <c r="CH16" s="270"/>
      <c r="CI16" s="271"/>
      <c r="CJ16" s="272" t="str">
        <f t="shared" ca="1" si="81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12"/>
        <v/>
      </c>
      <c r="CU16" s="264"/>
      <c r="CV16" s="265"/>
      <c r="CW16" s="264"/>
      <c r="CX16" s="264"/>
      <c r="CY16" s="264" t="str">
        <f t="shared" si="13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82"/>
        <v>0</v>
      </c>
      <c r="DN16" s="295" t="str">
        <f t="shared" si="83"/>
        <v/>
      </c>
      <c r="DO16" s="392" t="str">
        <f t="shared" si="84"/>
        <v/>
      </c>
      <c r="DP16" s="392" t="str">
        <f t="shared" si="85"/>
        <v/>
      </c>
      <c r="DQ16" s="456" t="str">
        <f t="shared" si="86"/>
        <v/>
      </c>
      <c r="DR16" s="456" t="str">
        <f t="shared" si="87"/>
        <v/>
      </c>
    </row>
    <row r="17" spans="1:122" x14ac:dyDescent="0.25">
      <c r="A17" s="599" t="str">
        <f t="shared" si="88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50"/>
        <v/>
      </c>
      <c r="J17" s="312"/>
      <c r="K17" s="268"/>
      <c r="L17" s="277"/>
      <c r="M17" s="279"/>
      <c r="N17" s="280"/>
      <c r="O17" s="280"/>
      <c r="P17" s="455"/>
      <c r="Q17" s="281" t="str">
        <f t="shared" si="51"/>
        <v/>
      </c>
      <c r="R17" s="282">
        <f t="shared" si="52"/>
        <v>0</v>
      </c>
      <c r="S17" s="268"/>
      <c r="T17" s="283">
        <f t="shared" si="48"/>
        <v>0</v>
      </c>
      <c r="U17" s="284">
        <f>IF(M17=0,0,IF(G17="Annulation","",IF(assurance="ALPTIS",M17*12*T17/100*'Complet Data'!$K$4,IF(assurance="APRIL",M17*12*T17/100*'Complet Data'!$F$4,IF(assurance="ASAF",M17*12*T17/100*'Complet Data'!$I$4,IF(assurance="NEOLIANE",('Complet Data'!$G$5+M17*12*'Complet Data'!$G$4)*T17/100,IF(assurance="NEOLIANE Prev",('Complet Data'!$H$5+M17*12*'Complet Data'!$H$4)*T17/100,IF(assurance="SWISSLIFE",M17*12*T17/100*'Complet Data'!$J$4,IF(assurance="AVIVA",M17*12*T17/100*'Complet Data'!$L$4,IF(assurance="CIPRES",M17*12*T17/100*'Complet Data'!$M$4,IF(assurance="CEGEMA",M17*12*T17/100*'Complet Data'!$N$4,IF(assurance=0,0))))))))))))</f>
        <v>0</v>
      </c>
      <c r="V17" s="298" t="str">
        <f t="shared" si="53"/>
        <v/>
      </c>
      <c r="W17" s="298" t="str">
        <f t="shared" si="54"/>
        <v/>
      </c>
      <c r="X17" s="299">
        <f t="shared" si="55"/>
        <v>0</v>
      </c>
      <c r="Y17" s="368">
        <f t="shared" si="56"/>
        <v>0</v>
      </c>
      <c r="Z17" s="314"/>
      <c r="AA17" s="313" t="str">
        <f t="shared" si="57"/>
        <v/>
      </c>
      <c r="AB17" s="268" t="s">
        <v>13</v>
      </c>
      <c r="AC17" s="277"/>
      <c r="AD17" s="309" t="str">
        <f t="shared" si="49"/>
        <v/>
      </c>
      <c r="AE17" s="286" t="str">
        <f t="shared" si="47"/>
        <v/>
      </c>
      <c r="AF17" s="277"/>
      <c r="AG17" s="275" t="str">
        <f t="shared" si="58"/>
        <v/>
      </c>
      <c r="AH17" s="287" t="str">
        <f t="shared" ca="1" si="59"/>
        <v/>
      </c>
      <c r="AI17" s="373" t="str">
        <f t="shared" ca="1" si="60"/>
        <v/>
      </c>
      <c r="AJ17" s="296" t="str">
        <f t="shared" si="61"/>
        <v/>
      </c>
      <c r="AK17" s="296" t="str">
        <f t="shared" si="62"/>
        <v/>
      </c>
      <c r="AL17" s="287" t="str">
        <f t="shared" si="63"/>
        <v/>
      </c>
      <c r="AM17" s="279">
        <f t="shared" si="64"/>
        <v>0</v>
      </c>
      <c r="AN17" s="279">
        <f t="shared" si="31"/>
        <v>0</v>
      </c>
      <c r="AO17" s="288">
        <f t="shared" si="65"/>
        <v>0</v>
      </c>
      <c r="AP17" s="279">
        <f t="shared" si="33"/>
        <v>0</v>
      </c>
      <c r="AQ17" s="288">
        <f t="shared" si="66"/>
        <v>0</v>
      </c>
      <c r="AR17" s="289">
        <f t="shared" si="67"/>
        <v>0</v>
      </c>
      <c r="AS17" s="279">
        <f t="shared" si="36"/>
        <v>0</v>
      </c>
      <c r="AT17" s="288">
        <f t="shared" si="68"/>
        <v>0</v>
      </c>
      <c r="AU17" s="289">
        <f t="shared" si="69"/>
        <v>0</v>
      </c>
      <c r="AV17" s="279">
        <f t="shared" si="70"/>
        <v>0</v>
      </c>
      <c r="AW17" s="288">
        <f t="shared" si="71"/>
        <v>0</v>
      </c>
      <c r="AX17" s="289">
        <f t="shared" si="72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73"/>
        <v/>
      </c>
      <c r="BM17" s="270"/>
      <c r="BN17" s="271"/>
      <c r="BO17" s="272" t="str">
        <f t="shared" ca="1" si="74"/>
        <v/>
      </c>
      <c r="BP17" s="270"/>
      <c r="BQ17" s="271"/>
      <c r="BR17" s="272" t="str">
        <f t="shared" ca="1" si="75"/>
        <v/>
      </c>
      <c r="BS17" s="270"/>
      <c r="BT17" s="271"/>
      <c r="BU17" s="272" t="str">
        <f t="shared" ca="1" si="76"/>
        <v/>
      </c>
      <c r="BV17" s="270"/>
      <c r="BW17" s="271"/>
      <c r="BX17" s="272" t="str">
        <f t="shared" ca="1" si="77"/>
        <v/>
      </c>
      <c r="BY17" s="270"/>
      <c r="BZ17" s="271"/>
      <c r="CA17" s="272" t="str">
        <f t="shared" ca="1" si="78"/>
        <v/>
      </c>
      <c r="CB17" s="270"/>
      <c r="CC17" s="271"/>
      <c r="CD17" s="272" t="str">
        <f t="shared" ca="1" si="79"/>
        <v/>
      </c>
      <c r="CE17" s="270"/>
      <c r="CF17" s="271"/>
      <c r="CG17" s="272" t="str">
        <f t="shared" ca="1" si="80"/>
        <v/>
      </c>
      <c r="CH17" s="270"/>
      <c r="CI17" s="271"/>
      <c r="CJ17" s="272" t="str">
        <f t="shared" ca="1" si="81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12"/>
        <v/>
      </c>
      <c r="CU17" s="264"/>
      <c r="CV17" s="265"/>
      <c r="CW17" s="264"/>
      <c r="CX17" s="264"/>
      <c r="CY17" s="264" t="str">
        <f t="shared" si="13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82"/>
        <v>0</v>
      </c>
      <c r="DN17" s="295" t="str">
        <f t="shared" si="83"/>
        <v/>
      </c>
      <c r="DO17" s="392" t="str">
        <f t="shared" si="84"/>
        <v/>
      </c>
      <c r="DP17" s="392" t="str">
        <f t="shared" si="85"/>
        <v/>
      </c>
      <c r="DQ17" s="456" t="str">
        <f t="shared" si="86"/>
        <v/>
      </c>
      <c r="DR17" s="456" t="str">
        <f t="shared" si="87"/>
        <v/>
      </c>
    </row>
    <row r="18" spans="1:122" x14ac:dyDescent="0.25">
      <c r="A18" s="599" t="str">
        <f t="shared" si="88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50"/>
        <v/>
      </c>
      <c r="J18" s="312"/>
      <c r="K18" s="268"/>
      <c r="L18" s="277"/>
      <c r="M18" s="279"/>
      <c r="N18" s="280"/>
      <c r="O18" s="280"/>
      <c r="P18" s="455"/>
      <c r="Q18" s="281" t="str">
        <f t="shared" si="51"/>
        <v/>
      </c>
      <c r="R18" s="282">
        <f t="shared" si="52"/>
        <v>0</v>
      </c>
      <c r="S18" s="268"/>
      <c r="T18" s="283">
        <f t="shared" si="48"/>
        <v>0</v>
      </c>
      <c r="U18" s="284">
        <f>IF(M18=0,0,IF(G18="Annulation","",IF(assurance="ALPTIS",M18*12*T18/100*'Complet Data'!$K$4,IF(assurance="APRIL",M18*12*T18/100*'Complet Data'!$F$4,IF(assurance="ASAF",M18*12*T18/100*'Complet Data'!$I$4,IF(assurance="NEOLIANE",('Complet Data'!$G$5+M18*12*'Complet Data'!$G$4)*T18/100,IF(assurance="NEOLIANE Prev",('Complet Data'!$H$5+M18*12*'Complet Data'!$H$4)*T18/100,IF(assurance="SWISSLIFE",M18*12*T18/100*'Complet Data'!$J$4,IF(assurance="AVIVA",M18*12*T18/100*'Complet Data'!$L$4,IF(assurance="CIPRES",M18*12*T18/100*'Complet Data'!$M$4,IF(assurance="CEGEMA",M18*12*T18/100*'Complet Data'!$N$4,IF(assurance=0,0))))))))))))</f>
        <v>0</v>
      </c>
      <c r="V18" s="298" t="str">
        <f t="shared" si="53"/>
        <v/>
      </c>
      <c r="W18" s="298" t="str">
        <f t="shared" si="54"/>
        <v/>
      </c>
      <c r="X18" s="299">
        <f t="shared" si="55"/>
        <v>0</v>
      </c>
      <c r="Y18" s="368">
        <f t="shared" si="56"/>
        <v>0</v>
      </c>
      <c r="Z18" s="314"/>
      <c r="AA18" s="313" t="str">
        <f t="shared" si="57"/>
        <v/>
      </c>
      <c r="AB18" s="268" t="s">
        <v>13</v>
      </c>
      <c r="AC18" s="277"/>
      <c r="AD18" s="309" t="str">
        <f t="shared" si="49"/>
        <v/>
      </c>
      <c r="AE18" s="286" t="str">
        <f t="shared" si="47"/>
        <v/>
      </c>
      <c r="AF18" s="277"/>
      <c r="AG18" s="275" t="str">
        <f t="shared" si="58"/>
        <v/>
      </c>
      <c r="AH18" s="287" t="str">
        <f t="shared" ca="1" si="59"/>
        <v/>
      </c>
      <c r="AI18" s="373" t="str">
        <f t="shared" ca="1" si="60"/>
        <v/>
      </c>
      <c r="AJ18" s="296" t="str">
        <f t="shared" si="61"/>
        <v/>
      </c>
      <c r="AK18" s="296" t="str">
        <f t="shared" si="62"/>
        <v/>
      </c>
      <c r="AL18" s="287" t="str">
        <f t="shared" si="63"/>
        <v/>
      </c>
      <c r="AM18" s="279">
        <f t="shared" si="64"/>
        <v>0</v>
      </c>
      <c r="AN18" s="279">
        <f t="shared" si="31"/>
        <v>0</v>
      </c>
      <c r="AO18" s="288">
        <f t="shared" si="65"/>
        <v>0</v>
      </c>
      <c r="AP18" s="279">
        <f t="shared" si="33"/>
        <v>0</v>
      </c>
      <c r="AQ18" s="288">
        <f t="shared" si="66"/>
        <v>0</v>
      </c>
      <c r="AR18" s="289">
        <f t="shared" si="67"/>
        <v>0</v>
      </c>
      <c r="AS18" s="279">
        <f t="shared" si="36"/>
        <v>0</v>
      </c>
      <c r="AT18" s="288">
        <f t="shared" si="68"/>
        <v>0</v>
      </c>
      <c r="AU18" s="289">
        <f t="shared" si="69"/>
        <v>0</v>
      </c>
      <c r="AV18" s="279">
        <f t="shared" si="70"/>
        <v>0</v>
      </c>
      <c r="AW18" s="288">
        <f t="shared" si="71"/>
        <v>0</v>
      </c>
      <c r="AX18" s="289">
        <f t="shared" si="72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73"/>
        <v/>
      </c>
      <c r="BM18" s="270"/>
      <c r="BN18" s="271"/>
      <c r="BO18" s="272" t="str">
        <f t="shared" ca="1" si="74"/>
        <v/>
      </c>
      <c r="BP18" s="270"/>
      <c r="BQ18" s="271"/>
      <c r="BR18" s="272" t="str">
        <f t="shared" ca="1" si="75"/>
        <v/>
      </c>
      <c r="BS18" s="270"/>
      <c r="BT18" s="271"/>
      <c r="BU18" s="272" t="str">
        <f t="shared" ca="1" si="76"/>
        <v/>
      </c>
      <c r="BV18" s="270"/>
      <c r="BW18" s="271"/>
      <c r="BX18" s="272" t="str">
        <f t="shared" ca="1" si="77"/>
        <v/>
      </c>
      <c r="BY18" s="270"/>
      <c r="BZ18" s="271"/>
      <c r="CA18" s="272" t="str">
        <f t="shared" ca="1" si="78"/>
        <v/>
      </c>
      <c r="CB18" s="270"/>
      <c r="CC18" s="271"/>
      <c r="CD18" s="272" t="str">
        <f t="shared" ca="1" si="79"/>
        <v/>
      </c>
      <c r="CE18" s="270"/>
      <c r="CF18" s="271"/>
      <c r="CG18" s="272" t="str">
        <f t="shared" ca="1" si="80"/>
        <v/>
      </c>
      <c r="CH18" s="270"/>
      <c r="CI18" s="271"/>
      <c r="CJ18" s="272" t="str">
        <f t="shared" ca="1" si="81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12"/>
        <v/>
      </c>
      <c r="CU18" s="264"/>
      <c r="CV18" s="265"/>
      <c r="CW18" s="264"/>
      <c r="CX18" s="264"/>
      <c r="CY18" s="264" t="str">
        <f t="shared" si="13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82"/>
        <v>0</v>
      </c>
      <c r="DN18" s="295" t="str">
        <f t="shared" si="83"/>
        <v/>
      </c>
      <c r="DO18" s="392" t="str">
        <f t="shared" si="84"/>
        <v/>
      </c>
      <c r="DP18" s="392" t="str">
        <f t="shared" si="85"/>
        <v/>
      </c>
      <c r="DQ18" s="456" t="str">
        <f t="shared" si="86"/>
        <v/>
      </c>
      <c r="DR18" s="456" t="str">
        <f t="shared" si="87"/>
        <v/>
      </c>
    </row>
    <row r="19" spans="1:122" x14ac:dyDescent="0.25">
      <c r="A19" s="599" t="str">
        <f t="shared" si="88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50"/>
        <v/>
      </c>
      <c r="J19" s="312"/>
      <c r="K19" s="268"/>
      <c r="L19" s="277"/>
      <c r="M19" s="279"/>
      <c r="N19" s="280"/>
      <c r="O19" s="280"/>
      <c r="P19" s="455"/>
      <c r="Q19" s="281" t="str">
        <f t="shared" si="51"/>
        <v/>
      </c>
      <c r="R19" s="282">
        <f t="shared" si="52"/>
        <v>0</v>
      </c>
      <c r="S19" s="268"/>
      <c r="T19" s="283">
        <f t="shared" si="48"/>
        <v>0</v>
      </c>
      <c r="U19" s="284">
        <f>IF(M19=0,0,IF(G19="Annulation","",IF(assurance="ALPTIS",M19*12*T19/100*'Complet Data'!$K$4,IF(assurance="APRIL",M19*12*T19/100*'Complet Data'!$F$4,IF(assurance="ASAF",M19*12*T19/100*'Complet Data'!$I$4,IF(assurance="NEOLIANE",('Complet Data'!$G$5+M19*12*'Complet Data'!$G$4)*T19/100,IF(assurance="NEOLIANE Prev",('Complet Data'!$H$5+M19*12*'Complet Data'!$H$4)*T19/100,IF(assurance="SWISSLIFE",M19*12*T19/100*'Complet Data'!$J$4,IF(assurance="AVIVA",M19*12*T19/100*'Complet Data'!$L$4,IF(assurance="CIPRES",M19*12*T19/100*'Complet Data'!$M$4,IF(assurance="CEGEMA",M19*12*T19/100*'Complet Data'!$N$4,IF(assurance=0,0))))))))))))</f>
        <v>0</v>
      </c>
      <c r="V19" s="298" t="str">
        <f t="shared" si="53"/>
        <v/>
      </c>
      <c r="W19" s="298" t="str">
        <f t="shared" si="54"/>
        <v/>
      </c>
      <c r="X19" s="299">
        <f t="shared" si="55"/>
        <v>0</v>
      </c>
      <c r="Y19" s="368">
        <f t="shared" si="56"/>
        <v>0</v>
      </c>
      <c r="Z19" s="314"/>
      <c r="AA19" s="313" t="str">
        <f t="shared" si="57"/>
        <v/>
      </c>
      <c r="AB19" s="268" t="s">
        <v>13</v>
      </c>
      <c r="AC19" s="277"/>
      <c r="AD19" s="309" t="str">
        <f t="shared" si="49"/>
        <v/>
      </c>
      <c r="AE19" s="286" t="str">
        <f t="shared" si="47"/>
        <v/>
      </c>
      <c r="AF19" s="277"/>
      <c r="AG19" s="275" t="str">
        <f t="shared" si="58"/>
        <v/>
      </c>
      <c r="AH19" s="287" t="str">
        <f t="shared" ca="1" si="59"/>
        <v/>
      </c>
      <c r="AI19" s="373" t="str">
        <f t="shared" ca="1" si="60"/>
        <v/>
      </c>
      <c r="AJ19" s="296" t="str">
        <f t="shared" si="61"/>
        <v/>
      </c>
      <c r="AK19" s="296" t="str">
        <f t="shared" si="62"/>
        <v/>
      </c>
      <c r="AL19" s="287" t="str">
        <f t="shared" si="63"/>
        <v/>
      </c>
      <c r="AM19" s="279">
        <f t="shared" si="64"/>
        <v>0</v>
      </c>
      <c r="AN19" s="279">
        <f t="shared" si="31"/>
        <v>0</v>
      </c>
      <c r="AO19" s="288">
        <f t="shared" si="65"/>
        <v>0</v>
      </c>
      <c r="AP19" s="279">
        <f t="shared" si="33"/>
        <v>0</v>
      </c>
      <c r="AQ19" s="288">
        <f t="shared" si="66"/>
        <v>0</v>
      </c>
      <c r="AR19" s="289">
        <f t="shared" si="67"/>
        <v>0</v>
      </c>
      <c r="AS19" s="279">
        <f t="shared" si="36"/>
        <v>0</v>
      </c>
      <c r="AT19" s="288">
        <f t="shared" si="68"/>
        <v>0</v>
      </c>
      <c r="AU19" s="289">
        <f t="shared" si="69"/>
        <v>0</v>
      </c>
      <c r="AV19" s="279">
        <f t="shared" si="70"/>
        <v>0</v>
      </c>
      <c r="AW19" s="288">
        <f t="shared" si="71"/>
        <v>0</v>
      </c>
      <c r="AX19" s="289">
        <f t="shared" si="72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73"/>
        <v/>
      </c>
      <c r="BM19" s="270"/>
      <c r="BN19" s="271"/>
      <c r="BO19" s="272" t="str">
        <f t="shared" ca="1" si="74"/>
        <v/>
      </c>
      <c r="BP19" s="270"/>
      <c r="BQ19" s="271"/>
      <c r="BR19" s="272" t="str">
        <f t="shared" ca="1" si="75"/>
        <v/>
      </c>
      <c r="BS19" s="270"/>
      <c r="BT19" s="271"/>
      <c r="BU19" s="272" t="str">
        <f t="shared" ca="1" si="76"/>
        <v/>
      </c>
      <c r="BV19" s="270"/>
      <c r="BW19" s="271"/>
      <c r="BX19" s="272" t="str">
        <f t="shared" ca="1" si="77"/>
        <v/>
      </c>
      <c r="BY19" s="270"/>
      <c r="BZ19" s="271"/>
      <c r="CA19" s="272" t="str">
        <f t="shared" ca="1" si="78"/>
        <v/>
      </c>
      <c r="CB19" s="270"/>
      <c r="CC19" s="271"/>
      <c r="CD19" s="272" t="str">
        <f t="shared" ca="1" si="79"/>
        <v/>
      </c>
      <c r="CE19" s="270"/>
      <c r="CF19" s="271"/>
      <c r="CG19" s="272" t="str">
        <f t="shared" ca="1" si="80"/>
        <v/>
      </c>
      <c r="CH19" s="270"/>
      <c r="CI19" s="271"/>
      <c r="CJ19" s="272" t="str">
        <f t="shared" ca="1" si="81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12"/>
        <v/>
      </c>
      <c r="CU19" s="264"/>
      <c r="CV19" s="265"/>
      <c r="CW19" s="264"/>
      <c r="CX19" s="264"/>
      <c r="CY19" s="264" t="str">
        <f t="shared" si="13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82"/>
        <v>0</v>
      </c>
      <c r="DN19" s="295" t="str">
        <f t="shared" si="83"/>
        <v/>
      </c>
      <c r="DO19" s="392" t="str">
        <f t="shared" si="84"/>
        <v/>
      </c>
      <c r="DP19" s="392" t="str">
        <f t="shared" si="85"/>
        <v/>
      </c>
      <c r="DQ19" s="456" t="str">
        <f t="shared" si="86"/>
        <v/>
      </c>
      <c r="DR19" s="456" t="str">
        <f t="shared" si="87"/>
        <v/>
      </c>
    </row>
    <row r="20" spans="1:122" x14ac:dyDescent="0.25">
      <c r="A20" s="599" t="str">
        <f t="shared" si="88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50"/>
        <v/>
      </c>
      <c r="J20" s="312"/>
      <c r="K20" s="268"/>
      <c r="L20" s="277"/>
      <c r="M20" s="279"/>
      <c r="N20" s="280"/>
      <c r="O20" s="280"/>
      <c r="P20" s="455"/>
      <c r="Q20" s="281" t="str">
        <f t="shared" si="51"/>
        <v/>
      </c>
      <c r="R20" s="282">
        <f t="shared" si="52"/>
        <v>0</v>
      </c>
      <c r="S20" s="268"/>
      <c r="T20" s="283">
        <f t="shared" si="48"/>
        <v>0</v>
      </c>
      <c r="U20" s="284">
        <f>IF(M20=0,0,IF(G20="Annulation","",IF(assurance="ALPTIS",M20*12*T20/100*'Complet Data'!$K$4,IF(assurance="APRIL",M20*12*T20/100*'Complet Data'!$F$4,IF(assurance="ASAF",M20*12*T20/100*'Complet Data'!$I$4,IF(assurance="NEOLIANE",('Complet Data'!$G$5+M20*12*'Complet Data'!$G$4)*T20/100,IF(assurance="NEOLIANE Prev",('Complet Data'!$H$5+M20*12*'Complet Data'!$H$4)*T20/100,IF(assurance="SWISSLIFE",M20*12*T20/100*'Complet Data'!$J$4,IF(assurance="AVIVA",M20*12*T20/100*'Complet Data'!$L$4,IF(assurance="CIPRES",M20*12*T20/100*'Complet Data'!$M$4,IF(assurance="CEGEMA",M20*12*T20/100*'Complet Data'!$N$4,IF(assurance=0,0))))))))))))</f>
        <v>0</v>
      </c>
      <c r="V20" s="298" t="str">
        <f t="shared" si="53"/>
        <v/>
      </c>
      <c r="W20" s="298" t="str">
        <f t="shared" si="54"/>
        <v/>
      </c>
      <c r="X20" s="299">
        <f t="shared" si="55"/>
        <v>0</v>
      </c>
      <c r="Y20" s="368">
        <f t="shared" si="56"/>
        <v>0</v>
      </c>
      <c r="Z20" s="314"/>
      <c r="AA20" s="313" t="str">
        <f t="shared" si="57"/>
        <v/>
      </c>
      <c r="AB20" s="268" t="s">
        <v>13</v>
      </c>
      <c r="AC20" s="277"/>
      <c r="AD20" s="309" t="str">
        <f t="shared" si="49"/>
        <v/>
      </c>
      <c r="AE20" s="286" t="str">
        <f t="shared" si="47"/>
        <v/>
      </c>
      <c r="AF20" s="277"/>
      <c r="AG20" s="275" t="str">
        <f t="shared" si="58"/>
        <v/>
      </c>
      <c r="AH20" s="287" t="str">
        <f t="shared" ca="1" si="59"/>
        <v/>
      </c>
      <c r="AI20" s="373" t="str">
        <f t="shared" ca="1" si="60"/>
        <v/>
      </c>
      <c r="AJ20" s="296" t="str">
        <f t="shared" si="61"/>
        <v/>
      </c>
      <c r="AK20" s="296" t="str">
        <f t="shared" si="62"/>
        <v/>
      </c>
      <c r="AL20" s="287" t="str">
        <f t="shared" si="63"/>
        <v/>
      </c>
      <c r="AM20" s="279">
        <f t="shared" si="64"/>
        <v>0</v>
      </c>
      <c r="AN20" s="279">
        <f t="shared" si="31"/>
        <v>0</v>
      </c>
      <c r="AO20" s="288">
        <f t="shared" si="65"/>
        <v>0</v>
      </c>
      <c r="AP20" s="279">
        <f t="shared" si="33"/>
        <v>0</v>
      </c>
      <c r="AQ20" s="288">
        <f t="shared" si="66"/>
        <v>0</v>
      </c>
      <c r="AR20" s="289">
        <f t="shared" si="67"/>
        <v>0</v>
      </c>
      <c r="AS20" s="279">
        <f t="shared" si="36"/>
        <v>0</v>
      </c>
      <c r="AT20" s="288">
        <f t="shared" si="68"/>
        <v>0</v>
      </c>
      <c r="AU20" s="289">
        <f t="shared" si="69"/>
        <v>0</v>
      </c>
      <c r="AV20" s="279">
        <f t="shared" si="70"/>
        <v>0</v>
      </c>
      <c r="AW20" s="288">
        <f t="shared" si="71"/>
        <v>0</v>
      </c>
      <c r="AX20" s="289">
        <f t="shared" si="72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73"/>
        <v/>
      </c>
      <c r="BM20" s="270"/>
      <c r="BN20" s="271"/>
      <c r="BO20" s="272" t="str">
        <f t="shared" ca="1" si="74"/>
        <v/>
      </c>
      <c r="BP20" s="270"/>
      <c r="BQ20" s="271"/>
      <c r="BR20" s="272" t="str">
        <f t="shared" ca="1" si="75"/>
        <v/>
      </c>
      <c r="BS20" s="270"/>
      <c r="BT20" s="271"/>
      <c r="BU20" s="272" t="str">
        <f t="shared" ca="1" si="76"/>
        <v/>
      </c>
      <c r="BV20" s="270"/>
      <c r="BW20" s="271"/>
      <c r="BX20" s="272" t="str">
        <f t="shared" ca="1" si="77"/>
        <v/>
      </c>
      <c r="BY20" s="270"/>
      <c r="BZ20" s="271"/>
      <c r="CA20" s="272" t="str">
        <f t="shared" ca="1" si="78"/>
        <v/>
      </c>
      <c r="CB20" s="270"/>
      <c r="CC20" s="271"/>
      <c r="CD20" s="272" t="str">
        <f t="shared" ca="1" si="79"/>
        <v/>
      </c>
      <c r="CE20" s="270"/>
      <c r="CF20" s="271"/>
      <c r="CG20" s="272" t="str">
        <f t="shared" ca="1" si="80"/>
        <v/>
      </c>
      <c r="CH20" s="270"/>
      <c r="CI20" s="271"/>
      <c r="CJ20" s="272" t="str">
        <f t="shared" ca="1" si="81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12"/>
        <v/>
      </c>
      <c r="CU20" s="264"/>
      <c r="CV20" s="265"/>
      <c r="CW20" s="264"/>
      <c r="CX20" s="264"/>
      <c r="CY20" s="264" t="str">
        <f t="shared" si="13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82"/>
        <v>0</v>
      </c>
      <c r="DN20" s="295" t="str">
        <f t="shared" si="83"/>
        <v/>
      </c>
      <c r="DO20" s="392" t="str">
        <f t="shared" si="84"/>
        <v/>
      </c>
      <c r="DP20" s="392" t="str">
        <f t="shared" si="85"/>
        <v/>
      </c>
      <c r="DQ20" s="456" t="str">
        <f t="shared" si="86"/>
        <v/>
      </c>
      <c r="DR20" s="456" t="str">
        <f t="shared" si="87"/>
        <v/>
      </c>
    </row>
    <row r="21" spans="1:122" x14ac:dyDescent="0.25">
      <c r="A21" s="599" t="str">
        <f t="shared" si="88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50"/>
        <v/>
      </c>
      <c r="J21" s="312"/>
      <c r="K21" s="268"/>
      <c r="L21" s="277"/>
      <c r="M21" s="279"/>
      <c r="N21" s="280"/>
      <c r="O21" s="280"/>
      <c r="P21" s="455"/>
      <c r="Q21" s="281" t="str">
        <f t="shared" si="51"/>
        <v/>
      </c>
      <c r="R21" s="282">
        <f t="shared" si="52"/>
        <v>0</v>
      </c>
      <c r="S21" s="268"/>
      <c r="T21" s="283">
        <f t="shared" si="48"/>
        <v>0</v>
      </c>
      <c r="U21" s="284">
        <f>IF(M21=0,0,IF(G21="Annulation","",IF(assurance="ALPTIS",M21*12*T21/100*'Complet Data'!$K$4,IF(assurance="APRIL",M21*12*T21/100*'Complet Data'!$F$4,IF(assurance="ASAF",M21*12*T21/100*'Complet Data'!$I$4,IF(assurance="NEOLIANE",('Complet Data'!$G$5+M21*12*'Complet Data'!$G$4)*T21/100,IF(assurance="NEOLIANE Prev",('Complet Data'!$H$5+M21*12*'Complet Data'!$H$4)*T21/100,IF(assurance="SWISSLIFE",M21*12*T21/100*'Complet Data'!$J$4,IF(assurance="AVIVA",M21*12*T21/100*'Complet Data'!$L$4,IF(assurance="CIPRES",M21*12*T21/100*'Complet Data'!$M$4,IF(assurance="CEGEMA",M21*12*T21/100*'Complet Data'!$N$4,IF(assurance=0,0))))))))))))</f>
        <v>0</v>
      </c>
      <c r="V21" s="298" t="str">
        <f t="shared" si="53"/>
        <v/>
      </c>
      <c r="W21" s="298" t="str">
        <f t="shared" si="54"/>
        <v/>
      </c>
      <c r="X21" s="299">
        <f t="shared" si="55"/>
        <v>0</v>
      </c>
      <c r="Y21" s="368">
        <f t="shared" si="56"/>
        <v>0</v>
      </c>
      <c r="Z21" s="314"/>
      <c r="AA21" s="313" t="str">
        <f t="shared" si="57"/>
        <v/>
      </c>
      <c r="AB21" s="268" t="s">
        <v>13</v>
      </c>
      <c r="AC21" s="277"/>
      <c r="AD21" s="309" t="str">
        <f t="shared" si="49"/>
        <v/>
      </c>
      <c r="AE21" s="286" t="str">
        <f t="shared" si="47"/>
        <v/>
      </c>
      <c r="AF21" s="277"/>
      <c r="AG21" s="275" t="str">
        <f t="shared" si="58"/>
        <v/>
      </c>
      <c r="AH21" s="287" t="str">
        <f t="shared" ca="1" si="59"/>
        <v/>
      </c>
      <c r="AI21" s="373" t="str">
        <f t="shared" ca="1" si="60"/>
        <v/>
      </c>
      <c r="AJ21" s="296" t="str">
        <f t="shared" si="61"/>
        <v/>
      </c>
      <c r="AK21" s="296" t="str">
        <f t="shared" si="62"/>
        <v/>
      </c>
      <c r="AL21" s="287" t="str">
        <f t="shared" si="63"/>
        <v/>
      </c>
      <c r="AM21" s="279">
        <f t="shared" si="64"/>
        <v>0</v>
      </c>
      <c r="AN21" s="279">
        <f t="shared" si="31"/>
        <v>0</v>
      </c>
      <c r="AO21" s="288">
        <f t="shared" si="65"/>
        <v>0</v>
      </c>
      <c r="AP21" s="279">
        <f t="shared" si="33"/>
        <v>0</v>
      </c>
      <c r="AQ21" s="288">
        <f t="shared" si="66"/>
        <v>0</v>
      </c>
      <c r="AR21" s="289">
        <f t="shared" si="67"/>
        <v>0</v>
      </c>
      <c r="AS21" s="279">
        <f t="shared" si="36"/>
        <v>0</v>
      </c>
      <c r="AT21" s="288">
        <f t="shared" si="68"/>
        <v>0</v>
      </c>
      <c r="AU21" s="289">
        <f t="shared" si="69"/>
        <v>0</v>
      </c>
      <c r="AV21" s="279">
        <f t="shared" si="70"/>
        <v>0</v>
      </c>
      <c r="AW21" s="288">
        <f t="shared" si="71"/>
        <v>0</v>
      </c>
      <c r="AX21" s="289">
        <f t="shared" si="72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73"/>
        <v/>
      </c>
      <c r="BM21" s="270"/>
      <c r="BN21" s="271"/>
      <c r="BO21" s="272" t="str">
        <f t="shared" ca="1" si="74"/>
        <v/>
      </c>
      <c r="BP21" s="270"/>
      <c r="BQ21" s="271"/>
      <c r="BR21" s="272" t="str">
        <f t="shared" ca="1" si="75"/>
        <v/>
      </c>
      <c r="BS21" s="270"/>
      <c r="BT21" s="271"/>
      <c r="BU21" s="272" t="str">
        <f t="shared" ca="1" si="76"/>
        <v/>
      </c>
      <c r="BV21" s="270"/>
      <c r="BW21" s="271"/>
      <c r="BX21" s="272" t="str">
        <f t="shared" ca="1" si="77"/>
        <v/>
      </c>
      <c r="BY21" s="270"/>
      <c r="BZ21" s="271"/>
      <c r="CA21" s="272" t="str">
        <f t="shared" ca="1" si="78"/>
        <v/>
      </c>
      <c r="CB21" s="270"/>
      <c r="CC21" s="271"/>
      <c r="CD21" s="272" t="str">
        <f t="shared" ca="1" si="79"/>
        <v/>
      </c>
      <c r="CE21" s="270"/>
      <c r="CF21" s="271"/>
      <c r="CG21" s="272" t="str">
        <f t="shared" ca="1" si="80"/>
        <v/>
      </c>
      <c r="CH21" s="270"/>
      <c r="CI21" s="271"/>
      <c r="CJ21" s="272" t="str">
        <f t="shared" ca="1" si="81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12"/>
        <v/>
      </c>
      <c r="CU21" s="264"/>
      <c r="CV21" s="265"/>
      <c r="CW21" s="264"/>
      <c r="CX21" s="264"/>
      <c r="CY21" s="264" t="str">
        <f t="shared" si="13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82"/>
        <v>0</v>
      </c>
      <c r="DN21" s="295" t="str">
        <f t="shared" si="83"/>
        <v/>
      </c>
      <c r="DO21" s="392" t="str">
        <f t="shared" si="84"/>
        <v/>
      </c>
      <c r="DP21" s="392" t="str">
        <f t="shared" si="85"/>
        <v/>
      </c>
      <c r="DQ21" s="456" t="str">
        <f t="shared" si="86"/>
        <v/>
      </c>
      <c r="DR21" s="456" t="str">
        <f t="shared" si="87"/>
        <v/>
      </c>
    </row>
    <row r="22" spans="1:122" x14ac:dyDescent="0.25">
      <c r="A22" s="599" t="str">
        <f t="shared" si="88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50"/>
        <v/>
      </c>
      <c r="J22" s="312"/>
      <c r="K22" s="268"/>
      <c r="L22" s="277"/>
      <c r="M22" s="279"/>
      <c r="N22" s="280"/>
      <c r="O22" s="280"/>
      <c r="P22" s="455"/>
      <c r="Q22" s="281" t="str">
        <f t="shared" si="51"/>
        <v/>
      </c>
      <c r="R22" s="282">
        <f t="shared" si="52"/>
        <v>0</v>
      </c>
      <c r="S22" s="268"/>
      <c r="T22" s="283">
        <f t="shared" si="48"/>
        <v>0</v>
      </c>
      <c r="U22" s="284">
        <f>IF(M22=0,0,IF(G22="Annulation","",IF(assurance="ALPTIS",M22*12*T22/100*'Complet Data'!$K$4,IF(assurance="APRIL",M22*12*T22/100*'Complet Data'!$F$4,IF(assurance="ASAF",M22*12*T22/100*'Complet Data'!$I$4,IF(assurance="NEOLIANE",('Complet Data'!$G$5+M22*12*'Complet Data'!$G$4)*T22/100,IF(assurance="NEOLIANE Prev",('Complet Data'!$H$5+M22*12*'Complet Data'!$H$4)*T22/100,IF(assurance="SWISSLIFE",M22*12*T22/100*'Complet Data'!$J$4,IF(assurance="AVIVA",M22*12*T22/100*'Complet Data'!$L$4,IF(assurance="CIPRES",M22*12*T22/100*'Complet Data'!$M$4,IF(assurance="CEGEMA",M22*12*T22/100*'Complet Data'!$N$4,IF(assurance=0,0))))))))))))</f>
        <v>0</v>
      </c>
      <c r="V22" s="298" t="str">
        <f t="shared" si="53"/>
        <v/>
      </c>
      <c r="W22" s="298" t="str">
        <f t="shared" si="54"/>
        <v/>
      </c>
      <c r="X22" s="299">
        <f t="shared" si="55"/>
        <v>0</v>
      </c>
      <c r="Y22" s="368">
        <f t="shared" si="56"/>
        <v>0</v>
      </c>
      <c r="Z22" s="314"/>
      <c r="AA22" s="313" t="str">
        <f t="shared" si="57"/>
        <v/>
      </c>
      <c r="AB22" s="268" t="s">
        <v>13</v>
      </c>
      <c r="AC22" s="277"/>
      <c r="AD22" s="309" t="str">
        <f t="shared" si="49"/>
        <v/>
      </c>
      <c r="AE22" s="286" t="str">
        <f t="shared" si="47"/>
        <v/>
      </c>
      <c r="AF22" s="277"/>
      <c r="AG22" s="275" t="str">
        <f t="shared" si="58"/>
        <v/>
      </c>
      <c r="AH22" s="287" t="str">
        <f t="shared" ca="1" si="59"/>
        <v/>
      </c>
      <c r="AI22" s="373" t="str">
        <f t="shared" ca="1" si="60"/>
        <v/>
      </c>
      <c r="AJ22" s="296" t="str">
        <f t="shared" si="61"/>
        <v/>
      </c>
      <c r="AK22" s="296" t="str">
        <f t="shared" si="62"/>
        <v/>
      </c>
      <c r="AL22" s="287" t="str">
        <f t="shared" si="63"/>
        <v/>
      </c>
      <c r="AM22" s="279">
        <f t="shared" si="64"/>
        <v>0</v>
      </c>
      <c r="AN22" s="279">
        <f t="shared" si="31"/>
        <v>0</v>
      </c>
      <c r="AO22" s="288">
        <f t="shared" si="65"/>
        <v>0</v>
      </c>
      <c r="AP22" s="279">
        <f t="shared" si="33"/>
        <v>0</v>
      </c>
      <c r="AQ22" s="288">
        <f t="shared" si="66"/>
        <v>0</v>
      </c>
      <c r="AR22" s="289">
        <f t="shared" si="67"/>
        <v>0</v>
      </c>
      <c r="AS22" s="279">
        <f t="shared" si="36"/>
        <v>0</v>
      </c>
      <c r="AT22" s="288">
        <f t="shared" si="68"/>
        <v>0</v>
      </c>
      <c r="AU22" s="289">
        <f t="shared" si="69"/>
        <v>0</v>
      </c>
      <c r="AV22" s="279">
        <f t="shared" si="70"/>
        <v>0</v>
      </c>
      <c r="AW22" s="288">
        <f t="shared" si="71"/>
        <v>0</v>
      </c>
      <c r="AX22" s="289">
        <f t="shared" si="72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73"/>
        <v/>
      </c>
      <c r="BM22" s="270"/>
      <c r="BN22" s="271"/>
      <c r="BO22" s="272" t="str">
        <f t="shared" ca="1" si="74"/>
        <v/>
      </c>
      <c r="BP22" s="270"/>
      <c r="BQ22" s="271"/>
      <c r="BR22" s="272" t="str">
        <f t="shared" ca="1" si="75"/>
        <v/>
      </c>
      <c r="BS22" s="270"/>
      <c r="BT22" s="271"/>
      <c r="BU22" s="272" t="str">
        <f t="shared" ca="1" si="76"/>
        <v/>
      </c>
      <c r="BV22" s="270"/>
      <c r="BW22" s="271"/>
      <c r="BX22" s="272" t="str">
        <f t="shared" ca="1" si="77"/>
        <v/>
      </c>
      <c r="BY22" s="270"/>
      <c r="BZ22" s="271"/>
      <c r="CA22" s="272" t="str">
        <f t="shared" ca="1" si="78"/>
        <v/>
      </c>
      <c r="CB22" s="270"/>
      <c r="CC22" s="271"/>
      <c r="CD22" s="272" t="str">
        <f t="shared" ca="1" si="79"/>
        <v/>
      </c>
      <c r="CE22" s="270"/>
      <c r="CF22" s="271"/>
      <c r="CG22" s="272" t="str">
        <f t="shared" ca="1" si="80"/>
        <v/>
      </c>
      <c r="CH22" s="270"/>
      <c r="CI22" s="271"/>
      <c r="CJ22" s="272" t="str">
        <f t="shared" ca="1" si="81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12"/>
        <v/>
      </c>
      <c r="CU22" s="264"/>
      <c r="CV22" s="265"/>
      <c r="CW22" s="264"/>
      <c r="CX22" s="264"/>
      <c r="CY22" s="264" t="str">
        <f t="shared" si="13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82"/>
        <v>0</v>
      </c>
      <c r="DN22" s="295" t="str">
        <f t="shared" si="83"/>
        <v/>
      </c>
      <c r="DO22" s="392" t="str">
        <f t="shared" si="84"/>
        <v/>
      </c>
      <c r="DP22" s="392" t="str">
        <f t="shared" si="85"/>
        <v/>
      </c>
      <c r="DQ22" s="456" t="str">
        <f t="shared" si="86"/>
        <v/>
      </c>
      <c r="DR22" s="456" t="str">
        <f t="shared" si="87"/>
        <v/>
      </c>
    </row>
    <row r="23" spans="1:122" x14ac:dyDescent="0.25">
      <c r="A23" s="599" t="str">
        <f t="shared" si="88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50"/>
        <v/>
      </c>
      <c r="J23" s="312"/>
      <c r="K23" s="268"/>
      <c r="L23" s="277"/>
      <c r="M23" s="279"/>
      <c r="N23" s="280"/>
      <c r="O23" s="280"/>
      <c r="P23" s="455"/>
      <c r="Q23" s="281" t="str">
        <f t="shared" si="51"/>
        <v/>
      </c>
      <c r="R23" s="282">
        <f t="shared" si="52"/>
        <v>0</v>
      </c>
      <c r="S23" s="268"/>
      <c r="T23" s="283">
        <f t="shared" si="48"/>
        <v>0</v>
      </c>
      <c r="U23" s="284">
        <f>IF(M23=0,0,IF(G23="Annulation","",IF(assurance="ALPTIS",M23*12*T23/100*'Complet Data'!$K$4,IF(assurance="APRIL",M23*12*T23/100*'Complet Data'!$F$4,IF(assurance="ASAF",M23*12*T23/100*'Complet Data'!$I$4,IF(assurance="NEOLIANE",('Complet Data'!$G$5+M23*12*'Complet Data'!$G$4)*T23/100,IF(assurance="NEOLIANE Prev",('Complet Data'!$H$5+M23*12*'Complet Data'!$H$4)*T23/100,IF(assurance="SWISSLIFE",M23*12*T23/100*'Complet Data'!$J$4,IF(assurance="AVIVA",M23*12*T23/100*'Complet Data'!$L$4,IF(assurance="CIPRES",M23*12*T23/100*'Complet Data'!$M$4,IF(assurance="CEGEMA",M23*12*T23/100*'Complet Data'!$N$4,IF(assurance=0,0))))))))))))</f>
        <v>0</v>
      </c>
      <c r="V23" s="298" t="str">
        <f t="shared" si="53"/>
        <v/>
      </c>
      <c r="W23" s="298" t="str">
        <f t="shared" si="54"/>
        <v/>
      </c>
      <c r="X23" s="299">
        <f t="shared" si="55"/>
        <v>0</v>
      </c>
      <c r="Y23" s="368">
        <f t="shared" si="56"/>
        <v>0</v>
      </c>
      <c r="Z23" s="314"/>
      <c r="AA23" s="313" t="str">
        <f t="shared" si="57"/>
        <v/>
      </c>
      <c r="AB23" s="268" t="s">
        <v>13</v>
      </c>
      <c r="AC23" s="277"/>
      <c r="AD23" s="309" t="str">
        <f t="shared" si="49"/>
        <v/>
      </c>
      <c r="AE23" s="286" t="str">
        <f t="shared" si="47"/>
        <v/>
      </c>
      <c r="AF23" s="277"/>
      <c r="AG23" s="275" t="str">
        <f t="shared" si="58"/>
        <v/>
      </c>
      <c r="AH23" s="287" t="str">
        <f t="shared" ca="1" si="59"/>
        <v/>
      </c>
      <c r="AI23" s="373" t="str">
        <f t="shared" ca="1" si="60"/>
        <v/>
      </c>
      <c r="AJ23" s="296" t="str">
        <f t="shared" si="61"/>
        <v/>
      </c>
      <c r="AK23" s="296" t="str">
        <f t="shared" si="62"/>
        <v/>
      </c>
      <c r="AL23" s="287" t="str">
        <f t="shared" si="63"/>
        <v/>
      </c>
      <c r="AM23" s="279">
        <f t="shared" si="64"/>
        <v>0</v>
      </c>
      <c r="AN23" s="279">
        <f t="shared" si="31"/>
        <v>0</v>
      </c>
      <c r="AO23" s="288">
        <f t="shared" si="65"/>
        <v>0</v>
      </c>
      <c r="AP23" s="279">
        <f t="shared" si="33"/>
        <v>0</v>
      </c>
      <c r="AQ23" s="288">
        <f t="shared" si="66"/>
        <v>0</v>
      </c>
      <c r="AR23" s="289">
        <f t="shared" si="67"/>
        <v>0</v>
      </c>
      <c r="AS23" s="279">
        <f t="shared" si="36"/>
        <v>0</v>
      </c>
      <c r="AT23" s="288">
        <f t="shared" si="68"/>
        <v>0</v>
      </c>
      <c r="AU23" s="289">
        <f t="shared" si="69"/>
        <v>0</v>
      </c>
      <c r="AV23" s="279">
        <f t="shared" si="70"/>
        <v>0</v>
      </c>
      <c r="AW23" s="288">
        <f t="shared" si="71"/>
        <v>0</v>
      </c>
      <c r="AX23" s="289">
        <f t="shared" si="72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73"/>
        <v/>
      </c>
      <c r="BM23" s="270"/>
      <c r="BN23" s="271"/>
      <c r="BO23" s="272" t="str">
        <f t="shared" ca="1" si="74"/>
        <v/>
      </c>
      <c r="BP23" s="270"/>
      <c r="BQ23" s="271"/>
      <c r="BR23" s="272" t="str">
        <f t="shared" ca="1" si="75"/>
        <v/>
      </c>
      <c r="BS23" s="270"/>
      <c r="BT23" s="271"/>
      <c r="BU23" s="272" t="str">
        <f t="shared" ca="1" si="76"/>
        <v/>
      </c>
      <c r="BV23" s="270"/>
      <c r="BW23" s="271"/>
      <c r="BX23" s="272" t="str">
        <f t="shared" ca="1" si="77"/>
        <v/>
      </c>
      <c r="BY23" s="270"/>
      <c r="BZ23" s="271"/>
      <c r="CA23" s="272" t="str">
        <f t="shared" ca="1" si="78"/>
        <v/>
      </c>
      <c r="CB23" s="270"/>
      <c r="CC23" s="271"/>
      <c r="CD23" s="272" t="str">
        <f t="shared" ca="1" si="79"/>
        <v/>
      </c>
      <c r="CE23" s="270"/>
      <c r="CF23" s="271"/>
      <c r="CG23" s="272" t="str">
        <f t="shared" ca="1" si="80"/>
        <v/>
      </c>
      <c r="CH23" s="270"/>
      <c r="CI23" s="271"/>
      <c r="CJ23" s="272" t="str">
        <f t="shared" ca="1" si="81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12"/>
        <v/>
      </c>
      <c r="CU23" s="264"/>
      <c r="CV23" s="265"/>
      <c r="CW23" s="264"/>
      <c r="CX23" s="264"/>
      <c r="CY23" s="264" t="str">
        <f t="shared" si="13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82"/>
        <v>0</v>
      </c>
      <c r="DN23" s="295" t="str">
        <f t="shared" si="83"/>
        <v/>
      </c>
      <c r="DO23" s="392" t="str">
        <f t="shared" si="84"/>
        <v/>
      </c>
      <c r="DP23" s="392" t="str">
        <f t="shared" si="85"/>
        <v/>
      </c>
      <c r="DQ23" s="456" t="str">
        <f t="shared" si="86"/>
        <v/>
      </c>
      <c r="DR23" s="456" t="str">
        <f t="shared" si="87"/>
        <v/>
      </c>
    </row>
    <row r="24" spans="1:122" x14ac:dyDescent="0.25">
      <c r="A24" s="599" t="str">
        <f t="shared" si="88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50"/>
        <v/>
      </c>
      <c r="J24" s="312"/>
      <c r="K24" s="268"/>
      <c r="L24" s="277"/>
      <c r="M24" s="279"/>
      <c r="N24" s="280"/>
      <c r="O24" s="280"/>
      <c r="P24" s="455"/>
      <c r="Q24" s="281" t="str">
        <f t="shared" si="51"/>
        <v/>
      </c>
      <c r="R24" s="282">
        <f t="shared" si="52"/>
        <v>0</v>
      </c>
      <c r="S24" s="268"/>
      <c r="T24" s="283">
        <f t="shared" si="48"/>
        <v>0</v>
      </c>
      <c r="U24" s="284">
        <f>IF(M24=0,0,IF(G24="Annulation","",IF(assurance="ALPTIS",M24*12*T24/100*'Complet Data'!$K$4,IF(assurance="APRIL",M24*12*T24/100*'Complet Data'!$F$4,IF(assurance="ASAF",M24*12*T24/100*'Complet Data'!$I$4,IF(assurance="NEOLIANE",('Complet Data'!$G$5+M24*12*'Complet Data'!$G$4)*T24/100,IF(assurance="NEOLIANE Prev",('Complet Data'!$H$5+M24*12*'Complet Data'!$H$4)*T24/100,IF(assurance="SWISSLIFE",M24*12*T24/100*'Complet Data'!$J$4,IF(assurance="AVIVA",M24*12*T24/100*'Complet Data'!$L$4,IF(assurance="CIPRES",M24*12*T24/100*'Complet Data'!$M$4,IF(assurance="CEGEMA",M24*12*T24/100*'Complet Data'!$N$4,IF(assurance=0,0))))))))))))</f>
        <v>0</v>
      </c>
      <c r="V24" s="298" t="str">
        <f t="shared" si="53"/>
        <v/>
      </c>
      <c r="W24" s="298" t="str">
        <f t="shared" si="54"/>
        <v/>
      </c>
      <c r="X24" s="299">
        <f t="shared" si="55"/>
        <v>0</v>
      </c>
      <c r="Y24" s="368">
        <f t="shared" si="56"/>
        <v>0</v>
      </c>
      <c r="Z24" s="314"/>
      <c r="AA24" s="313" t="str">
        <f t="shared" si="57"/>
        <v/>
      </c>
      <c r="AB24" s="268" t="s">
        <v>13</v>
      </c>
      <c r="AC24" s="277"/>
      <c r="AD24" s="309" t="str">
        <f t="shared" si="49"/>
        <v/>
      </c>
      <c r="AE24" s="286" t="str">
        <f t="shared" si="47"/>
        <v/>
      </c>
      <c r="AF24" s="277"/>
      <c r="AG24" s="275" t="str">
        <f t="shared" si="58"/>
        <v/>
      </c>
      <c r="AH24" s="287" t="str">
        <f t="shared" ca="1" si="59"/>
        <v/>
      </c>
      <c r="AI24" s="373" t="str">
        <f t="shared" ca="1" si="60"/>
        <v/>
      </c>
      <c r="AJ24" s="296" t="str">
        <f t="shared" si="61"/>
        <v/>
      </c>
      <c r="AK24" s="296" t="str">
        <f t="shared" si="62"/>
        <v/>
      </c>
      <c r="AL24" s="287" t="str">
        <f t="shared" si="63"/>
        <v/>
      </c>
      <c r="AM24" s="279">
        <f t="shared" si="64"/>
        <v>0</v>
      </c>
      <c r="AN24" s="279">
        <f t="shared" si="31"/>
        <v>0</v>
      </c>
      <c r="AO24" s="288">
        <f t="shared" si="65"/>
        <v>0</v>
      </c>
      <c r="AP24" s="279">
        <f t="shared" si="33"/>
        <v>0</v>
      </c>
      <c r="AQ24" s="288">
        <f t="shared" si="66"/>
        <v>0</v>
      </c>
      <c r="AR24" s="289">
        <f t="shared" si="67"/>
        <v>0</v>
      </c>
      <c r="AS24" s="279">
        <f t="shared" si="36"/>
        <v>0</v>
      </c>
      <c r="AT24" s="288">
        <f t="shared" si="68"/>
        <v>0</v>
      </c>
      <c r="AU24" s="289">
        <f t="shared" si="69"/>
        <v>0</v>
      </c>
      <c r="AV24" s="279">
        <f t="shared" si="70"/>
        <v>0</v>
      </c>
      <c r="AW24" s="288">
        <f t="shared" si="71"/>
        <v>0</v>
      </c>
      <c r="AX24" s="289">
        <f t="shared" si="72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73"/>
        <v/>
      </c>
      <c r="BM24" s="270"/>
      <c r="BN24" s="271"/>
      <c r="BO24" s="272" t="str">
        <f t="shared" ca="1" si="74"/>
        <v/>
      </c>
      <c r="BP24" s="270"/>
      <c r="BQ24" s="271"/>
      <c r="BR24" s="272" t="str">
        <f t="shared" ca="1" si="75"/>
        <v/>
      </c>
      <c r="BS24" s="270"/>
      <c r="BT24" s="271"/>
      <c r="BU24" s="272" t="str">
        <f t="shared" ca="1" si="76"/>
        <v/>
      </c>
      <c r="BV24" s="270"/>
      <c r="BW24" s="271"/>
      <c r="BX24" s="272" t="str">
        <f t="shared" ca="1" si="77"/>
        <v/>
      </c>
      <c r="BY24" s="270"/>
      <c r="BZ24" s="271"/>
      <c r="CA24" s="272" t="str">
        <f t="shared" ca="1" si="78"/>
        <v/>
      </c>
      <c r="CB24" s="270"/>
      <c r="CC24" s="271"/>
      <c r="CD24" s="272" t="str">
        <f t="shared" ca="1" si="79"/>
        <v/>
      </c>
      <c r="CE24" s="270"/>
      <c r="CF24" s="271"/>
      <c r="CG24" s="272" t="str">
        <f t="shared" ca="1" si="80"/>
        <v/>
      </c>
      <c r="CH24" s="270"/>
      <c r="CI24" s="271"/>
      <c r="CJ24" s="272" t="str">
        <f t="shared" ca="1" si="81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12"/>
        <v/>
      </c>
      <c r="CU24" s="264"/>
      <c r="CV24" s="265"/>
      <c r="CW24" s="264"/>
      <c r="CX24" s="264"/>
      <c r="CY24" s="264" t="str">
        <f t="shared" si="13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82"/>
        <v>0</v>
      </c>
      <c r="DN24" s="295" t="str">
        <f t="shared" si="83"/>
        <v/>
      </c>
      <c r="DO24" s="392" t="str">
        <f t="shared" si="84"/>
        <v/>
      </c>
      <c r="DP24" s="392" t="str">
        <f t="shared" si="85"/>
        <v/>
      </c>
      <c r="DQ24" s="456" t="str">
        <f t="shared" si="86"/>
        <v/>
      </c>
      <c r="DR24" s="456" t="str">
        <f t="shared" si="87"/>
        <v/>
      </c>
    </row>
    <row r="25" spans="1:122" x14ac:dyDescent="0.25">
      <c r="A25" s="599" t="str">
        <f t="shared" si="88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50"/>
        <v/>
      </c>
      <c r="J25" s="312"/>
      <c r="K25" s="268"/>
      <c r="L25" s="277"/>
      <c r="M25" s="279"/>
      <c r="N25" s="280"/>
      <c r="O25" s="280"/>
      <c r="P25" s="455"/>
      <c r="Q25" s="281" t="str">
        <f t="shared" si="51"/>
        <v/>
      </c>
      <c r="R25" s="282">
        <f t="shared" si="52"/>
        <v>0</v>
      </c>
      <c r="S25" s="268"/>
      <c r="T25" s="283">
        <f t="shared" si="48"/>
        <v>0</v>
      </c>
      <c r="U25" s="284">
        <f>IF(M25=0,0,IF(G25="Annulation","",IF(assurance="ALPTIS",M25*12*T25/100*'Complet Data'!$K$4,IF(assurance="APRIL",M25*12*T25/100*'Complet Data'!$F$4,IF(assurance="ASAF",M25*12*T25/100*'Complet Data'!$I$4,IF(assurance="NEOLIANE",('Complet Data'!$G$5+M25*12*'Complet Data'!$G$4)*T25/100,IF(assurance="NEOLIANE Prev",('Complet Data'!$H$5+M25*12*'Complet Data'!$H$4)*T25/100,IF(assurance="SWISSLIFE",M25*12*T25/100*'Complet Data'!$J$4,IF(assurance="AVIVA",M25*12*T25/100*'Complet Data'!$L$4,IF(assurance="CIPRES",M25*12*T25/100*'Complet Data'!$M$4,IF(assurance="CEGEMA",M25*12*T25/100*'Complet Data'!$N$4,IF(assurance=0,0))))))))))))</f>
        <v>0</v>
      </c>
      <c r="V25" s="298" t="str">
        <f t="shared" si="53"/>
        <v/>
      </c>
      <c r="W25" s="298" t="str">
        <f t="shared" si="54"/>
        <v/>
      </c>
      <c r="X25" s="299">
        <f t="shared" si="55"/>
        <v>0</v>
      </c>
      <c r="Y25" s="368">
        <f t="shared" si="56"/>
        <v>0</v>
      </c>
      <c r="Z25" s="314"/>
      <c r="AA25" s="313" t="str">
        <f t="shared" si="57"/>
        <v/>
      </c>
      <c r="AB25" s="268" t="s">
        <v>13</v>
      </c>
      <c r="AC25" s="277"/>
      <c r="AD25" s="309" t="str">
        <f t="shared" si="49"/>
        <v/>
      </c>
      <c r="AE25" s="286" t="str">
        <f t="shared" si="47"/>
        <v/>
      </c>
      <c r="AF25" s="277"/>
      <c r="AG25" s="275" t="str">
        <f t="shared" si="58"/>
        <v/>
      </c>
      <c r="AH25" s="287" t="str">
        <f t="shared" ca="1" si="59"/>
        <v/>
      </c>
      <c r="AI25" s="373" t="str">
        <f t="shared" ca="1" si="60"/>
        <v/>
      </c>
      <c r="AJ25" s="296" t="str">
        <f t="shared" si="61"/>
        <v/>
      </c>
      <c r="AK25" s="296" t="str">
        <f t="shared" si="62"/>
        <v/>
      </c>
      <c r="AL25" s="287" t="str">
        <f t="shared" si="63"/>
        <v/>
      </c>
      <c r="AM25" s="279">
        <f t="shared" si="64"/>
        <v>0</v>
      </c>
      <c r="AN25" s="279">
        <f t="shared" si="31"/>
        <v>0</v>
      </c>
      <c r="AO25" s="288">
        <f t="shared" si="65"/>
        <v>0</v>
      </c>
      <c r="AP25" s="279">
        <f t="shared" si="33"/>
        <v>0</v>
      </c>
      <c r="AQ25" s="288">
        <f t="shared" si="66"/>
        <v>0</v>
      </c>
      <c r="AR25" s="289">
        <f t="shared" si="67"/>
        <v>0</v>
      </c>
      <c r="AS25" s="279">
        <f t="shared" si="36"/>
        <v>0</v>
      </c>
      <c r="AT25" s="288">
        <f t="shared" si="68"/>
        <v>0</v>
      </c>
      <c r="AU25" s="289">
        <f t="shared" si="69"/>
        <v>0</v>
      </c>
      <c r="AV25" s="279">
        <f t="shared" si="70"/>
        <v>0</v>
      </c>
      <c r="AW25" s="288">
        <f t="shared" si="71"/>
        <v>0</v>
      </c>
      <c r="AX25" s="289">
        <f t="shared" si="72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73"/>
        <v/>
      </c>
      <c r="BM25" s="270"/>
      <c r="BN25" s="271"/>
      <c r="BO25" s="272" t="str">
        <f t="shared" ca="1" si="74"/>
        <v/>
      </c>
      <c r="BP25" s="270"/>
      <c r="BQ25" s="271"/>
      <c r="BR25" s="272" t="str">
        <f t="shared" ca="1" si="75"/>
        <v/>
      </c>
      <c r="BS25" s="270"/>
      <c r="BT25" s="271"/>
      <c r="BU25" s="272" t="str">
        <f t="shared" ca="1" si="76"/>
        <v/>
      </c>
      <c r="BV25" s="270"/>
      <c r="BW25" s="271"/>
      <c r="BX25" s="272" t="str">
        <f t="shared" ca="1" si="77"/>
        <v/>
      </c>
      <c r="BY25" s="270"/>
      <c r="BZ25" s="271"/>
      <c r="CA25" s="272" t="str">
        <f t="shared" ca="1" si="78"/>
        <v/>
      </c>
      <c r="CB25" s="270"/>
      <c r="CC25" s="271"/>
      <c r="CD25" s="272" t="str">
        <f t="shared" ca="1" si="79"/>
        <v/>
      </c>
      <c r="CE25" s="270"/>
      <c r="CF25" s="271"/>
      <c r="CG25" s="272" t="str">
        <f t="shared" ca="1" si="80"/>
        <v/>
      </c>
      <c r="CH25" s="270"/>
      <c r="CI25" s="271"/>
      <c r="CJ25" s="272" t="str">
        <f t="shared" ca="1" si="81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12"/>
        <v/>
      </c>
      <c r="CU25" s="264"/>
      <c r="CV25" s="265"/>
      <c r="CW25" s="264"/>
      <c r="CX25" s="264"/>
      <c r="CY25" s="264" t="str">
        <f t="shared" si="13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82"/>
        <v>0</v>
      </c>
      <c r="DN25" s="295" t="str">
        <f t="shared" si="83"/>
        <v/>
      </c>
      <c r="DO25" s="392" t="str">
        <f t="shared" si="84"/>
        <v/>
      </c>
      <c r="DP25" s="392" t="str">
        <f t="shared" si="85"/>
        <v/>
      </c>
      <c r="DQ25" s="456" t="str">
        <f t="shared" si="86"/>
        <v/>
      </c>
      <c r="DR25" s="456" t="str">
        <f t="shared" si="87"/>
        <v/>
      </c>
    </row>
    <row r="26" spans="1:122" x14ac:dyDescent="0.25">
      <c r="A26" s="599" t="str">
        <f t="shared" si="88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50"/>
        <v/>
      </c>
      <c r="J26" s="312"/>
      <c r="K26" s="268"/>
      <c r="L26" s="277"/>
      <c r="M26" s="279"/>
      <c r="N26" s="280"/>
      <c r="O26" s="280"/>
      <c r="P26" s="455"/>
      <c r="Q26" s="281" t="str">
        <f t="shared" si="51"/>
        <v/>
      </c>
      <c r="R26" s="282">
        <f t="shared" si="52"/>
        <v>0</v>
      </c>
      <c r="S26" s="268"/>
      <c r="T26" s="283">
        <f t="shared" si="48"/>
        <v>0</v>
      </c>
      <c r="U26" s="284">
        <f>IF(M26=0,0,IF(G26="Annulation","",IF(assurance="ALPTIS",M26*12*T26/100*'Complet Data'!$K$4,IF(assurance="APRIL",M26*12*T26/100*'Complet Data'!$F$4,IF(assurance="ASAF",M26*12*T26/100*'Complet Data'!$I$4,IF(assurance="NEOLIANE",('Complet Data'!$G$5+M26*12*'Complet Data'!$G$4)*T26/100,IF(assurance="NEOLIANE Prev",('Complet Data'!$H$5+M26*12*'Complet Data'!$H$4)*T26/100,IF(assurance="SWISSLIFE",M26*12*T26/100*'Complet Data'!$J$4,IF(assurance="AVIVA",M26*12*T26/100*'Complet Data'!$L$4,IF(assurance="CIPRES",M26*12*T26/100*'Complet Data'!$M$4,IF(assurance="CEGEMA",M26*12*T26/100*'Complet Data'!$N$4,IF(assurance=0,0))))))))))))</f>
        <v>0</v>
      </c>
      <c r="V26" s="298" t="str">
        <f t="shared" si="53"/>
        <v/>
      </c>
      <c r="W26" s="298" t="str">
        <f t="shared" si="54"/>
        <v/>
      </c>
      <c r="X26" s="299">
        <f t="shared" si="55"/>
        <v>0</v>
      </c>
      <c r="Y26" s="368">
        <f t="shared" si="56"/>
        <v>0</v>
      </c>
      <c r="Z26" s="314"/>
      <c r="AA26" s="313" t="str">
        <f t="shared" si="57"/>
        <v/>
      </c>
      <c r="AB26" s="268" t="s">
        <v>13</v>
      </c>
      <c r="AC26" s="277"/>
      <c r="AD26" s="309" t="str">
        <f t="shared" si="49"/>
        <v/>
      </c>
      <c r="AE26" s="286" t="str">
        <f t="shared" si="47"/>
        <v/>
      </c>
      <c r="AF26" s="277"/>
      <c r="AG26" s="275" t="str">
        <f t="shared" si="58"/>
        <v/>
      </c>
      <c r="AH26" s="287" t="str">
        <f t="shared" ca="1" si="59"/>
        <v/>
      </c>
      <c r="AI26" s="373" t="str">
        <f t="shared" ca="1" si="60"/>
        <v/>
      </c>
      <c r="AJ26" s="296" t="str">
        <f t="shared" si="61"/>
        <v/>
      </c>
      <c r="AK26" s="296" t="str">
        <f t="shared" si="62"/>
        <v/>
      </c>
      <c r="AL26" s="287" t="str">
        <f t="shared" si="63"/>
        <v/>
      </c>
      <c r="AM26" s="279">
        <f t="shared" si="64"/>
        <v>0</v>
      </c>
      <c r="AN26" s="279">
        <f t="shared" si="31"/>
        <v>0</v>
      </c>
      <c r="AO26" s="288">
        <f t="shared" si="65"/>
        <v>0</v>
      </c>
      <c r="AP26" s="279">
        <f t="shared" si="33"/>
        <v>0</v>
      </c>
      <c r="AQ26" s="288">
        <f t="shared" si="66"/>
        <v>0</v>
      </c>
      <c r="AR26" s="289">
        <f t="shared" si="67"/>
        <v>0</v>
      </c>
      <c r="AS26" s="279">
        <f t="shared" si="36"/>
        <v>0</v>
      </c>
      <c r="AT26" s="288">
        <f t="shared" si="68"/>
        <v>0</v>
      </c>
      <c r="AU26" s="289">
        <f t="shared" si="69"/>
        <v>0</v>
      </c>
      <c r="AV26" s="279">
        <f t="shared" si="70"/>
        <v>0</v>
      </c>
      <c r="AW26" s="288">
        <f t="shared" si="71"/>
        <v>0</v>
      </c>
      <c r="AX26" s="289">
        <f t="shared" si="72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73"/>
        <v/>
      </c>
      <c r="BM26" s="270"/>
      <c r="BN26" s="271"/>
      <c r="BO26" s="272" t="str">
        <f t="shared" ca="1" si="74"/>
        <v/>
      </c>
      <c r="BP26" s="270"/>
      <c r="BQ26" s="271"/>
      <c r="BR26" s="272" t="str">
        <f t="shared" ca="1" si="75"/>
        <v/>
      </c>
      <c r="BS26" s="270"/>
      <c r="BT26" s="271"/>
      <c r="BU26" s="272" t="str">
        <f t="shared" ca="1" si="76"/>
        <v/>
      </c>
      <c r="BV26" s="270"/>
      <c r="BW26" s="271"/>
      <c r="BX26" s="272" t="str">
        <f t="shared" ca="1" si="77"/>
        <v/>
      </c>
      <c r="BY26" s="270"/>
      <c r="BZ26" s="271"/>
      <c r="CA26" s="272" t="str">
        <f t="shared" ca="1" si="78"/>
        <v/>
      </c>
      <c r="CB26" s="270"/>
      <c r="CC26" s="271"/>
      <c r="CD26" s="272" t="str">
        <f t="shared" ca="1" si="79"/>
        <v/>
      </c>
      <c r="CE26" s="270"/>
      <c r="CF26" s="271"/>
      <c r="CG26" s="272" t="str">
        <f t="shared" ca="1" si="80"/>
        <v/>
      </c>
      <c r="CH26" s="270"/>
      <c r="CI26" s="271"/>
      <c r="CJ26" s="272" t="str">
        <f t="shared" ca="1" si="81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12"/>
        <v/>
      </c>
      <c r="CU26" s="264"/>
      <c r="CV26" s="265"/>
      <c r="CW26" s="264"/>
      <c r="CX26" s="264"/>
      <c r="CY26" s="264" t="str">
        <f t="shared" si="13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82"/>
        <v>0</v>
      </c>
      <c r="DN26" s="295" t="str">
        <f t="shared" si="83"/>
        <v/>
      </c>
      <c r="DO26" s="392" t="str">
        <f t="shared" si="84"/>
        <v/>
      </c>
      <c r="DP26" s="392" t="str">
        <f t="shared" si="85"/>
        <v/>
      </c>
      <c r="DQ26" s="456" t="str">
        <f t="shared" si="86"/>
        <v/>
      </c>
      <c r="DR26" s="456" t="str">
        <f t="shared" si="87"/>
        <v/>
      </c>
    </row>
    <row r="27" spans="1:122" x14ac:dyDescent="0.25">
      <c r="A27" s="599" t="str">
        <f t="shared" si="88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50"/>
        <v/>
      </c>
      <c r="J27" s="312"/>
      <c r="K27" s="268"/>
      <c r="L27" s="277"/>
      <c r="M27" s="279"/>
      <c r="N27" s="280"/>
      <c r="O27" s="280"/>
      <c r="P27" s="455"/>
      <c r="Q27" s="281" t="str">
        <f t="shared" si="51"/>
        <v/>
      </c>
      <c r="R27" s="282">
        <f t="shared" si="52"/>
        <v>0</v>
      </c>
      <c r="S27" s="268"/>
      <c r="T27" s="283">
        <f t="shared" si="48"/>
        <v>0</v>
      </c>
      <c r="U27" s="284">
        <f>IF(M27=0,0,IF(G27="Annulation","",IF(assurance="ALPTIS",M27*12*T27/100*'Complet Data'!$K$4,IF(assurance="APRIL",M27*12*T27/100*'Complet Data'!$F$4,IF(assurance="ASAF",M27*12*T27/100*'Complet Data'!$I$4,IF(assurance="NEOLIANE",('Complet Data'!$G$5+M27*12*'Complet Data'!$G$4)*T27/100,IF(assurance="NEOLIANE Prev",('Complet Data'!$H$5+M27*12*'Complet Data'!$H$4)*T27/100,IF(assurance="SWISSLIFE",M27*12*T27/100*'Complet Data'!$J$4,IF(assurance="AVIVA",M27*12*T27/100*'Complet Data'!$L$4,IF(assurance="CIPRES",M27*12*T27/100*'Complet Data'!$M$4,IF(assurance="CEGEMA",M27*12*T27/100*'Complet Data'!$N$4,IF(assurance=0,0))))))))))))</f>
        <v>0</v>
      </c>
      <c r="V27" s="298" t="str">
        <f t="shared" si="53"/>
        <v/>
      </c>
      <c r="W27" s="298" t="str">
        <f t="shared" si="54"/>
        <v/>
      </c>
      <c r="X27" s="299">
        <f t="shared" si="55"/>
        <v>0</v>
      </c>
      <c r="Y27" s="368">
        <f t="shared" si="56"/>
        <v>0</v>
      </c>
      <c r="Z27" s="314"/>
      <c r="AA27" s="313" t="str">
        <f t="shared" si="57"/>
        <v/>
      </c>
      <c r="AB27" s="268" t="s">
        <v>13</v>
      </c>
      <c r="AC27" s="277"/>
      <c r="AD27" s="309" t="str">
        <f t="shared" si="49"/>
        <v/>
      </c>
      <c r="AE27" s="286" t="str">
        <f t="shared" si="47"/>
        <v/>
      </c>
      <c r="AF27" s="277"/>
      <c r="AG27" s="275" t="str">
        <f t="shared" si="58"/>
        <v/>
      </c>
      <c r="AH27" s="287" t="str">
        <f t="shared" ca="1" si="59"/>
        <v/>
      </c>
      <c r="AI27" s="373" t="str">
        <f t="shared" ca="1" si="60"/>
        <v/>
      </c>
      <c r="AJ27" s="296" t="str">
        <f t="shared" si="61"/>
        <v/>
      </c>
      <c r="AK27" s="296" t="str">
        <f t="shared" si="62"/>
        <v/>
      </c>
      <c r="AL27" s="287" t="str">
        <f t="shared" si="63"/>
        <v/>
      </c>
      <c r="AM27" s="279">
        <f t="shared" si="64"/>
        <v>0</v>
      </c>
      <c r="AN27" s="279">
        <f t="shared" si="31"/>
        <v>0</v>
      </c>
      <c r="AO27" s="288">
        <f t="shared" si="65"/>
        <v>0</v>
      </c>
      <c r="AP27" s="279">
        <f t="shared" si="33"/>
        <v>0</v>
      </c>
      <c r="AQ27" s="288">
        <f t="shared" si="66"/>
        <v>0</v>
      </c>
      <c r="AR27" s="289">
        <f t="shared" si="67"/>
        <v>0</v>
      </c>
      <c r="AS27" s="279">
        <f t="shared" si="36"/>
        <v>0</v>
      </c>
      <c r="AT27" s="288">
        <f t="shared" si="68"/>
        <v>0</v>
      </c>
      <c r="AU27" s="289">
        <f t="shared" si="69"/>
        <v>0</v>
      </c>
      <c r="AV27" s="279">
        <f t="shared" si="70"/>
        <v>0</v>
      </c>
      <c r="AW27" s="288">
        <f t="shared" si="71"/>
        <v>0</v>
      </c>
      <c r="AX27" s="289">
        <f t="shared" si="72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73"/>
        <v/>
      </c>
      <c r="BM27" s="270"/>
      <c r="BN27" s="271"/>
      <c r="BO27" s="272" t="str">
        <f t="shared" ca="1" si="74"/>
        <v/>
      </c>
      <c r="BP27" s="270"/>
      <c r="BQ27" s="271"/>
      <c r="BR27" s="272" t="str">
        <f t="shared" ca="1" si="75"/>
        <v/>
      </c>
      <c r="BS27" s="270"/>
      <c r="BT27" s="271"/>
      <c r="BU27" s="272" t="str">
        <f t="shared" ca="1" si="76"/>
        <v/>
      </c>
      <c r="BV27" s="270"/>
      <c r="BW27" s="271"/>
      <c r="BX27" s="272" t="str">
        <f t="shared" ca="1" si="77"/>
        <v/>
      </c>
      <c r="BY27" s="270"/>
      <c r="BZ27" s="271"/>
      <c r="CA27" s="272" t="str">
        <f t="shared" ca="1" si="78"/>
        <v/>
      </c>
      <c r="CB27" s="270"/>
      <c r="CC27" s="271"/>
      <c r="CD27" s="272" t="str">
        <f t="shared" ca="1" si="79"/>
        <v/>
      </c>
      <c r="CE27" s="270"/>
      <c r="CF27" s="271"/>
      <c r="CG27" s="272" t="str">
        <f t="shared" ca="1" si="80"/>
        <v/>
      </c>
      <c r="CH27" s="270"/>
      <c r="CI27" s="271"/>
      <c r="CJ27" s="272" t="str">
        <f t="shared" ca="1" si="81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12"/>
        <v/>
      </c>
      <c r="CU27" s="264"/>
      <c r="CV27" s="265"/>
      <c r="CW27" s="264"/>
      <c r="CX27" s="264"/>
      <c r="CY27" s="264" t="str">
        <f t="shared" si="13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82"/>
        <v>0</v>
      </c>
      <c r="DN27" s="295" t="str">
        <f t="shared" si="83"/>
        <v/>
      </c>
      <c r="DO27" s="392" t="str">
        <f t="shared" si="84"/>
        <v/>
      </c>
      <c r="DP27" s="392" t="str">
        <f t="shared" si="85"/>
        <v/>
      </c>
      <c r="DQ27" s="456" t="str">
        <f t="shared" si="86"/>
        <v/>
      </c>
      <c r="DR27" s="456" t="str">
        <f t="shared" si="87"/>
        <v/>
      </c>
    </row>
    <row r="28" spans="1:122" x14ac:dyDescent="0.25">
      <c r="A28" s="599" t="str">
        <f t="shared" si="88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50"/>
        <v/>
      </c>
      <c r="J28" s="312"/>
      <c r="K28" s="268"/>
      <c r="L28" s="277"/>
      <c r="M28" s="279"/>
      <c r="N28" s="280"/>
      <c r="O28" s="280"/>
      <c r="P28" s="455"/>
      <c r="Q28" s="281" t="str">
        <f t="shared" si="51"/>
        <v/>
      </c>
      <c r="R28" s="282">
        <f t="shared" si="52"/>
        <v>0</v>
      </c>
      <c r="S28" s="268"/>
      <c r="T28" s="283">
        <f t="shared" si="48"/>
        <v>0</v>
      </c>
      <c r="U28" s="284">
        <f>IF(M28=0,0,IF(G28="Annulation","",IF(assurance="ALPTIS",M28*12*T28/100*'Complet Data'!$K$4,IF(assurance="APRIL",M28*12*T28/100*'Complet Data'!$F$4,IF(assurance="ASAF",M28*12*T28/100*'Complet Data'!$I$4,IF(assurance="NEOLIANE",('Complet Data'!$G$5+M28*12*'Complet Data'!$G$4)*T28/100,IF(assurance="NEOLIANE Prev",('Complet Data'!$H$5+M28*12*'Complet Data'!$H$4)*T28/100,IF(assurance="SWISSLIFE",M28*12*T28/100*'Complet Data'!$J$4,IF(assurance="AVIVA",M28*12*T28/100*'Complet Data'!$L$4,IF(assurance="CIPRES",M28*12*T28/100*'Complet Data'!$M$4,IF(assurance="CEGEMA",M28*12*T28/100*'Complet Data'!$N$4,IF(assurance=0,0))))))))))))</f>
        <v>0</v>
      </c>
      <c r="V28" s="298" t="str">
        <f t="shared" si="53"/>
        <v/>
      </c>
      <c r="W28" s="298" t="str">
        <f t="shared" si="54"/>
        <v/>
      </c>
      <c r="X28" s="299">
        <f t="shared" si="55"/>
        <v>0</v>
      </c>
      <c r="Y28" s="368">
        <f t="shared" si="56"/>
        <v>0</v>
      </c>
      <c r="Z28" s="314"/>
      <c r="AA28" s="313" t="str">
        <f t="shared" si="57"/>
        <v/>
      </c>
      <c r="AB28" s="268" t="s">
        <v>13</v>
      </c>
      <c r="AC28" s="277"/>
      <c r="AD28" s="309" t="str">
        <f t="shared" si="49"/>
        <v/>
      </c>
      <c r="AE28" s="286" t="str">
        <f t="shared" si="47"/>
        <v/>
      </c>
      <c r="AF28" s="277"/>
      <c r="AG28" s="275" t="str">
        <f t="shared" si="58"/>
        <v/>
      </c>
      <c r="AH28" s="287" t="str">
        <f t="shared" ca="1" si="59"/>
        <v/>
      </c>
      <c r="AI28" s="373" t="str">
        <f t="shared" ca="1" si="60"/>
        <v/>
      </c>
      <c r="AJ28" s="296" t="str">
        <f t="shared" si="61"/>
        <v/>
      </c>
      <c r="AK28" s="296" t="str">
        <f t="shared" si="62"/>
        <v/>
      </c>
      <c r="AL28" s="287" t="str">
        <f t="shared" si="63"/>
        <v/>
      </c>
      <c r="AM28" s="279">
        <f t="shared" si="64"/>
        <v>0</v>
      </c>
      <c r="AN28" s="279">
        <f t="shared" si="31"/>
        <v>0</v>
      </c>
      <c r="AO28" s="288">
        <f t="shared" si="65"/>
        <v>0</v>
      </c>
      <c r="AP28" s="279">
        <f t="shared" si="33"/>
        <v>0</v>
      </c>
      <c r="AQ28" s="288">
        <f t="shared" si="66"/>
        <v>0</v>
      </c>
      <c r="AR28" s="289">
        <f t="shared" si="67"/>
        <v>0</v>
      </c>
      <c r="AS28" s="279">
        <f t="shared" si="36"/>
        <v>0</v>
      </c>
      <c r="AT28" s="288">
        <f t="shared" si="68"/>
        <v>0</v>
      </c>
      <c r="AU28" s="289">
        <f t="shared" si="69"/>
        <v>0</v>
      </c>
      <c r="AV28" s="279">
        <f t="shared" si="70"/>
        <v>0</v>
      </c>
      <c r="AW28" s="288">
        <f t="shared" si="71"/>
        <v>0</v>
      </c>
      <c r="AX28" s="289">
        <f t="shared" si="72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73"/>
        <v/>
      </c>
      <c r="BM28" s="270"/>
      <c r="BN28" s="271"/>
      <c r="BO28" s="272" t="str">
        <f t="shared" ca="1" si="74"/>
        <v/>
      </c>
      <c r="BP28" s="270"/>
      <c r="BQ28" s="271"/>
      <c r="BR28" s="272" t="str">
        <f t="shared" ca="1" si="75"/>
        <v/>
      </c>
      <c r="BS28" s="270"/>
      <c r="BT28" s="271"/>
      <c r="BU28" s="272" t="str">
        <f t="shared" ca="1" si="76"/>
        <v/>
      </c>
      <c r="BV28" s="270"/>
      <c r="BW28" s="271"/>
      <c r="BX28" s="272" t="str">
        <f t="shared" ca="1" si="77"/>
        <v/>
      </c>
      <c r="BY28" s="270"/>
      <c r="BZ28" s="271"/>
      <c r="CA28" s="272" t="str">
        <f t="shared" ca="1" si="78"/>
        <v/>
      </c>
      <c r="CB28" s="270"/>
      <c r="CC28" s="271"/>
      <c r="CD28" s="272" t="str">
        <f t="shared" ca="1" si="79"/>
        <v/>
      </c>
      <c r="CE28" s="270"/>
      <c r="CF28" s="271"/>
      <c r="CG28" s="272" t="str">
        <f t="shared" ca="1" si="80"/>
        <v/>
      </c>
      <c r="CH28" s="270"/>
      <c r="CI28" s="271"/>
      <c r="CJ28" s="272" t="str">
        <f t="shared" ca="1" si="81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12"/>
        <v/>
      </c>
      <c r="CU28" s="264"/>
      <c r="CV28" s="265"/>
      <c r="CW28" s="264"/>
      <c r="CX28" s="264"/>
      <c r="CY28" s="264" t="str">
        <f t="shared" si="13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82"/>
        <v>0</v>
      </c>
      <c r="DN28" s="295" t="str">
        <f t="shared" si="83"/>
        <v/>
      </c>
      <c r="DO28" s="392" t="str">
        <f t="shared" si="84"/>
        <v/>
      </c>
      <c r="DP28" s="392" t="str">
        <f t="shared" si="85"/>
        <v/>
      </c>
      <c r="DQ28" s="456" t="str">
        <f t="shared" si="86"/>
        <v/>
      </c>
      <c r="DR28" s="456" t="str">
        <f t="shared" si="87"/>
        <v/>
      </c>
    </row>
    <row r="29" spans="1:122" x14ac:dyDescent="0.25">
      <c r="A29" s="599" t="str">
        <f t="shared" si="88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50"/>
        <v/>
      </c>
      <c r="J29" s="312"/>
      <c r="K29" s="268"/>
      <c r="L29" s="277"/>
      <c r="M29" s="279"/>
      <c r="N29" s="280"/>
      <c r="O29" s="280"/>
      <c r="P29" s="455"/>
      <c r="Q29" s="281" t="str">
        <f t="shared" si="51"/>
        <v/>
      </c>
      <c r="R29" s="282">
        <f t="shared" si="52"/>
        <v>0</v>
      </c>
      <c r="S29" s="268"/>
      <c r="T29" s="283">
        <f t="shared" si="48"/>
        <v>0</v>
      </c>
      <c r="U29" s="284">
        <f>IF(M29=0,0,IF(G29="Annulation","",IF(assurance="ALPTIS",M29*12*T29/100*'Complet Data'!$K$4,IF(assurance="APRIL",M29*12*T29/100*'Complet Data'!$F$4,IF(assurance="ASAF",M29*12*T29/100*'Complet Data'!$I$4,IF(assurance="NEOLIANE",('Complet Data'!$G$5+M29*12*'Complet Data'!$G$4)*T29/100,IF(assurance="NEOLIANE Prev",('Complet Data'!$H$5+M29*12*'Complet Data'!$H$4)*T29/100,IF(assurance="SWISSLIFE",M29*12*T29/100*'Complet Data'!$J$4,IF(assurance="AVIVA",M29*12*T29/100*'Complet Data'!$L$4,IF(assurance="CIPRES",M29*12*T29/100*'Complet Data'!$M$4,IF(assurance="CEGEMA",M29*12*T29/100*'Complet Data'!$N$4,IF(assurance=0,0))))))))))))</f>
        <v>0</v>
      </c>
      <c r="V29" s="298" t="str">
        <f t="shared" si="53"/>
        <v/>
      </c>
      <c r="W29" s="298" t="str">
        <f t="shared" si="54"/>
        <v/>
      </c>
      <c r="X29" s="299">
        <f t="shared" si="55"/>
        <v>0</v>
      </c>
      <c r="Y29" s="368">
        <f t="shared" si="56"/>
        <v>0</v>
      </c>
      <c r="Z29" s="314"/>
      <c r="AA29" s="313" t="str">
        <f t="shared" si="57"/>
        <v/>
      </c>
      <c r="AB29" s="268" t="s">
        <v>13</v>
      </c>
      <c r="AC29" s="277"/>
      <c r="AD29" s="309" t="str">
        <f t="shared" si="49"/>
        <v/>
      </c>
      <c r="AE29" s="286" t="str">
        <f t="shared" si="47"/>
        <v/>
      </c>
      <c r="AF29" s="277"/>
      <c r="AG29" s="275" t="str">
        <f t="shared" si="58"/>
        <v/>
      </c>
      <c r="AH29" s="287" t="str">
        <f t="shared" ca="1" si="59"/>
        <v/>
      </c>
      <c r="AI29" s="373" t="str">
        <f t="shared" ca="1" si="60"/>
        <v/>
      </c>
      <c r="AJ29" s="296" t="str">
        <f t="shared" si="61"/>
        <v/>
      </c>
      <c r="AK29" s="296" t="str">
        <f t="shared" si="62"/>
        <v/>
      </c>
      <c r="AL29" s="287" t="str">
        <f t="shared" si="63"/>
        <v/>
      </c>
      <c r="AM29" s="279">
        <f t="shared" si="64"/>
        <v>0</v>
      </c>
      <c r="AN29" s="279">
        <f t="shared" si="31"/>
        <v>0</v>
      </c>
      <c r="AO29" s="288">
        <f t="shared" si="65"/>
        <v>0</v>
      </c>
      <c r="AP29" s="279">
        <f t="shared" si="33"/>
        <v>0</v>
      </c>
      <c r="AQ29" s="288">
        <f t="shared" si="66"/>
        <v>0</v>
      </c>
      <c r="AR29" s="289">
        <f t="shared" si="67"/>
        <v>0</v>
      </c>
      <c r="AS29" s="279">
        <f t="shared" si="36"/>
        <v>0</v>
      </c>
      <c r="AT29" s="288">
        <f t="shared" si="68"/>
        <v>0</v>
      </c>
      <c r="AU29" s="289">
        <f t="shared" si="69"/>
        <v>0</v>
      </c>
      <c r="AV29" s="279">
        <f t="shared" si="70"/>
        <v>0</v>
      </c>
      <c r="AW29" s="288">
        <f t="shared" si="71"/>
        <v>0</v>
      </c>
      <c r="AX29" s="289">
        <f t="shared" si="72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73"/>
        <v/>
      </c>
      <c r="BM29" s="270"/>
      <c r="BN29" s="271"/>
      <c r="BO29" s="272" t="str">
        <f t="shared" ca="1" si="74"/>
        <v/>
      </c>
      <c r="BP29" s="270"/>
      <c r="BQ29" s="271"/>
      <c r="BR29" s="272" t="str">
        <f t="shared" ca="1" si="75"/>
        <v/>
      </c>
      <c r="BS29" s="270"/>
      <c r="BT29" s="271"/>
      <c r="BU29" s="272" t="str">
        <f t="shared" ca="1" si="76"/>
        <v/>
      </c>
      <c r="BV29" s="270"/>
      <c r="BW29" s="271"/>
      <c r="BX29" s="272" t="str">
        <f t="shared" ca="1" si="77"/>
        <v/>
      </c>
      <c r="BY29" s="270"/>
      <c r="BZ29" s="271"/>
      <c r="CA29" s="272" t="str">
        <f t="shared" ca="1" si="78"/>
        <v/>
      </c>
      <c r="CB29" s="270"/>
      <c r="CC29" s="271"/>
      <c r="CD29" s="272" t="str">
        <f t="shared" ca="1" si="79"/>
        <v/>
      </c>
      <c r="CE29" s="270"/>
      <c r="CF29" s="271"/>
      <c r="CG29" s="272" t="str">
        <f t="shared" ca="1" si="80"/>
        <v/>
      </c>
      <c r="CH29" s="270"/>
      <c r="CI29" s="271"/>
      <c r="CJ29" s="272" t="str">
        <f t="shared" ca="1" si="81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12"/>
        <v/>
      </c>
      <c r="CU29" s="264"/>
      <c r="CV29" s="265"/>
      <c r="CW29" s="264"/>
      <c r="CX29" s="264"/>
      <c r="CY29" s="264" t="str">
        <f t="shared" si="13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82"/>
        <v>0</v>
      </c>
      <c r="DN29" s="295" t="str">
        <f t="shared" si="83"/>
        <v/>
      </c>
      <c r="DO29" s="392" t="str">
        <f t="shared" si="84"/>
        <v/>
      </c>
      <c r="DP29" s="392" t="str">
        <f t="shared" si="85"/>
        <v/>
      </c>
      <c r="DQ29" s="456" t="str">
        <f t="shared" si="86"/>
        <v/>
      </c>
      <c r="DR29" s="456" t="str">
        <f t="shared" si="87"/>
        <v/>
      </c>
    </row>
    <row r="30" spans="1:122" x14ac:dyDescent="0.25">
      <c r="A30" s="599" t="str">
        <f t="shared" si="88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50"/>
        <v/>
      </c>
      <c r="J30" s="312"/>
      <c r="K30" s="268"/>
      <c r="L30" s="277"/>
      <c r="M30" s="279"/>
      <c r="N30" s="280"/>
      <c r="O30" s="280"/>
      <c r="P30" s="455"/>
      <c r="Q30" s="281" t="str">
        <f t="shared" si="51"/>
        <v/>
      </c>
      <c r="R30" s="282">
        <f t="shared" si="52"/>
        <v>0</v>
      </c>
      <c r="S30" s="268"/>
      <c r="T30" s="283">
        <f t="shared" si="48"/>
        <v>0</v>
      </c>
      <c r="U30" s="284">
        <f>IF(M30=0,0,IF(G30="Annulation","",IF(assurance="ALPTIS",M30*12*T30/100*'Complet Data'!$K$4,IF(assurance="APRIL",M30*12*T30/100*'Complet Data'!$F$4,IF(assurance="ASAF",M30*12*T30/100*'Complet Data'!$I$4,IF(assurance="NEOLIANE",('Complet Data'!$G$5+M30*12*'Complet Data'!$G$4)*T30/100,IF(assurance="NEOLIANE Prev",('Complet Data'!$H$5+M30*12*'Complet Data'!$H$4)*T30/100,IF(assurance="SWISSLIFE",M30*12*T30/100*'Complet Data'!$J$4,IF(assurance="AVIVA",M30*12*T30/100*'Complet Data'!$L$4,IF(assurance="CIPRES",M30*12*T30/100*'Complet Data'!$M$4,IF(assurance="CEGEMA",M30*12*T30/100*'Complet Data'!$N$4,IF(assurance=0,0))))))))))))</f>
        <v>0</v>
      </c>
      <c r="V30" s="298" t="str">
        <f t="shared" si="53"/>
        <v/>
      </c>
      <c r="W30" s="298" t="str">
        <f t="shared" si="54"/>
        <v/>
      </c>
      <c r="X30" s="299">
        <f t="shared" si="55"/>
        <v>0</v>
      </c>
      <c r="Y30" s="368">
        <f t="shared" si="56"/>
        <v>0</v>
      </c>
      <c r="Z30" s="314"/>
      <c r="AA30" s="313" t="str">
        <f t="shared" si="57"/>
        <v/>
      </c>
      <c r="AB30" s="268" t="s">
        <v>13</v>
      </c>
      <c r="AC30" s="277"/>
      <c r="AD30" s="309" t="str">
        <f t="shared" si="49"/>
        <v/>
      </c>
      <c r="AE30" s="286" t="str">
        <f t="shared" si="47"/>
        <v/>
      </c>
      <c r="AF30" s="277"/>
      <c r="AG30" s="275" t="str">
        <f t="shared" si="58"/>
        <v/>
      </c>
      <c r="AH30" s="287" t="str">
        <f t="shared" ca="1" si="59"/>
        <v/>
      </c>
      <c r="AI30" s="373" t="str">
        <f t="shared" ca="1" si="60"/>
        <v/>
      </c>
      <c r="AJ30" s="296" t="str">
        <f t="shared" si="61"/>
        <v/>
      </c>
      <c r="AK30" s="296" t="str">
        <f t="shared" si="62"/>
        <v/>
      </c>
      <c r="AL30" s="287" t="str">
        <f t="shared" si="63"/>
        <v/>
      </c>
      <c r="AM30" s="279">
        <f t="shared" si="64"/>
        <v>0</v>
      </c>
      <c r="AN30" s="279">
        <f t="shared" si="31"/>
        <v>0</v>
      </c>
      <c r="AO30" s="288">
        <f t="shared" si="65"/>
        <v>0</v>
      </c>
      <c r="AP30" s="279">
        <f t="shared" si="33"/>
        <v>0</v>
      </c>
      <c r="AQ30" s="288">
        <f t="shared" si="66"/>
        <v>0</v>
      </c>
      <c r="AR30" s="289">
        <f t="shared" si="67"/>
        <v>0</v>
      </c>
      <c r="AS30" s="279">
        <f t="shared" si="36"/>
        <v>0</v>
      </c>
      <c r="AT30" s="288">
        <f t="shared" si="68"/>
        <v>0</v>
      </c>
      <c r="AU30" s="289">
        <f t="shared" si="69"/>
        <v>0</v>
      </c>
      <c r="AV30" s="279">
        <f t="shared" si="70"/>
        <v>0</v>
      </c>
      <c r="AW30" s="288">
        <f t="shared" si="71"/>
        <v>0</v>
      </c>
      <c r="AX30" s="289">
        <f t="shared" si="72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73"/>
        <v/>
      </c>
      <c r="BM30" s="270"/>
      <c r="BN30" s="271"/>
      <c r="BO30" s="272" t="str">
        <f t="shared" ca="1" si="74"/>
        <v/>
      </c>
      <c r="BP30" s="270"/>
      <c r="BQ30" s="271"/>
      <c r="BR30" s="272" t="str">
        <f t="shared" ca="1" si="75"/>
        <v/>
      </c>
      <c r="BS30" s="270"/>
      <c r="BT30" s="271"/>
      <c r="BU30" s="272" t="str">
        <f t="shared" ca="1" si="76"/>
        <v/>
      </c>
      <c r="BV30" s="270"/>
      <c r="BW30" s="271"/>
      <c r="BX30" s="272" t="str">
        <f t="shared" ca="1" si="77"/>
        <v/>
      </c>
      <c r="BY30" s="270"/>
      <c r="BZ30" s="271"/>
      <c r="CA30" s="272" t="str">
        <f t="shared" ca="1" si="78"/>
        <v/>
      </c>
      <c r="CB30" s="270"/>
      <c r="CC30" s="271"/>
      <c r="CD30" s="272" t="str">
        <f t="shared" ca="1" si="79"/>
        <v/>
      </c>
      <c r="CE30" s="270"/>
      <c r="CF30" s="271"/>
      <c r="CG30" s="272" t="str">
        <f t="shared" ca="1" si="80"/>
        <v/>
      </c>
      <c r="CH30" s="270"/>
      <c r="CI30" s="271"/>
      <c r="CJ30" s="272" t="str">
        <f t="shared" ca="1" si="81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12"/>
        <v/>
      </c>
      <c r="CU30" s="264"/>
      <c r="CV30" s="265"/>
      <c r="CW30" s="264"/>
      <c r="CX30" s="264"/>
      <c r="CY30" s="264" t="str">
        <f t="shared" si="13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82"/>
        <v>0</v>
      </c>
      <c r="DN30" s="295" t="str">
        <f t="shared" si="83"/>
        <v/>
      </c>
      <c r="DO30" s="392" t="str">
        <f t="shared" si="84"/>
        <v/>
      </c>
      <c r="DP30" s="392" t="str">
        <f t="shared" si="85"/>
        <v/>
      </c>
      <c r="DQ30" s="456" t="str">
        <f t="shared" si="86"/>
        <v/>
      </c>
      <c r="DR30" s="456" t="str">
        <f t="shared" si="87"/>
        <v/>
      </c>
    </row>
    <row r="31" spans="1:122" x14ac:dyDescent="0.25">
      <c r="A31" s="599" t="str">
        <f t="shared" si="88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50"/>
        <v/>
      </c>
      <c r="J31" s="312"/>
      <c r="K31" s="268"/>
      <c r="L31" s="277"/>
      <c r="M31" s="279"/>
      <c r="N31" s="280"/>
      <c r="O31" s="280"/>
      <c r="P31" s="455"/>
      <c r="Q31" s="281" t="str">
        <f t="shared" si="51"/>
        <v/>
      </c>
      <c r="R31" s="282">
        <f t="shared" si="52"/>
        <v>0</v>
      </c>
      <c r="S31" s="268"/>
      <c r="T31" s="283">
        <f t="shared" si="48"/>
        <v>0</v>
      </c>
      <c r="U31" s="284">
        <f>IF(M31=0,0,IF(G31="Annulation","",IF(assurance="ALPTIS",M31*12*T31/100*'Complet Data'!$K$4,IF(assurance="APRIL",M31*12*T31/100*'Complet Data'!$F$4,IF(assurance="ASAF",M31*12*T31/100*'Complet Data'!$I$4,IF(assurance="NEOLIANE",('Complet Data'!$G$5+M31*12*'Complet Data'!$G$4)*T31/100,IF(assurance="NEOLIANE Prev",('Complet Data'!$H$5+M31*12*'Complet Data'!$H$4)*T31/100,IF(assurance="SWISSLIFE",M31*12*T31/100*'Complet Data'!$J$4,IF(assurance="AVIVA",M31*12*T31/100*'Complet Data'!$L$4,IF(assurance="CIPRES",M31*12*T31/100*'Complet Data'!$M$4,IF(assurance="CEGEMA",M31*12*T31/100*'Complet Data'!$N$4,IF(assurance=0,0))))))))))))</f>
        <v>0</v>
      </c>
      <c r="V31" s="298" t="str">
        <f t="shared" si="53"/>
        <v/>
      </c>
      <c r="W31" s="298" t="str">
        <f t="shared" si="54"/>
        <v/>
      </c>
      <c r="X31" s="299">
        <f t="shared" si="55"/>
        <v>0</v>
      </c>
      <c r="Y31" s="368">
        <f t="shared" si="56"/>
        <v>0</v>
      </c>
      <c r="Z31" s="314"/>
      <c r="AA31" s="313" t="str">
        <f t="shared" si="57"/>
        <v/>
      </c>
      <c r="AB31" s="268" t="s">
        <v>13</v>
      </c>
      <c r="AC31" s="277"/>
      <c r="AD31" s="309" t="str">
        <f t="shared" si="49"/>
        <v/>
      </c>
      <c r="AE31" s="286" t="str">
        <f t="shared" si="47"/>
        <v/>
      </c>
      <c r="AF31" s="277"/>
      <c r="AG31" s="275" t="str">
        <f t="shared" si="58"/>
        <v/>
      </c>
      <c r="AH31" s="287" t="str">
        <f t="shared" ca="1" si="59"/>
        <v/>
      </c>
      <c r="AI31" s="373" t="str">
        <f t="shared" ca="1" si="60"/>
        <v/>
      </c>
      <c r="AJ31" s="296" t="str">
        <f t="shared" si="61"/>
        <v/>
      </c>
      <c r="AK31" s="296" t="str">
        <f t="shared" si="62"/>
        <v/>
      </c>
      <c r="AL31" s="287" t="str">
        <f t="shared" si="63"/>
        <v/>
      </c>
      <c r="AM31" s="279">
        <f t="shared" si="64"/>
        <v>0</v>
      </c>
      <c r="AN31" s="279">
        <f t="shared" si="31"/>
        <v>0</v>
      </c>
      <c r="AO31" s="288">
        <f t="shared" si="65"/>
        <v>0</v>
      </c>
      <c r="AP31" s="279">
        <f t="shared" si="33"/>
        <v>0</v>
      </c>
      <c r="AQ31" s="288">
        <f t="shared" si="66"/>
        <v>0</v>
      </c>
      <c r="AR31" s="289">
        <f t="shared" si="67"/>
        <v>0</v>
      </c>
      <c r="AS31" s="279">
        <f t="shared" si="36"/>
        <v>0</v>
      </c>
      <c r="AT31" s="288">
        <f t="shared" si="68"/>
        <v>0</v>
      </c>
      <c r="AU31" s="289">
        <f t="shared" si="69"/>
        <v>0</v>
      </c>
      <c r="AV31" s="279">
        <f t="shared" si="70"/>
        <v>0</v>
      </c>
      <c r="AW31" s="288">
        <f t="shared" si="71"/>
        <v>0</v>
      </c>
      <c r="AX31" s="289">
        <f t="shared" si="72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73"/>
        <v/>
      </c>
      <c r="BM31" s="270"/>
      <c r="BN31" s="271"/>
      <c r="BO31" s="272" t="str">
        <f t="shared" ca="1" si="74"/>
        <v/>
      </c>
      <c r="BP31" s="270"/>
      <c r="BQ31" s="271"/>
      <c r="BR31" s="272" t="str">
        <f t="shared" ca="1" si="75"/>
        <v/>
      </c>
      <c r="BS31" s="270"/>
      <c r="BT31" s="271"/>
      <c r="BU31" s="272" t="str">
        <f t="shared" ca="1" si="76"/>
        <v/>
      </c>
      <c r="BV31" s="270"/>
      <c r="BW31" s="271"/>
      <c r="BX31" s="272" t="str">
        <f t="shared" ca="1" si="77"/>
        <v/>
      </c>
      <c r="BY31" s="270"/>
      <c r="BZ31" s="271"/>
      <c r="CA31" s="272" t="str">
        <f t="shared" ca="1" si="78"/>
        <v/>
      </c>
      <c r="CB31" s="270"/>
      <c r="CC31" s="271"/>
      <c r="CD31" s="272" t="str">
        <f t="shared" ca="1" si="79"/>
        <v/>
      </c>
      <c r="CE31" s="270"/>
      <c r="CF31" s="271"/>
      <c r="CG31" s="272" t="str">
        <f t="shared" ca="1" si="80"/>
        <v/>
      </c>
      <c r="CH31" s="270"/>
      <c r="CI31" s="271"/>
      <c r="CJ31" s="272" t="str">
        <f t="shared" ca="1" si="81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12"/>
        <v/>
      </c>
      <c r="CU31" s="264"/>
      <c r="CV31" s="265"/>
      <c r="CW31" s="264"/>
      <c r="CX31" s="264"/>
      <c r="CY31" s="264" t="str">
        <f t="shared" si="13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82"/>
        <v>0</v>
      </c>
      <c r="DN31" s="295" t="str">
        <f t="shared" si="83"/>
        <v/>
      </c>
      <c r="DO31" s="392" t="str">
        <f t="shared" si="84"/>
        <v/>
      </c>
      <c r="DP31" s="392" t="str">
        <f t="shared" si="85"/>
        <v/>
      </c>
      <c r="DQ31" s="456" t="str">
        <f t="shared" si="86"/>
        <v/>
      </c>
      <c r="DR31" s="456" t="str">
        <f t="shared" si="87"/>
        <v/>
      </c>
    </row>
    <row r="32" spans="1:122" x14ac:dyDescent="0.25">
      <c r="A32" s="599" t="str">
        <f t="shared" si="88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50"/>
        <v/>
      </c>
      <c r="J32" s="312"/>
      <c r="K32" s="268"/>
      <c r="L32" s="277"/>
      <c r="M32" s="279"/>
      <c r="N32" s="280"/>
      <c r="O32" s="280"/>
      <c r="P32" s="455"/>
      <c r="Q32" s="281" t="str">
        <f t="shared" si="51"/>
        <v/>
      </c>
      <c r="R32" s="282">
        <f t="shared" si="52"/>
        <v>0</v>
      </c>
      <c r="S32" s="268"/>
      <c r="T32" s="283">
        <f t="shared" si="48"/>
        <v>0</v>
      </c>
      <c r="U32" s="284">
        <f>IF(M32=0,0,IF(G32="Annulation","",IF(assurance="ALPTIS",M32*12*T32/100*'Complet Data'!$K$4,IF(assurance="APRIL",M32*12*T32/100*'Complet Data'!$F$4,IF(assurance="ASAF",M32*12*T32/100*'Complet Data'!$I$4,IF(assurance="NEOLIANE",('Complet Data'!$G$5+M32*12*'Complet Data'!$G$4)*T32/100,IF(assurance="NEOLIANE Prev",('Complet Data'!$H$5+M32*12*'Complet Data'!$H$4)*T32/100,IF(assurance="SWISSLIFE",M32*12*T32/100*'Complet Data'!$J$4,IF(assurance="AVIVA",M32*12*T32/100*'Complet Data'!$L$4,IF(assurance="CIPRES",M32*12*T32/100*'Complet Data'!$M$4,IF(assurance="CEGEMA",M32*12*T32/100*'Complet Data'!$N$4,IF(assurance=0,0))))))))))))</f>
        <v>0</v>
      </c>
      <c r="V32" s="298" t="str">
        <f t="shared" si="53"/>
        <v/>
      </c>
      <c r="W32" s="298" t="str">
        <f t="shared" si="54"/>
        <v/>
      </c>
      <c r="X32" s="299">
        <f t="shared" si="55"/>
        <v>0</v>
      </c>
      <c r="Y32" s="368">
        <f t="shared" si="56"/>
        <v>0</v>
      </c>
      <c r="Z32" s="314"/>
      <c r="AA32" s="313" t="str">
        <f t="shared" si="57"/>
        <v/>
      </c>
      <c r="AB32" s="268" t="s">
        <v>13</v>
      </c>
      <c r="AC32" s="277"/>
      <c r="AD32" s="309" t="str">
        <f t="shared" si="49"/>
        <v/>
      </c>
      <c r="AE32" s="286" t="str">
        <f t="shared" si="47"/>
        <v/>
      </c>
      <c r="AF32" s="277"/>
      <c r="AG32" s="275" t="str">
        <f t="shared" si="58"/>
        <v/>
      </c>
      <c r="AH32" s="287" t="str">
        <f t="shared" ca="1" si="59"/>
        <v/>
      </c>
      <c r="AI32" s="373" t="str">
        <f t="shared" ca="1" si="60"/>
        <v/>
      </c>
      <c r="AJ32" s="296" t="str">
        <f t="shared" si="61"/>
        <v/>
      </c>
      <c r="AK32" s="296" t="str">
        <f t="shared" si="62"/>
        <v/>
      </c>
      <c r="AL32" s="287" t="str">
        <f t="shared" si="63"/>
        <v/>
      </c>
      <c r="AM32" s="279">
        <f t="shared" si="64"/>
        <v>0</v>
      </c>
      <c r="AN32" s="279">
        <f t="shared" ref="AN32:AN61" si="89">IF(G32="Annulation","",IF(Z32&gt;=42736,IF(Z32&lt;43101,M32,0),0))</f>
        <v>0</v>
      </c>
      <c r="AO32" s="288">
        <f t="shared" si="65"/>
        <v>0</v>
      </c>
      <c r="AP32" s="279">
        <f t="shared" si="33"/>
        <v>0</v>
      </c>
      <c r="AQ32" s="288">
        <f t="shared" si="66"/>
        <v>0</v>
      </c>
      <c r="AR32" s="289">
        <f t="shared" si="67"/>
        <v>0</v>
      </c>
      <c r="AS32" s="279">
        <f t="shared" si="36"/>
        <v>0</v>
      </c>
      <c r="AT32" s="288">
        <f t="shared" si="68"/>
        <v>0</v>
      </c>
      <c r="AU32" s="289">
        <f t="shared" si="69"/>
        <v>0</v>
      </c>
      <c r="AV32" s="279">
        <f t="shared" si="70"/>
        <v>0</v>
      </c>
      <c r="AW32" s="288">
        <f t="shared" si="71"/>
        <v>0</v>
      </c>
      <c r="AX32" s="289">
        <f t="shared" si="72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73"/>
        <v/>
      </c>
      <c r="BM32" s="270"/>
      <c r="BN32" s="271"/>
      <c r="BO32" s="272" t="str">
        <f t="shared" ca="1" si="74"/>
        <v/>
      </c>
      <c r="BP32" s="270"/>
      <c r="BQ32" s="271"/>
      <c r="BR32" s="272" t="str">
        <f t="shared" ca="1" si="75"/>
        <v/>
      </c>
      <c r="BS32" s="270"/>
      <c r="BT32" s="271"/>
      <c r="BU32" s="272" t="str">
        <f t="shared" ca="1" si="76"/>
        <v/>
      </c>
      <c r="BV32" s="270"/>
      <c r="BW32" s="271"/>
      <c r="BX32" s="272" t="str">
        <f t="shared" ca="1" si="77"/>
        <v/>
      </c>
      <c r="BY32" s="270"/>
      <c r="BZ32" s="271"/>
      <c r="CA32" s="272" t="str">
        <f t="shared" ca="1" si="78"/>
        <v/>
      </c>
      <c r="CB32" s="270"/>
      <c r="CC32" s="271"/>
      <c r="CD32" s="272" t="str">
        <f t="shared" ca="1" si="79"/>
        <v/>
      </c>
      <c r="CE32" s="270"/>
      <c r="CF32" s="271"/>
      <c r="CG32" s="272" t="str">
        <f t="shared" ca="1" si="80"/>
        <v/>
      </c>
      <c r="CH32" s="270"/>
      <c r="CI32" s="271"/>
      <c r="CJ32" s="272" t="str">
        <f t="shared" ca="1" si="81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12"/>
        <v/>
      </c>
      <c r="CU32" s="264"/>
      <c r="CV32" s="265"/>
      <c r="CW32" s="264"/>
      <c r="CX32" s="264"/>
      <c r="CY32" s="264" t="str">
        <f t="shared" si="13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82"/>
        <v>0</v>
      </c>
      <c r="DN32" s="295" t="str">
        <f t="shared" si="83"/>
        <v/>
      </c>
      <c r="DO32" s="392" t="str">
        <f t="shared" si="84"/>
        <v/>
      </c>
      <c r="DP32" s="392" t="str">
        <f t="shared" si="85"/>
        <v/>
      </c>
      <c r="DQ32" s="456" t="str">
        <f t="shared" si="86"/>
        <v/>
      </c>
      <c r="DR32" s="456" t="str">
        <f t="shared" si="87"/>
        <v/>
      </c>
    </row>
    <row r="33" spans="1:122" x14ac:dyDescent="0.25">
      <c r="A33" s="599" t="str">
        <f t="shared" si="88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50"/>
        <v/>
      </c>
      <c r="J33" s="312"/>
      <c r="K33" s="268"/>
      <c r="L33" s="277"/>
      <c r="M33" s="279"/>
      <c r="N33" s="280"/>
      <c r="O33" s="280"/>
      <c r="P33" s="455"/>
      <c r="Q33" s="281" t="str">
        <f t="shared" si="51"/>
        <v/>
      </c>
      <c r="R33" s="282">
        <f t="shared" si="52"/>
        <v>0</v>
      </c>
      <c r="S33" s="268"/>
      <c r="T33" s="283">
        <f t="shared" si="48"/>
        <v>0</v>
      </c>
      <c r="U33" s="284">
        <f>IF(M33=0,0,IF(G33="Annulation","",IF(assurance="ALPTIS",M33*12*T33/100*'Complet Data'!$K$4,IF(assurance="APRIL",M33*12*T33/100*'Complet Data'!$F$4,IF(assurance="ASAF",M33*12*T33/100*'Complet Data'!$I$4,IF(assurance="NEOLIANE",('Complet Data'!$G$5+M33*12*'Complet Data'!$G$4)*T33/100,IF(assurance="NEOLIANE Prev",('Complet Data'!$H$5+M33*12*'Complet Data'!$H$4)*T33/100,IF(assurance="SWISSLIFE",M33*12*T33/100*'Complet Data'!$J$4,IF(assurance="AVIVA",M33*12*T33/100*'Complet Data'!$L$4,IF(assurance="CIPRES",M33*12*T33/100*'Complet Data'!$M$4,IF(assurance="CEGEMA",M33*12*T33/100*'Complet Data'!$N$4,IF(assurance=0,0))))))))))))</f>
        <v>0</v>
      </c>
      <c r="V33" s="298" t="str">
        <f t="shared" si="53"/>
        <v/>
      </c>
      <c r="W33" s="298" t="str">
        <f t="shared" si="54"/>
        <v/>
      </c>
      <c r="X33" s="299">
        <f t="shared" si="55"/>
        <v>0</v>
      </c>
      <c r="Y33" s="368">
        <f t="shared" si="56"/>
        <v>0</v>
      </c>
      <c r="Z33" s="314"/>
      <c r="AA33" s="313" t="str">
        <f t="shared" si="57"/>
        <v/>
      </c>
      <c r="AB33" s="268" t="s">
        <v>13</v>
      </c>
      <c r="AC33" s="277"/>
      <c r="AD33" s="309" t="str">
        <f t="shared" si="49"/>
        <v/>
      </c>
      <c r="AE33" s="286" t="str">
        <f t="shared" si="47"/>
        <v/>
      </c>
      <c r="AF33" s="277"/>
      <c r="AG33" s="275" t="str">
        <f t="shared" si="58"/>
        <v/>
      </c>
      <c r="AH33" s="287" t="str">
        <f t="shared" ca="1" si="59"/>
        <v/>
      </c>
      <c r="AI33" s="373" t="str">
        <f t="shared" ca="1" si="60"/>
        <v/>
      </c>
      <c r="AJ33" s="296" t="str">
        <f t="shared" si="61"/>
        <v/>
      </c>
      <c r="AK33" s="296" t="str">
        <f t="shared" si="62"/>
        <v/>
      </c>
      <c r="AL33" s="287" t="str">
        <f t="shared" si="63"/>
        <v/>
      </c>
      <c r="AM33" s="279">
        <f t="shared" si="64"/>
        <v>0</v>
      </c>
      <c r="AN33" s="279">
        <f t="shared" si="89"/>
        <v>0</v>
      </c>
      <c r="AO33" s="288">
        <f t="shared" si="65"/>
        <v>0</v>
      </c>
      <c r="AP33" s="279">
        <f t="shared" si="33"/>
        <v>0</v>
      </c>
      <c r="AQ33" s="288">
        <f t="shared" si="66"/>
        <v>0</v>
      </c>
      <c r="AR33" s="289">
        <f t="shared" si="67"/>
        <v>0</v>
      </c>
      <c r="AS33" s="279">
        <f t="shared" si="36"/>
        <v>0</v>
      </c>
      <c r="AT33" s="288">
        <f t="shared" si="68"/>
        <v>0</v>
      </c>
      <c r="AU33" s="289">
        <f t="shared" si="69"/>
        <v>0</v>
      </c>
      <c r="AV33" s="279">
        <f t="shared" si="70"/>
        <v>0</v>
      </c>
      <c r="AW33" s="288">
        <f t="shared" si="71"/>
        <v>0</v>
      </c>
      <c r="AX33" s="289">
        <f t="shared" si="72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73"/>
        <v/>
      </c>
      <c r="BM33" s="270"/>
      <c r="BN33" s="271"/>
      <c r="BO33" s="272" t="str">
        <f t="shared" ca="1" si="74"/>
        <v/>
      </c>
      <c r="BP33" s="270"/>
      <c r="BQ33" s="271"/>
      <c r="BR33" s="272" t="str">
        <f t="shared" ca="1" si="75"/>
        <v/>
      </c>
      <c r="BS33" s="270"/>
      <c r="BT33" s="271"/>
      <c r="BU33" s="272" t="str">
        <f t="shared" ca="1" si="76"/>
        <v/>
      </c>
      <c r="BV33" s="270"/>
      <c r="BW33" s="271"/>
      <c r="BX33" s="272" t="str">
        <f t="shared" ca="1" si="77"/>
        <v/>
      </c>
      <c r="BY33" s="270"/>
      <c r="BZ33" s="271"/>
      <c r="CA33" s="272" t="str">
        <f t="shared" ca="1" si="78"/>
        <v/>
      </c>
      <c r="CB33" s="270"/>
      <c r="CC33" s="271"/>
      <c r="CD33" s="272" t="str">
        <f t="shared" ca="1" si="79"/>
        <v/>
      </c>
      <c r="CE33" s="270"/>
      <c r="CF33" s="271"/>
      <c r="CG33" s="272" t="str">
        <f t="shared" ca="1" si="80"/>
        <v/>
      </c>
      <c r="CH33" s="270"/>
      <c r="CI33" s="271"/>
      <c r="CJ33" s="272" t="str">
        <f t="shared" ca="1" si="81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12"/>
        <v/>
      </c>
      <c r="CU33" s="264"/>
      <c r="CV33" s="265"/>
      <c r="CW33" s="264"/>
      <c r="CX33" s="264"/>
      <c r="CY33" s="264" t="str">
        <f t="shared" si="13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82"/>
        <v>0</v>
      </c>
      <c r="DN33" s="295" t="str">
        <f t="shared" si="83"/>
        <v/>
      </c>
      <c r="DO33" s="392" t="str">
        <f t="shared" si="84"/>
        <v/>
      </c>
      <c r="DP33" s="392" t="str">
        <f t="shared" si="85"/>
        <v/>
      </c>
      <c r="DQ33" s="456" t="str">
        <f t="shared" si="86"/>
        <v/>
      </c>
      <c r="DR33" s="456" t="str">
        <f t="shared" si="87"/>
        <v/>
      </c>
    </row>
    <row r="34" spans="1:122" x14ac:dyDescent="0.25">
      <c r="A34" s="599" t="str">
        <f t="shared" si="88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50"/>
        <v/>
      </c>
      <c r="J34" s="312"/>
      <c r="K34" s="268"/>
      <c r="L34" s="277"/>
      <c r="M34" s="279"/>
      <c r="N34" s="280"/>
      <c r="O34" s="280"/>
      <c r="P34" s="455"/>
      <c r="Q34" s="281" t="str">
        <f t="shared" si="51"/>
        <v/>
      </c>
      <c r="R34" s="282">
        <f t="shared" si="52"/>
        <v>0</v>
      </c>
      <c r="S34" s="268"/>
      <c r="T34" s="283">
        <f t="shared" si="48"/>
        <v>0</v>
      </c>
      <c r="U34" s="284">
        <f>IF(M34=0,0,IF(G34="Annulation","",IF(assurance="ALPTIS",M34*12*T34/100*'Complet Data'!$K$4,IF(assurance="APRIL",M34*12*T34/100*'Complet Data'!$F$4,IF(assurance="ASAF",M34*12*T34/100*'Complet Data'!$I$4,IF(assurance="NEOLIANE",('Complet Data'!$G$5+M34*12*'Complet Data'!$G$4)*T34/100,IF(assurance="NEOLIANE Prev",('Complet Data'!$H$5+M34*12*'Complet Data'!$H$4)*T34/100,IF(assurance="SWISSLIFE",M34*12*T34/100*'Complet Data'!$J$4,IF(assurance="AVIVA",M34*12*T34/100*'Complet Data'!$L$4,IF(assurance="CIPRES",M34*12*T34/100*'Complet Data'!$M$4,IF(assurance="CEGEMA",M34*12*T34/100*'Complet Data'!$N$4,IF(assurance=0,0))))))))))))</f>
        <v>0</v>
      </c>
      <c r="V34" s="298" t="str">
        <f t="shared" si="53"/>
        <v/>
      </c>
      <c r="W34" s="298" t="str">
        <f t="shared" si="54"/>
        <v/>
      </c>
      <c r="X34" s="299">
        <f t="shared" si="55"/>
        <v>0</v>
      </c>
      <c r="Y34" s="368">
        <f t="shared" si="56"/>
        <v>0</v>
      </c>
      <c r="Z34" s="314"/>
      <c r="AA34" s="313" t="str">
        <f t="shared" si="57"/>
        <v/>
      </c>
      <c r="AB34" s="268" t="s">
        <v>13</v>
      </c>
      <c r="AC34" s="277"/>
      <c r="AD34" s="309" t="str">
        <f t="shared" si="49"/>
        <v/>
      </c>
      <c r="AE34" s="286" t="str">
        <f t="shared" si="47"/>
        <v/>
      </c>
      <c r="AF34" s="277"/>
      <c r="AG34" s="275" t="str">
        <f t="shared" si="58"/>
        <v/>
      </c>
      <c r="AH34" s="287" t="str">
        <f t="shared" ca="1" si="59"/>
        <v/>
      </c>
      <c r="AI34" s="373" t="str">
        <f t="shared" ca="1" si="60"/>
        <v/>
      </c>
      <c r="AJ34" s="296" t="str">
        <f t="shared" si="61"/>
        <v/>
      </c>
      <c r="AK34" s="296" t="str">
        <f t="shared" si="62"/>
        <v/>
      </c>
      <c r="AL34" s="287" t="str">
        <f t="shared" si="63"/>
        <v/>
      </c>
      <c r="AM34" s="279">
        <f t="shared" si="64"/>
        <v>0</v>
      </c>
      <c r="AN34" s="279">
        <f t="shared" si="89"/>
        <v>0</v>
      </c>
      <c r="AO34" s="288">
        <f t="shared" si="65"/>
        <v>0</v>
      </c>
      <c r="AP34" s="279">
        <f t="shared" ref="AP34:AP61" si="90">IF(G34="Annulation","",IF(Z34&gt;=43101,IF(Z34&lt;43466,M34,0),0))</f>
        <v>0</v>
      </c>
      <c r="AQ34" s="288">
        <f t="shared" si="66"/>
        <v>0</v>
      </c>
      <c r="AR34" s="289">
        <f t="shared" si="67"/>
        <v>0</v>
      </c>
      <c r="AS34" s="279">
        <f t="shared" ref="AS34:AS61" si="91">IF(G34="Annulation","",IF(Z34&gt;=43466,IF(Z34&lt;43831,M34,0),0))</f>
        <v>0</v>
      </c>
      <c r="AT34" s="288">
        <f t="shared" si="68"/>
        <v>0</v>
      </c>
      <c r="AU34" s="289">
        <f t="shared" si="69"/>
        <v>0</v>
      </c>
      <c r="AV34" s="279">
        <f t="shared" si="70"/>
        <v>0</v>
      </c>
      <c r="AW34" s="288">
        <f t="shared" si="71"/>
        <v>0</v>
      </c>
      <c r="AX34" s="289">
        <f t="shared" si="72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73"/>
        <v/>
      </c>
      <c r="BM34" s="270"/>
      <c r="BN34" s="271"/>
      <c r="BO34" s="272" t="str">
        <f t="shared" ca="1" si="74"/>
        <v/>
      </c>
      <c r="BP34" s="270"/>
      <c r="BQ34" s="271"/>
      <c r="BR34" s="272" t="str">
        <f t="shared" ca="1" si="75"/>
        <v/>
      </c>
      <c r="BS34" s="270"/>
      <c r="BT34" s="271"/>
      <c r="BU34" s="272" t="str">
        <f t="shared" ca="1" si="76"/>
        <v/>
      </c>
      <c r="BV34" s="270"/>
      <c r="BW34" s="271"/>
      <c r="BX34" s="272" t="str">
        <f t="shared" ca="1" si="77"/>
        <v/>
      </c>
      <c r="BY34" s="270"/>
      <c r="BZ34" s="271"/>
      <c r="CA34" s="272" t="str">
        <f t="shared" ca="1" si="78"/>
        <v/>
      </c>
      <c r="CB34" s="270"/>
      <c r="CC34" s="271"/>
      <c r="CD34" s="272" t="str">
        <f t="shared" ca="1" si="79"/>
        <v/>
      </c>
      <c r="CE34" s="270"/>
      <c r="CF34" s="271"/>
      <c r="CG34" s="272" t="str">
        <f t="shared" ca="1" si="80"/>
        <v/>
      </c>
      <c r="CH34" s="270"/>
      <c r="CI34" s="271"/>
      <c r="CJ34" s="272" t="str">
        <f t="shared" ca="1" si="81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si="12"/>
        <v/>
      </c>
      <c r="CU34" s="264"/>
      <c r="CV34" s="265"/>
      <c r="CW34" s="264"/>
      <c r="CX34" s="264"/>
      <c r="CY34" s="264" t="str">
        <f t="shared" si="13"/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si="82"/>
        <v>0</v>
      </c>
      <c r="DN34" s="295" t="str">
        <f t="shared" si="83"/>
        <v/>
      </c>
      <c r="DO34" s="392" t="str">
        <f t="shared" si="84"/>
        <v/>
      </c>
      <c r="DP34" s="392" t="str">
        <f t="shared" si="85"/>
        <v/>
      </c>
      <c r="DQ34" s="456" t="str">
        <f t="shared" si="86"/>
        <v/>
      </c>
      <c r="DR34" s="456" t="str">
        <f t="shared" si="87"/>
        <v/>
      </c>
    </row>
    <row r="35" spans="1:122" x14ac:dyDescent="0.25">
      <c r="A35" s="599" t="str">
        <f t="shared" si="88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50"/>
        <v/>
      </c>
      <c r="J35" s="312"/>
      <c r="K35" s="268"/>
      <c r="L35" s="277"/>
      <c r="M35" s="279"/>
      <c r="N35" s="280"/>
      <c r="O35" s="280"/>
      <c r="P35" s="455"/>
      <c r="Q35" s="281" t="str">
        <f t="shared" si="51"/>
        <v/>
      </c>
      <c r="R35" s="282">
        <f t="shared" si="52"/>
        <v>0</v>
      </c>
      <c r="S35" s="268"/>
      <c r="T35" s="283">
        <f t="shared" si="48"/>
        <v>0</v>
      </c>
      <c r="U35" s="284">
        <f>IF(M35=0,0,IF(G35="Annulation","",IF(assurance="ALPTIS",M35*12*T35/100*'Complet Data'!$K$4,IF(assurance="APRIL",M35*12*T35/100*'Complet Data'!$F$4,IF(assurance="ASAF",M35*12*T35/100*'Complet Data'!$I$4,IF(assurance="NEOLIANE",('Complet Data'!$G$5+M35*12*'Complet Data'!$G$4)*T35/100,IF(assurance="NEOLIANE Prev",('Complet Data'!$H$5+M35*12*'Complet Data'!$H$4)*T35/100,IF(assurance="SWISSLIFE",M35*12*T35/100*'Complet Data'!$J$4,IF(assurance="AVIVA",M35*12*T35/100*'Complet Data'!$L$4,IF(assurance="CIPRES",M35*12*T35/100*'Complet Data'!$M$4,IF(assurance="CEGEMA",M35*12*T35/100*'Complet Data'!$N$4,IF(assurance=0,0))))))))))))</f>
        <v>0</v>
      </c>
      <c r="V35" s="298" t="str">
        <f t="shared" si="53"/>
        <v/>
      </c>
      <c r="W35" s="298" t="str">
        <f t="shared" si="54"/>
        <v/>
      </c>
      <c r="X35" s="299">
        <f t="shared" si="55"/>
        <v>0</v>
      </c>
      <c r="Y35" s="368">
        <f t="shared" si="56"/>
        <v>0</v>
      </c>
      <c r="Z35" s="314"/>
      <c r="AA35" s="313" t="str">
        <f t="shared" si="57"/>
        <v/>
      </c>
      <c r="AB35" s="268" t="s">
        <v>13</v>
      </c>
      <c r="AC35" s="277"/>
      <c r="AD35" s="309" t="str">
        <f t="shared" si="49"/>
        <v/>
      </c>
      <c r="AE35" s="286" t="str">
        <f t="shared" si="47"/>
        <v/>
      </c>
      <c r="AF35" s="277"/>
      <c r="AG35" s="275" t="str">
        <f t="shared" si="58"/>
        <v/>
      </c>
      <c r="AH35" s="287" t="str">
        <f t="shared" ca="1" si="59"/>
        <v/>
      </c>
      <c r="AI35" s="373" t="str">
        <f t="shared" ca="1" si="60"/>
        <v/>
      </c>
      <c r="AJ35" s="296" t="str">
        <f t="shared" si="61"/>
        <v/>
      </c>
      <c r="AK35" s="296" t="str">
        <f t="shared" si="62"/>
        <v/>
      </c>
      <c r="AL35" s="287" t="str">
        <f t="shared" si="63"/>
        <v/>
      </c>
      <c r="AM35" s="279">
        <f t="shared" si="64"/>
        <v>0</v>
      </c>
      <c r="AN35" s="279">
        <f t="shared" si="89"/>
        <v>0</v>
      </c>
      <c r="AO35" s="288">
        <f t="shared" si="65"/>
        <v>0</v>
      </c>
      <c r="AP35" s="279">
        <f t="shared" si="90"/>
        <v>0</v>
      </c>
      <c r="AQ35" s="288">
        <f t="shared" si="66"/>
        <v>0</v>
      </c>
      <c r="AR35" s="289">
        <f t="shared" si="67"/>
        <v>0</v>
      </c>
      <c r="AS35" s="279">
        <f t="shared" si="91"/>
        <v>0</v>
      </c>
      <c r="AT35" s="288">
        <f t="shared" si="68"/>
        <v>0</v>
      </c>
      <c r="AU35" s="289">
        <f t="shared" si="69"/>
        <v>0</v>
      </c>
      <c r="AV35" s="279">
        <f t="shared" si="70"/>
        <v>0</v>
      </c>
      <c r="AW35" s="288">
        <f t="shared" si="71"/>
        <v>0</v>
      </c>
      <c r="AX35" s="289">
        <f t="shared" si="72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73"/>
        <v/>
      </c>
      <c r="BM35" s="270"/>
      <c r="BN35" s="271"/>
      <c r="BO35" s="272" t="str">
        <f t="shared" ca="1" si="74"/>
        <v/>
      </c>
      <c r="BP35" s="270"/>
      <c r="BQ35" s="271"/>
      <c r="BR35" s="272" t="str">
        <f t="shared" ca="1" si="75"/>
        <v/>
      </c>
      <c r="BS35" s="270"/>
      <c r="BT35" s="271"/>
      <c r="BU35" s="272" t="str">
        <f t="shared" ca="1" si="76"/>
        <v/>
      </c>
      <c r="BV35" s="270"/>
      <c r="BW35" s="271"/>
      <c r="BX35" s="272" t="str">
        <f t="shared" ca="1" si="77"/>
        <v/>
      </c>
      <c r="BY35" s="270"/>
      <c r="BZ35" s="271"/>
      <c r="CA35" s="272" t="str">
        <f t="shared" ca="1" si="78"/>
        <v/>
      </c>
      <c r="CB35" s="270"/>
      <c r="CC35" s="271"/>
      <c r="CD35" s="272" t="str">
        <f t="shared" ca="1" si="79"/>
        <v/>
      </c>
      <c r="CE35" s="270"/>
      <c r="CF35" s="271"/>
      <c r="CG35" s="272" t="str">
        <f t="shared" ca="1" si="80"/>
        <v/>
      </c>
      <c r="CH35" s="270"/>
      <c r="CI35" s="271"/>
      <c r="CJ35" s="272" t="str">
        <f t="shared" ca="1" si="81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12"/>
        <v/>
      </c>
      <c r="CU35" s="264"/>
      <c r="CV35" s="265"/>
      <c r="CW35" s="264"/>
      <c r="CX35" s="264"/>
      <c r="CY35" s="264" t="str">
        <f t="shared" si="13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82"/>
        <v>0</v>
      </c>
      <c r="DN35" s="295" t="str">
        <f t="shared" si="83"/>
        <v/>
      </c>
      <c r="DO35" s="392" t="str">
        <f t="shared" si="84"/>
        <v/>
      </c>
      <c r="DP35" s="392" t="str">
        <f t="shared" si="85"/>
        <v/>
      </c>
      <c r="DQ35" s="456" t="str">
        <f t="shared" si="86"/>
        <v/>
      </c>
      <c r="DR35" s="456" t="str">
        <f t="shared" si="87"/>
        <v/>
      </c>
    </row>
    <row r="36" spans="1:122" x14ac:dyDescent="0.25">
      <c r="A36" s="599" t="str">
        <f t="shared" si="88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50"/>
        <v/>
      </c>
      <c r="J36" s="312"/>
      <c r="K36" s="268"/>
      <c r="L36" s="277"/>
      <c r="M36" s="279"/>
      <c r="N36" s="280"/>
      <c r="O36" s="280"/>
      <c r="P36" s="455"/>
      <c r="Q36" s="281" t="str">
        <f t="shared" si="51"/>
        <v/>
      </c>
      <c r="R36" s="282">
        <f t="shared" si="52"/>
        <v>0</v>
      </c>
      <c r="S36" s="268"/>
      <c r="T36" s="283">
        <f t="shared" si="48"/>
        <v>0</v>
      </c>
      <c r="U36" s="284">
        <f>IF(M36=0,0,IF(G36="Annulation","",IF(assurance="ALPTIS",M36*12*T36/100*'Complet Data'!$K$4,IF(assurance="APRIL",M36*12*T36/100*'Complet Data'!$F$4,IF(assurance="ASAF",M36*12*T36/100*'Complet Data'!$I$4,IF(assurance="NEOLIANE",('Complet Data'!$G$5+M36*12*'Complet Data'!$G$4)*T36/100,IF(assurance="NEOLIANE Prev",('Complet Data'!$H$5+M36*12*'Complet Data'!$H$4)*T36/100,IF(assurance="SWISSLIFE",M36*12*T36/100*'Complet Data'!$J$4,IF(assurance="AVIVA",M36*12*T36/100*'Complet Data'!$L$4,IF(assurance="CIPRES",M36*12*T36/100*'Complet Data'!$M$4,IF(assurance="CEGEMA",M36*12*T36/100*'Complet Data'!$N$4,IF(assurance=0,0))))))))))))</f>
        <v>0</v>
      </c>
      <c r="V36" s="298" t="str">
        <f t="shared" si="53"/>
        <v/>
      </c>
      <c r="W36" s="298" t="str">
        <f t="shared" si="54"/>
        <v/>
      </c>
      <c r="X36" s="299">
        <f t="shared" si="55"/>
        <v>0</v>
      </c>
      <c r="Y36" s="368">
        <f t="shared" si="56"/>
        <v>0</v>
      </c>
      <c r="Z36" s="314"/>
      <c r="AA36" s="313" t="str">
        <f t="shared" si="57"/>
        <v/>
      </c>
      <c r="AB36" s="268" t="s">
        <v>13</v>
      </c>
      <c r="AC36" s="277"/>
      <c r="AD36" s="309" t="str">
        <f t="shared" si="49"/>
        <v/>
      </c>
      <c r="AE36" s="286" t="str">
        <f t="shared" ref="AE36:AE61" si="92">IF(Z36=43466,43404,"")</f>
        <v/>
      </c>
      <c r="AF36" s="277"/>
      <c r="AG36" s="275" t="str">
        <f t="shared" si="58"/>
        <v/>
      </c>
      <c r="AH36" s="287" t="str">
        <f t="shared" ca="1" si="59"/>
        <v/>
      </c>
      <c r="AI36" s="373" t="str">
        <f t="shared" ca="1" si="60"/>
        <v/>
      </c>
      <c r="AJ36" s="296" t="str">
        <f t="shared" si="61"/>
        <v/>
      </c>
      <c r="AK36" s="296" t="str">
        <f t="shared" si="62"/>
        <v/>
      </c>
      <c r="AL36" s="287" t="str">
        <f t="shared" si="63"/>
        <v/>
      </c>
      <c r="AM36" s="279">
        <f t="shared" si="64"/>
        <v>0</v>
      </c>
      <c r="AN36" s="279">
        <f t="shared" si="89"/>
        <v>0</v>
      </c>
      <c r="AO36" s="288">
        <f t="shared" si="65"/>
        <v>0</v>
      </c>
      <c r="AP36" s="279">
        <f t="shared" si="90"/>
        <v>0</v>
      </c>
      <c r="AQ36" s="288">
        <f t="shared" si="66"/>
        <v>0</v>
      </c>
      <c r="AR36" s="289">
        <f t="shared" si="67"/>
        <v>0</v>
      </c>
      <c r="AS36" s="279">
        <f t="shared" si="91"/>
        <v>0</v>
      </c>
      <c r="AT36" s="288">
        <f t="shared" si="68"/>
        <v>0</v>
      </c>
      <c r="AU36" s="289">
        <f t="shared" si="69"/>
        <v>0</v>
      </c>
      <c r="AV36" s="279">
        <f t="shared" si="70"/>
        <v>0</v>
      </c>
      <c r="AW36" s="288">
        <f t="shared" si="71"/>
        <v>0</v>
      </c>
      <c r="AX36" s="289">
        <f t="shared" si="72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73"/>
        <v/>
      </c>
      <c r="BM36" s="270"/>
      <c r="BN36" s="271"/>
      <c r="BO36" s="272" t="str">
        <f t="shared" ca="1" si="74"/>
        <v/>
      </c>
      <c r="BP36" s="270"/>
      <c r="BQ36" s="271"/>
      <c r="BR36" s="272" t="str">
        <f t="shared" ca="1" si="75"/>
        <v/>
      </c>
      <c r="BS36" s="270"/>
      <c r="BT36" s="271"/>
      <c r="BU36" s="272" t="str">
        <f t="shared" ca="1" si="76"/>
        <v/>
      </c>
      <c r="BV36" s="270"/>
      <c r="BW36" s="271"/>
      <c r="BX36" s="272" t="str">
        <f t="shared" ca="1" si="77"/>
        <v/>
      </c>
      <c r="BY36" s="270"/>
      <c r="BZ36" s="271"/>
      <c r="CA36" s="272" t="str">
        <f t="shared" ca="1" si="78"/>
        <v/>
      </c>
      <c r="CB36" s="270"/>
      <c r="CC36" s="271"/>
      <c r="CD36" s="272" t="str">
        <f t="shared" ca="1" si="79"/>
        <v/>
      </c>
      <c r="CE36" s="270"/>
      <c r="CF36" s="271"/>
      <c r="CG36" s="272" t="str">
        <f t="shared" ca="1" si="80"/>
        <v/>
      </c>
      <c r="CH36" s="270"/>
      <c r="CI36" s="271"/>
      <c r="CJ36" s="272" t="str">
        <f t="shared" ca="1" si="81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12"/>
        <v/>
      </c>
      <c r="CU36" s="264"/>
      <c r="CV36" s="265"/>
      <c r="CW36" s="264"/>
      <c r="CX36" s="264"/>
      <c r="CY36" s="264" t="str">
        <f t="shared" si="13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82"/>
        <v>0</v>
      </c>
      <c r="DN36" s="295" t="str">
        <f t="shared" si="83"/>
        <v/>
      </c>
      <c r="DO36" s="392" t="str">
        <f t="shared" si="84"/>
        <v/>
      </c>
      <c r="DP36" s="392" t="str">
        <f t="shared" si="85"/>
        <v/>
      </c>
      <c r="DQ36" s="456" t="str">
        <f t="shared" si="86"/>
        <v/>
      </c>
      <c r="DR36" s="456" t="str">
        <f t="shared" si="87"/>
        <v/>
      </c>
    </row>
    <row r="37" spans="1:122" x14ac:dyDescent="0.25">
      <c r="A37" s="599" t="str">
        <f t="shared" si="88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50"/>
        <v/>
      </c>
      <c r="J37" s="312"/>
      <c r="K37" s="268"/>
      <c r="L37" s="277"/>
      <c r="M37" s="279"/>
      <c r="N37" s="280"/>
      <c r="O37" s="280"/>
      <c r="P37" s="455"/>
      <c r="Q37" s="281" t="str">
        <f t="shared" si="51"/>
        <v/>
      </c>
      <c r="R37" s="282">
        <f t="shared" si="52"/>
        <v>0</v>
      </c>
      <c r="S37" s="268"/>
      <c r="T37" s="283">
        <f t="shared" si="48"/>
        <v>0</v>
      </c>
      <c r="U37" s="284">
        <f>IF(M37=0,0,IF(G37="Annulation","",IF(assurance="ALPTIS",M37*12*T37/100*'Complet Data'!$K$4,IF(assurance="APRIL",M37*12*T37/100*'Complet Data'!$F$4,IF(assurance="ASAF",M37*12*T37/100*'Complet Data'!$I$4,IF(assurance="NEOLIANE",('Complet Data'!$G$5+M37*12*'Complet Data'!$G$4)*T37/100,IF(assurance="NEOLIANE Prev",('Complet Data'!$H$5+M37*12*'Complet Data'!$H$4)*T37/100,IF(assurance="SWISSLIFE",M37*12*T37/100*'Complet Data'!$J$4,IF(assurance="AVIVA",M37*12*T37/100*'Complet Data'!$L$4,IF(assurance="CIPRES",M37*12*T37/100*'Complet Data'!$M$4,IF(assurance="CEGEMA",M37*12*T37/100*'Complet Data'!$N$4,IF(assurance=0,0))))))))))))</f>
        <v>0</v>
      </c>
      <c r="V37" s="298" t="str">
        <f t="shared" si="53"/>
        <v/>
      </c>
      <c r="W37" s="298" t="str">
        <f t="shared" si="54"/>
        <v/>
      </c>
      <c r="X37" s="299">
        <f t="shared" si="55"/>
        <v>0</v>
      </c>
      <c r="Y37" s="368">
        <f t="shared" si="56"/>
        <v>0</v>
      </c>
      <c r="Z37" s="314"/>
      <c r="AA37" s="313" t="str">
        <f t="shared" si="57"/>
        <v/>
      </c>
      <c r="AB37" s="268" t="s">
        <v>13</v>
      </c>
      <c r="AC37" s="277"/>
      <c r="AD37" s="309" t="str">
        <f t="shared" si="49"/>
        <v/>
      </c>
      <c r="AE37" s="286" t="str">
        <f t="shared" si="92"/>
        <v/>
      </c>
      <c r="AF37" s="277"/>
      <c r="AG37" s="275" t="str">
        <f t="shared" si="58"/>
        <v/>
      </c>
      <c r="AH37" s="287" t="str">
        <f t="shared" ca="1" si="59"/>
        <v/>
      </c>
      <c r="AI37" s="373" t="str">
        <f t="shared" ca="1" si="60"/>
        <v/>
      </c>
      <c r="AJ37" s="296" t="str">
        <f t="shared" si="61"/>
        <v/>
      </c>
      <c r="AK37" s="296" t="str">
        <f t="shared" si="62"/>
        <v/>
      </c>
      <c r="AL37" s="287" t="str">
        <f t="shared" si="63"/>
        <v/>
      </c>
      <c r="AM37" s="279">
        <f t="shared" si="64"/>
        <v>0</v>
      </c>
      <c r="AN37" s="279">
        <f t="shared" si="89"/>
        <v>0</v>
      </c>
      <c r="AO37" s="288">
        <f t="shared" si="65"/>
        <v>0</v>
      </c>
      <c r="AP37" s="279">
        <f t="shared" si="90"/>
        <v>0</v>
      </c>
      <c r="AQ37" s="288">
        <f t="shared" si="66"/>
        <v>0</v>
      </c>
      <c r="AR37" s="289">
        <f t="shared" si="67"/>
        <v>0</v>
      </c>
      <c r="AS37" s="279">
        <f t="shared" si="91"/>
        <v>0</v>
      </c>
      <c r="AT37" s="288">
        <f t="shared" si="68"/>
        <v>0</v>
      </c>
      <c r="AU37" s="289">
        <f t="shared" si="69"/>
        <v>0</v>
      </c>
      <c r="AV37" s="279">
        <f t="shared" si="70"/>
        <v>0</v>
      </c>
      <c r="AW37" s="288">
        <f t="shared" si="71"/>
        <v>0</v>
      </c>
      <c r="AX37" s="289">
        <f t="shared" si="72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73"/>
        <v/>
      </c>
      <c r="BM37" s="270"/>
      <c r="BN37" s="271"/>
      <c r="BO37" s="272" t="str">
        <f t="shared" ca="1" si="74"/>
        <v/>
      </c>
      <c r="BP37" s="270"/>
      <c r="BQ37" s="271"/>
      <c r="BR37" s="272" t="str">
        <f t="shared" ca="1" si="75"/>
        <v/>
      </c>
      <c r="BS37" s="270"/>
      <c r="BT37" s="271"/>
      <c r="BU37" s="272" t="str">
        <f t="shared" ca="1" si="76"/>
        <v/>
      </c>
      <c r="BV37" s="270"/>
      <c r="BW37" s="271"/>
      <c r="BX37" s="272" t="str">
        <f t="shared" ca="1" si="77"/>
        <v/>
      </c>
      <c r="BY37" s="270"/>
      <c r="BZ37" s="271"/>
      <c r="CA37" s="272" t="str">
        <f t="shared" ca="1" si="78"/>
        <v/>
      </c>
      <c r="CB37" s="270"/>
      <c r="CC37" s="271"/>
      <c r="CD37" s="272" t="str">
        <f t="shared" ca="1" si="79"/>
        <v/>
      </c>
      <c r="CE37" s="270"/>
      <c r="CF37" s="271"/>
      <c r="CG37" s="272" t="str">
        <f t="shared" ca="1" si="80"/>
        <v/>
      </c>
      <c r="CH37" s="270"/>
      <c r="CI37" s="271"/>
      <c r="CJ37" s="272" t="str">
        <f t="shared" ca="1" si="81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12"/>
        <v/>
      </c>
      <c r="CU37" s="264"/>
      <c r="CV37" s="265"/>
      <c r="CW37" s="264"/>
      <c r="CX37" s="264"/>
      <c r="CY37" s="264" t="str">
        <f t="shared" si="13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82"/>
        <v>0</v>
      </c>
      <c r="DN37" s="295" t="str">
        <f t="shared" si="83"/>
        <v/>
      </c>
      <c r="DO37" s="392" t="str">
        <f t="shared" si="84"/>
        <v/>
      </c>
      <c r="DP37" s="392" t="str">
        <f t="shared" si="85"/>
        <v/>
      </c>
      <c r="DQ37" s="456" t="str">
        <f t="shared" si="86"/>
        <v/>
      </c>
      <c r="DR37" s="456" t="str">
        <f t="shared" si="87"/>
        <v/>
      </c>
    </row>
    <row r="38" spans="1:122" x14ac:dyDescent="0.25">
      <c r="A38" s="599" t="str">
        <f t="shared" si="88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50"/>
        <v/>
      </c>
      <c r="J38" s="312"/>
      <c r="K38" s="268"/>
      <c r="L38" s="277"/>
      <c r="M38" s="279"/>
      <c r="N38" s="280"/>
      <c r="O38" s="280"/>
      <c r="P38" s="455"/>
      <c r="Q38" s="281" t="str">
        <f t="shared" si="51"/>
        <v/>
      </c>
      <c r="R38" s="282">
        <f t="shared" si="52"/>
        <v>0</v>
      </c>
      <c r="S38" s="268"/>
      <c r="T38" s="283">
        <f t="shared" si="48"/>
        <v>0</v>
      </c>
      <c r="U38" s="284">
        <f>IF(M38=0,0,IF(G38="Annulation","",IF(assurance="ALPTIS",M38*12*T38/100*'Complet Data'!$K$4,IF(assurance="APRIL",M38*12*T38/100*'Complet Data'!$F$4,IF(assurance="ASAF",M38*12*T38/100*'Complet Data'!$I$4,IF(assurance="NEOLIANE",('Complet Data'!$G$5+M38*12*'Complet Data'!$G$4)*T38/100,IF(assurance="NEOLIANE Prev",('Complet Data'!$H$5+M38*12*'Complet Data'!$H$4)*T38/100,IF(assurance="SWISSLIFE",M38*12*T38/100*'Complet Data'!$J$4,IF(assurance="AVIVA",M38*12*T38/100*'Complet Data'!$L$4,IF(assurance="CIPRES",M38*12*T38/100*'Complet Data'!$M$4,IF(assurance="CEGEMA",M38*12*T38/100*'Complet Data'!$N$4,IF(assurance=0,0))))))))))))</f>
        <v>0</v>
      </c>
      <c r="V38" s="298" t="str">
        <f t="shared" si="53"/>
        <v/>
      </c>
      <c r="W38" s="298" t="str">
        <f t="shared" si="54"/>
        <v/>
      </c>
      <c r="X38" s="299">
        <f t="shared" si="55"/>
        <v>0</v>
      </c>
      <c r="Y38" s="368">
        <f t="shared" si="56"/>
        <v>0</v>
      </c>
      <c r="Z38" s="314"/>
      <c r="AA38" s="313" t="str">
        <f t="shared" si="57"/>
        <v/>
      </c>
      <c r="AB38" s="268" t="s">
        <v>13</v>
      </c>
      <c r="AC38" s="277"/>
      <c r="AD38" s="309" t="str">
        <f t="shared" si="49"/>
        <v/>
      </c>
      <c r="AE38" s="286" t="str">
        <f t="shared" si="92"/>
        <v/>
      </c>
      <c r="AF38" s="277"/>
      <c r="AG38" s="275" t="str">
        <f t="shared" si="58"/>
        <v/>
      </c>
      <c r="AH38" s="287" t="str">
        <f t="shared" ca="1" si="59"/>
        <v/>
      </c>
      <c r="AI38" s="373" t="str">
        <f t="shared" ca="1" si="60"/>
        <v/>
      </c>
      <c r="AJ38" s="296" t="str">
        <f t="shared" si="61"/>
        <v/>
      </c>
      <c r="AK38" s="296" t="str">
        <f t="shared" si="62"/>
        <v/>
      </c>
      <c r="AL38" s="287" t="str">
        <f t="shared" si="63"/>
        <v/>
      </c>
      <c r="AM38" s="279">
        <f t="shared" si="64"/>
        <v>0</v>
      </c>
      <c r="AN38" s="279">
        <f t="shared" si="89"/>
        <v>0</v>
      </c>
      <c r="AO38" s="288">
        <f t="shared" si="65"/>
        <v>0</v>
      </c>
      <c r="AP38" s="279">
        <f t="shared" si="90"/>
        <v>0</v>
      </c>
      <c r="AQ38" s="288">
        <f t="shared" si="66"/>
        <v>0</v>
      </c>
      <c r="AR38" s="289">
        <f t="shared" si="67"/>
        <v>0</v>
      </c>
      <c r="AS38" s="279">
        <f t="shared" si="91"/>
        <v>0</v>
      </c>
      <c r="AT38" s="288">
        <f t="shared" si="68"/>
        <v>0</v>
      </c>
      <c r="AU38" s="289">
        <f t="shared" si="69"/>
        <v>0</v>
      </c>
      <c r="AV38" s="279">
        <f t="shared" si="70"/>
        <v>0</v>
      </c>
      <c r="AW38" s="288">
        <f t="shared" si="71"/>
        <v>0</v>
      </c>
      <c r="AX38" s="289">
        <f t="shared" si="72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73"/>
        <v/>
      </c>
      <c r="BM38" s="270"/>
      <c r="BN38" s="271"/>
      <c r="BO38" s="272" t="str">
        <f t="shared" ca="1" si="74"/>
        <v/>
      </c>
      <c r="BP38" s="270"/>
      <c r="BQ38" s="271"/>
      <c r="BR38" s="272" t="str">
        <f t="shared" ca="1" si="75"/>
        <v/>
      </c>
      <c r="BS38" s="270"/>
      <c r="BT38" s="271"/>
      <c r="BU38" s="272" t="str">
        <f t="shared" ca="1" si="76"/>
        <v/>
      </c>
      <c r="BV38" s="270"/>
      <c r="BW38" s="271"/>
      <c r="BX38" s="272" t="str">
        <f t="shared" ca="1" si="77"/>
        <v/>
      </c>
      <c r="BY38" s="270"/>
      <c r="BZ38" s="271"/>
      <c r="CA38" s="272" t="str">
        <f t="shared" ca="1" si="78"/>
        <v/>
      </c>
      <c r="CB38" s="270"/>
      <c r="CC38" s="271"/>
      <c r="CD38" s="272" t="str">
        <f t="shared" ca="1" si="79"/>
        <v/>
      </c>
      <c r="CE38" s="270"/>
      <c r="CF38" s="271"/>
      <c r="CG38" s="272" t="str">
        <f t="shared" ca="1" si="80"/>
        <v/>
      </c>
      <c r="CH38" s="270"/>
      <c r="CI38" s="271"/>
      <c r="CJ38" s="272" t="str">
        <f t="shared" ca="1" si="81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ref="CT38:CT61" si="93">IF(J38="Prev. Pro",IF(BL38=118,"",BL38),"")</f>
        <v/>
      </c>
      <c r="CU38" s="264"/>
      <c r="CV38" s="265"/>
      <c r="CW38" s="264"/>
      <c r="CX38" s="264"/>
      <c r="CY38" s="264" t="str">
        <f t="shared" si="13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82"/>
        <v>0</v>
      </c>
      <c r="DN38" s="295" t="str">
        <f t="shared" si="83"/>
        <v/>
      </c>
      <c r="DO38" s="392" t="str">
        <f t="shared" si="84"/>
        <v/>
      </c>
      <c r="DP38" s="392" t="str">
        <f t="shared" si="85"/>
        <v/>
      </c>
      <c r="DQ38" s="456" t="str">
        <f t="shared" si="86"/>
        <v/>
      </c>
      <c r="DR38" s="456" t="str">
        <f t="shared" si="87"/>
        <v/>
      </c>
    </row>
    <row r="39" spans="1:122" x14ac:dyDescent="0.25">
      <c r="A39" s="599" t="str">
        <f t="shared" si="88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50"/>
        <v/>
      </c>
      <c r="J39" s="312"/>
      <c r="K39" s="268"/>
      <c r="L39" s="277"/>
      <c r="M39" s="279"/>
      <c r="N39" s="280"/>
      <c r="O39" s="280"/>
      <c r="P39" s="455"/>
      <c r="Q39" s="281" t="str">
        <f t="shared" si="51"/>
        <v/>
      </c>
      <c r="R39" s="282">
        <f t="shared" si="52"/>
        <v>0</v>
      </c>
      <c r="S39" s="268"/>
      <c r="T39" s="283">
        <f t="shared" si="48"/>
        <v>0</v>
      </c>
      <c r="U39" s="284">
        <f>IF(M39=0,0,IF(G39="Annulation","",IF(assurance="ALPTIS",M39*12*T39/100*'Complet Data'!$K$4,IF(assurance="APRIL",M39*12*T39/100*'Complet Data'!$F$4,IF(assurance="ASAF",M39*12*T39/100*'Complet Data'!$I$4,IF(assurance="NEOLIANE",('Complet Data'!$G$5+M39*12*'Complet Data'!$G$4)*T39/100,IF(assurance="NEOLIANE Prev",('Complet Data'!$H$5+M39*12*'Complet Data'!$H$4)*T39/100,IF(assurance="SWISSLIFE",M39*12*T39/100*'Complet Data'!$J$4,IF(assurance="AVIVA",M39*12*T39/100*'Complet Data'!$L$4,IF(assurance="CIPRES",M39*12*T39/100*'Complet Data'!$M$4,IF(assurance="CEGEMA",M39*12*T39/100*'Complet Data'!$N$4,IF(assurance=0,0))))))))))))</f>
        <v>0</v>
      </c>
      <c r="V39" s="298" t="str">
        <f t="shared" si="53"/>
        <v/>
      </c>
      <c r="W39" s="298" t="str">
        <f t="shared" si="54"/>
        <v/>
      </c>
      <c r="X39" s="299">
        <f t="shared" si="55"/>
        <v>0</v>
      </c>
      <c r="Y39" s="368">
        <f t="shared" si="56"/>
        <v>0</v>
      </c>
      <c r="Z39" s="314"/>
      <c r="AA39" s="313" t="str">
        <f t="shared" si="57"/>
        <v/>
      </c>
      <c r="AB39" s="268" t="s">
        <v>13</v>
      </c>
      <c r="AC39" s="277"/>
      <c r="AD39" s="309" t="str">
        <f t="shared" si="49"/>
        <v/>
      </c>
      <c r="AE39" s="286" t="str">
        <f t="shared" si="92"/>
        <v/>
      </c>
      <c r="AF39" s="277"/>
      <c r="AG39" s="275" t="str">
        <f t="shared" si="58"/>
        <v/>
      </c>
      <c r="AH39" s="287" t="str">
        <f t="shared" ca="1" si="59"/>
        <v/>
      </c>
      <c r="AI39" s="373" t="str">
        <f t="shared" ca="1" si="60"/>
        <v/>
      </c>
      <c r="AJ39" s="296" t="str">
        <f t="shared" si="61"/>
        <v/>
      </c>
      <c r="AK39" s="296" t="str">
        <f t="shared" si="62"/>
        <v/>
      </c>
      <c r="AL39" s="287" t="str">
        <f t="shared" si="63"/>
        <v/>
      </c>
      <c r="AM39" s="279">
        <f t="shared" si="64"/>
        <v>0</v>
      </c>
      <c r="AN39" s="279">
        <f t="shared" si="89"/>
        <v>0</v>
      </c>
      <c r="AO39" s="288">
        <f t="shared" si="65"/>
        <v>0</v>
      </c>
      <c r="AP39" s="279">
        <f t="shared" si="90"/>
        <v>0</v>
      </c>
      <c r="AQ39" s="288">
        <f t="shared" si="66"/>
        <v>0</v>
      </c>
      <c r="AR39" s="289">
        <f t="shared" si="67"/>
        <v>0</v>
      </c>
      <c r="AS39" s="279">
        <f t="shared" si="91"/>
        <v>0</v>
      </c>
      <c r="AT39" s="288">
        <f t="shared" si="68"/>
        <v>0</v>
      </c>
      <c r="AU39" s="289">
        <f t="shared" si="69"/>
        <v>0</v>
      </c>
      <c r="AV39" s="279">
        <f t="shared" si="70"/>
        <v>0</v>
      </c>
      <c r="AW39" s="288">
        <f t="shared" si="71"/>
        <v>0</v>
      </c>
      <c r="AX39" s="289">
        <f t="shared" si="72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73"/>
        <v/>
      </c>
      <c r="BM39" s="270"/>
      <c r="BN39" s="271"/>
      <c r="BO39" s="272" t="str">
        <f t="shared" ca="1" si="74"/>
        <v/>
      </c>
      <c r="BP39" s="270"/>
      <c r="BQ39" s="271"/>
      <c r="BR39" s="272" t="str">
        <f t="shared" ca="1" si="75"/>
        <v/>
      </c>
      <c r="BS39" s="270"/>
      <c r="BT39" s="271"/>
      <c r="BU39" s="272" t="str">
        <f t="shared" ca="1" si="76"/>
        <v/>
      </c>
      <c r="BV39" s="270"/>
      <c r="BW39" s="271"/>
      <c r="BX39" s="272" t="str">
        <f t="shared" ca="1" si="77"/>
        <v/>
      </c>
      <c r="BY39" s="270"/>
      <c r="BZ39" s="271"/>
      <c r="CA39" s="272" t="str">
        <f t="shared" ca="1" si="78"/>
        <v/>
      </c>
      <c r="CB39" s="270"/>
      <c r="CC39" s="271"/>
      <c r="CD39" s="272" t="str">
        <f t="shared" ca="1" si="79"/>
        <v/>
      </c>
      <c r="CE39" s="270"/>
      <c r="CF39" s="271"/>
      <c r="CG39" s="272" t="str">
        <f t="shared" ca="1" si="80"/>
        <v/>
      </c>
      <c r="CH39" s="270"/>
      <c r="CI39" s="271"/>
      <c r="CJ39" s="272" t="str">
        <f t="shared" ca="1" si="81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si="93"/>
        <v/>
      </c>
      <c r="CU39" s="264"/>
      <c r="CV39" s="265"/>
      <c r="CW39" s="264"/>
      <c r="CX39" s="264"/>
      <c r="CY39" s="264" t="str">
        <f t="shared" si="13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82"/>
        <v>0</v>
      </c>
      <c r="DN39" s="295" t="str">
        <f t="shared" si="83"/>
        <v/>
      </c>
      <c r="DO39" s="392" t="str">
        <f t="shared" si="84"/>
        <v/>
      </c>
      <c r="DP39" s="392" t="str">
        <f t="shared" si="85"/>
        <v/>
      </c>
      <c r="DQ39" s="456" t="str">
        <f t="shared" si="86"/>
        <v/>
      </c>
      <c r="DR39" s="456" t="str">
        <f t="shared" si="87"/>
        <v/>
      </c>
    </row>
    <row r="40" spans="1:122" x14ac:dyDescent="0.25">
      <c r="A40" s="599" t="str">
        <f t="shared" si="88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50"/>
        <v/>
      </c>
      <c r="J40" s="312"/>
      <c r="K40" s="268"/>
      <c r="L40" s="277"/>
      <c r="M40" s="279"/>
      <c r="N40" s="280"/>
      <c r="O40" s="280"/>
      <c r="P40" s="455"/>
      <c r="Q40" s="281" t="str">
        <f t="shared" si="51"/>
        <v/>
      </c>
      <c r="R40" s="282">
        <f t="shared" si="52"/>
        <v>0</v>
      </c>
      <c r="S40" s="268"/>
      <c r="T40" s="283">
        <f t="shared" si="48"/>
        <v>0</v>
      </c>
      <c r="U40" s="284">
        <f>IF(M40=0,0,IF(G40="Annulation","",IF(assurance="ALPTIS",M40*12*T40/100*'Complet Data'!$K$4,IF(assurance="APRIL",M40*12*T40/100*'Complet Data'!$F$4,IF(assurance="ASAF",M40*12*T40/100*'Complet Data'!$I$4,IF(assurance="NEOLIANE",('Complet Data'!$G$5+M40*12*'Complet Data'!$G$4)*T40/100,IF(assurance="NEOLIANE Prev",('Complet Data'!$H$5+M40*12*'Complet Data'!$H$4)*T40/100,IF(assurance="SWISSLIFE",M40*12*T40/100*'Complet Data'!$J$4,IF(assurance="AVIVA",M40*12*T40/100*'Complet Data'!$L$4,IF(assurance="CIPRES",M40*12*T40/100*'Complet Data'!$M$4,IF(assurance="CEGEMA",M40*12*T40/100*'Complet Data'!$N$4,IF(assurance=0,0))))))))))))</f>
        <v>0</v>
      </c>
      <c r="V40" s="298" t="str">
        <f t="shared" si="53"/>
        <v/>
      </c>
      <c r="W40" s="298" t="str">
        <f t="shared" si="54"/>
        <v/>
      </c>
      <c r="X40" s="299">
        <f t="shared" si="55"/>
        <v>0</v>
      </c>
      <c r="Y40" s="368">
        <f t="shared" si="56"/>
        <v>0</v>
      </c>
      <c r="Z40" s="314"/>
      <c r="AA40" s="313" t="str">
        <f t="shared" si="57"/>
        <v/>
      </c>
      <c r="AB40" s="268" t="s">
        <v>13</v>
      </c>
      <c r="AC40" s="277"/>
      <c r="AD40" s="309" t="str">
        <f t="shared" si="49"/>
        <v/>
      </c>
      <c r="AE40" s="286" t="str">
        <f t="shared" si="92"/>
        <v/>
      </c>
      <c r="AF40" s="277"/>
      <c r="AG40" s="275" t="str">
        <f t="shared" si="58"/>
        <v/>
      </c>
      <c r="AH40" s="287" t="str">
        <f t="shared" ca="1" si="59"/>
        <v/>
      </c>
      <c r="AI40" s="373" t="str">
        <f t="shared" ca="1" si="60"/>
        <v/>
      </c>
      <c r="AJ40" s="296" t="str">
        <f t="shared" si="61"/>
        <v/>
      </c>
      <c r="AK40" s="296" t="str">
        <f t="shared" si="62"/>
        <v/>
      </c>
      <c r="AL40" s="287" t="str">
        <f t="shared" si="63"/>
        <v/>
      </c>
      <c r="AM40" s="279">
        <f t="shared" si="64"/>
        <v>0</v>
      </c>
      <c r="AN40" s="279">
        <f t="shared" si="89"/>
        <v>0</v>
      </c>
      <c r="AO40" s="288">
        <f t="shared" si="65"/>
        <v>0</v>
      </c>
      <c r="AP40" s="279">
        <f t="shared" si="90"/>
        <v>0</v>
      </c>
      <c r="AQ40" s="288">
        <f t="shared" si="66"/>
        <v>0</v>
      </c>
      <c r="AR40" s="289">
        <f t="shared" si="67"/>
        <v>0</v>
      </c>
      <c r="AS40" s="279">
        <f t="shared" si="91"/>
        <v>0</v>
      </c>
      <c r="AT40" s="288">
        <f t="shared" si="68"/>
        <v>0</v>
      </c>
      <c r="AU40" s="289">
        <f t="shared" si="69"/>
        <v>0</v>
      </c>
      <c r="AV40" s="279">
        <f t="shared" si="70"/>
        <v>0</v>
      </c>
      <c r="AW40" s="288">
        <f t="shared" si="71"/>
        <v>0</v>
      </c>
      <c r="AX40" s="289">
        <f t="shared" si="72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73"/>
        <v/>
      </c>
      <c r="BM40" s="270"/>
      <c r="BN40" s="271"/>
      <c r="BO40" s="272" t="str">
        <f t="shared" ca="1" si="74"/>
        <v/>
      </c>
      <c r="BP40" s="270"/>
      <c r="BQ40" s="271"/>
      <c r="BR40" s="272" t="str">
        <f t="shared" ca="1" si="75"/>
        <v/>
      </c>
      <c r="BS40" s="270"/>
      <c r="BT40" s="271"/>
      <c r="BU40" s="272" t="str">
        <f t="shared" ca="1" si="76"/>
        <v/>
      </c>
      <c r="BV40" s="270"/>
      <c r="BW40" s="271"/>
      <c r="BX40" s="272" t="str">
        <f t="shared" ca="1" si="77"/>
        <v/>
      </c>
      <c r="BY40" s="270"/>
      <c r="BZ40" s="271"/>
      <c r="CA40" s="272" t="str">
        <f t="shared" ca="1" si="78"/>
        <v/>
      </c>
      <c r="CB40" s="270"/>
      <c r="CC40" s="271"/>
      <c r="CD40" s="272" t="str">
        <f t="shared" ca="1" si="79"/>
        <v/>
      </c>
      <c r="CE40" s="270"/>
      <c r="CF40" s="271"/>
      <c r="CG40" s="272" t="str">
        <f t="shared" ca="1" si="80"/>
        <v/>
      </c>
      <c r="CH40" s="270"/>
      <c r="CI40" s="271"/>
      <c r="CJ40" s="272" t="str">
        <f t="shared" ca="1" si="81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93"/>
        <v/>
      </c>
      <c r="CU40" s="264"/>
      <c r="CV40" s="265"/>
      <c r="CW40" s="264"/>
      <c r="CX40" s="264"/>
      <c r="CY40" s="264" t="str">
        <f t="shared" si="13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82"/>
        <v>0</v>
      </c>
      <c r="DN40" s="295" t="str">
        <f t="shared" si="83"/>
        <v/>
      </c>
      <c r="DO40" s="392" t="str">
        <f t="shared" si="84"/>
        <v/>
      </c>
      <c r="DP40" s="392" t="str">
        <f t="shared" si="85"/>
        <v/>
      </c>
      <c r="DQ40" s="456" t="str">
        <f t="shared" si="86"/>
        <v/>
      </c>
      <c r="DR40" s="456" t="str">
        <f t="shared" si="87"/>
        <v/>
      </c>
    </row>
    <row r="41" spans="1:122" x14ac:dyDescent="0.25">
      <c r="A41" s="599" t="str">
        <f t="shared" si="88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50"/>
        <v/>
      </c>
      <c r="J41" s="312"/>
      <c r="K41" s="268"/>
      <c r="L41" s="277"/>
      <c r="M41" s="279"/>
      <c r="N41" s="280"/>
      <c r="O41" s="280"/>
      <c r="P41" s="455"/>
      <c r="Q41" s="281" t="str">
        <f t="shared" si="51"/>
        <v/>
      </c>
      <c r="R41" s="282">
        <f t="shared" si="52"/>
        <v>0</v>
      </c>
      <c r="S41" s="268"/>
      <c r="T41" s="283">
        <f t="shared" si="48"/>
        <v>0</v>
      </c>
      <c r="U41" s="284">
        <f>IF(M41=0,0,IF(G41="Annulation","",IF(assurance="ALPTIS",M41*12*T41/100*'Complet Data'!$K$4,IF(assurance="APRIL",M41*12*T41/100*'Complet Data'!$F$4,IF(assurance="ASAF",M41*12*T41/100*'Complet Data'!$I$4,IF(assurance="NEOLIANE",('Complet Data'!$G$5+M41*12*'Complet Data'!$G$4)*T41/100,IF(assurance="NEOLIANE Prev",('Complet Data'!$H$5+M41*12*'Complet Data'!$H$4)*T41/100,IF(assurance="SWISSLIFE",M41*12*T41/100*'Complet Data'!$J$4,IF(assurance="AVIVA",M41*12*T41/100*'Complet Data'!$L$4,IF(assurance="CIPRES",M41*12*T41/100*'Complet Data'!$M$4,IF(assurance="CEGEMA",M41*12*T41/100*'Complet Data'!$N$4,IF(assurance=0,0))))))))))))</f>
        <v>0</v>
      </c>
      <c r="V41" s="298" t="str">
        <f t="shared" si="53"/>
        <v/>
      </c>
      <c r="W41" s="298" t="str">
        <f t="shared" si="54"/>
        <v/>
      </c>
      <c r="X41" s="299">
        <f t="shared" si="55"/>
        <v>0</v>
      </c>
      <c r="Y41" s="368">
        <f t="shared" si="56"/>
        <v>0</v>
      </c>
      <c r="Z41" s="314"/>
      <c r="AA41" s="313" t="str">
        <f t="shared" si="57"/>
        <v/>
      </c>
      <c r="AB41" s="268" t="s">
        <v>13</v>
      </c>
      <c r="AC41" s="277"/>
      <c r="AD41" s="309" t="str">
        <f t="shared" si="49"/>
        <v/>
      </c>
      <c r="AE41" s="286" t="str">
        <f t="shared" si="92"/>
        <v/>
      </c>
      <c r="AF41" s="277"/>
      <c r="AG41" s="275" t="str">
        <f t="shared" si="58"/>
        <v/>
      </c>
      <c r="AH41" s="287" t="str">
        <f t="shared" ca="1" si="59"/>
        <v/>
      </c>
      <c r="AI41" s="373" t="str">
        <f t="shared" ca="1" si="60"/>
        <v/>
      </c>
      <c r="AJ41" s="296" t="str">
        <f t="shared" si="61"/>
        <v/>
      </c>
      <c r="AK41" s="296" t="str">
        <f t="shared" si="62"/>
        <v/>
      </c>
      <c r="AL41" s="287" t="str">
        <f t="shared" si="63"/>
        <v/>
      </c>
      <c r="AM41" s="279">
        <f t="shared" si="64"/>
        <v>0</v>
      </c>
      <c r="AN41" s="279">
        <f t="shared" si="89"/>
        <v>0</v>
      </c>
      <c r="AO41" s="288">
        <f t="shared" si="65"/>
        <v>0</v>
      </c>
      <c r="AP41" s="279">
        <f t="shared" si="90"/>
        <v>0</v>
      </c>
      <c r="AQ41" s="288">
        <f t="shared" si="66"/>
        <v>0</v>
      </c>
      <c r="AR41" s="289">
        <f t="shared" si="67"/>
        <v>0</v>
      </c>
      <c r="AS41" s="279">
        <f t="shared" si="91"/>
        <v>0</v>
      </c>
      <c r="AT41" s="288">
        <f t="shared" si="68"/>
        <v>0</v>
      </c>
      <c r="AU41" s="289">
        <f t="shared" si="69"/>
        <v>0</v>
      </c>
      <c r="AV41" s="279">
        <f t="shared" si="70"/>
        <v>0</v>
      </c>
      <c r="AW41" s="288">
        <f t="shared" si="71"/>
        <v>0</v>
      </c>
      <c r="AX41" s="289">
        <f t="shared" si="72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73"/>
        <v/>
      </c>
      <c r="BM41" s="270"/>
      <c r="BN41" s="271"/>
      <c r="BO41" s="272" t="str">
        <f t="shared" ca="1" si="74"/>
        <v/>
      </c>
      <c r="BP41" s="270"/>
      <c r="BQ41" s="271"/>
      <c r="BR41" s="272" t="str">
        <f t="shared" ca="1" si="75"/>
        <v/>
      </c>
      <c r="BS41" s="270"/>
      <c r="BT41" s="271"/>
      <c r="BU41" s="272" t="str">
        <f t="shared" ca="1" si="76"/>
        <v/>
      </c>
      <c r="BV41" s="270"/>
      <c r="BW41" s="271"/>
      <c r="BX41" s="272" t="str">
        <f t="shared" ca="1" si="77"/>
        <v/>
      </c>
      <c r="BY41" s="270"/>
      <c r="BZ41" s="271"/>
      <c r="CA41" s="272" t="str">
        <f t="shared" ca="1" si="78"/>
        <v/>
      </c>
      <c r="CB41" s="270"/>
      <c r="CC41" s="271"/>
      <c r="CD41" s="272" t="str">
        <f t="shared" ca="1" si="79"/>
        <v/>
      </c>
      <c r="CE41" s="270"/>
      <c r="CF41" s="271"/>
      <c r="CG41" s="272" t="str">
        <f t="shared" ca="1" si="80"/>
        <v/>
      </c>
      <c r="CH41" s="270"/>
      <c r="CI41" s="271"/>
      <c r="CJ41" s="272" t="str">
        <f t="shared" ca="1" si="81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93"/>
        <v/>
      </c>
      <c r="CU41" s="264"/>
      <c r="CV41" s="265"/>
      <c r="CW41" s="264"/>
      <c r="CX41" s="264"/>
      <c r="CY41" s="264" t="str">
        <f t="shared" si="13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82"/>
        <v>0</v>
      </c>
      <c r="DN41" s="295" t="str">
        <f t="shared" si="83"/>
        <v/>
      </c>
      <c r="DO41" s="392" t="str">
        <f t="shared" si="84"/>
        <v/>
      </c>
      <c r="DP41" s="392" t="str">
        <f t="shared" si="85"/>
        <v/>
      </c>
      <c r="DQ41" s="456" t="str">
        <f t="shared" si="86"/>
        <v/>
      </c>
      <c r="DR41" s="456" t="str">
        <f t="shared" si="87"/>
        <v/>
      </c>
    </row>
    <row r="42" spans="1:122" x14ac:dyDescent="0.25">
      <c r="A42" s="599" t="str">
        <f t="shared" si="88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50"/>
        <v/>
      </c>
      <c r="J42" s="312"/>
      <c r="K42" s="268"/>
      <c r="L42" s="277"/>
      <c r="M42" s="279"/>
      <c r="N42" s="280"/>
      <c r="O42" s="280"/>
      <c r="P42" s="455"/>
      <c r="Q42" s="281" t="str">
        <f t="shared" si="51"/>
        <v/>
      </c>
      <c r="R42" s="282">
        <f t="shared" si="52"/>
        <v>0</v>
      </c>
      <c r="S42" s="268"/>
      <c r="T42" s="283">
        <f t="shared" ref="T42:T61" si="94">IF(G42="Annulation","",IF(assurance="ALPTIS",IF(L42="SO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42" s="284">
        <f>IF(M42=0,0,IF(G42="Annulation","",IF(assurance="ALPTIS",M42*12*T42/100*'Complet Data'!$K$4,IF(assurance="APRIL",M42*12*T42/100*'Complet Data'!$F$4,IF(assurance="ASAF",M42*12*T42/100*'Complet Data'!$I$4,IF(assurance="NEOLIANE",('Complet Data'!$G$5+M42*12*'Complet Data'!$G$4)*T42/100,IF(assurance="NEOLIANE Prev",('Complet Data'!$H$5+M42*12*'Complet Data'!$H$4)*T42/100,IF(assurance="SWISSLIFE",M42*12*T42/100*'Complet Data'!$J$4,IF(assurance="AVIVA",M42*12*T42/100*'Complet Data'!$L$4,IF(assurance="CIPRES",M42*12*T42/100*'Complet Data'!$M$4,IF(assurance="CEGEMA",M42*12*T42/100*'Complet Data'!$N$4,IF(assurance=0,0))))))))))))</f>
        <v>0</v>
      </c>
      <c r="V42" s="298" t="str">
        <f t="shared" si="53"/>
        <v/>
      </c>
      <c r="W42" s="298" t="str">
        <f t="shared" si="54"/>
        <v/>
      </c>
      <c r="X42" s="299">
        <f t="shared" si="55"/>
        <v>0</v>
      </c>
      <c r="Y42" s="368">
        <f t="shared" si="56"/>
        <v>0</v>
      </c>
      <c r="Z42" s="314"/>
      <c r="AA42" s="313" t="str">
        <f t="shared" si="57"/>
        <v/>
      </c>
      <c r="AB42" s="268" t="s">
        <v>13</v>
      </c>
      <c r="AC42" s="277"/>
      <c r="AD42" s="309" t="str">
        <f t="shared" ref="AD42:AD61" si="95">IF(Z42=43466,"Programmée","")</f>
        <v/>
      </c>
      <c r="AE42" s="286" t="str">
        <f t="shared" si="92"/>
        <v/>
      </c>
      <c r="AF42" s="277"/>
      <c r="AG42" s="275" t="str">
        <f t="shared" si="58"/>
        <v/>
      </c>
      <c r="AH42" s="287" t="str">
        <f t="shared" ca="1" si="59"/>
        <v/>
      </c>
      <c r="AI42" s="373" t="str">
        <f t="shared" ca="1" si="60"/>
        <v/>
      </c>
      <c r="AJ42" s="296" t="str">
        <f t="shared" si="61"/>
        <v/>
      </c>
      <c r="AK42" s="296" t="str">
        <f t="shared" si="62"/>
        <v/>
      </c>
      <c r="AL42" s="287" t="str">
        <f t="shared" si="63"/>
        <v/>
      </c>
      <c r="AM42" s="279">
        <f t="shared" si="64"/>
        <v>0</v>
      </c>
      <c r="AN42" s="279">
        <f t="shared" si="89"/>
        <v>0</v>
      </c>
      <c r="AO42" s="288">
        <f t="shared" si="65"/>
        <v>0</v>
      </c>
      <c r="AP42" s="279">
        <f t="shared" si="90"/>
        <v>0</v>
      </c>
      <c r="AQ42" s="288">
        <f t="shared" si="66"/>
        <v>0</v>
      </c>
      <c r="AR42" s="289">
        <f t="shared" si="67"/>
        <v>0</v>
      </c>
      <c r="AS42" s="279">
        <f t="shared" si="91"/>
        <v>0</v>
      </c>
      <c r="AT42" s="288">
        <f t="shared" si="68"/>
        <v>0</v>
      </c>
      <c r="AU42" s="289">
        <f t="shared" si="69"/>
        <v>0</v>
      </c>
      <c r="AV42" s="279">
        <f t="shared" si="70"/>
        <v>0</v>
      </c>
      <c r="AW42" s="288">
        <f t="shared" si="71"/>
        <v>0</v>
      </c>
      <c r="AX42" s="289">
        <f t="shared" si="72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73"/>
        <v/>
      </c>
      <c r="BM42" s="270"/>
      <c r="BN42" s="271"/>
      <c r="BO42" s="272" t="str">
        <f t="shared" ca="1" si="74"/>
        <v/>
      </c>
      <c r="BP42" s="270"/>
      <c r="BQ42" s="271"/>
      <c r="BR42" s="272" t="str">
        <f t="shared" ca="1" si="75"/>
        <v/>
      </c>
      <c r="BS42" s="270"/>
      <c r="BT42" s="271"/>
      <c r="BU42" s="272" t="str">
        <f t="shared" ca="1" si="76"/>
        <v/>
      </c>
      <c r="BV42" s="270"/>
      <c r="BW42" s="271"/>
      <c r="BX42" s="272" t="str">
        <f t="shared" ca="1" si="77"/>
        <v/>
      </c>
      <c r="BY42" s="270"/>
      <c r="BZ42" s="271"/>
      <c r="CA42" s="272" t="str">
        <f t="shared" ca="1" si="78"/>
        <v/>
      </c>
      <c r="CB42" s="270"/>
      <c r="CC42" s="271"/>
      <c r="CD42" s="272" t="str">
        <f t="shared" ca="1" si="79"/>
        <v/>
      </c>
      <c r="CE42" s="270"/>
      <c r="CF42" s="271"/>
      <c r="CG42" s="272" t="str">
        <f t="shared" ca="1" si="80"/>
        <v/>
      </c>
      <c r="CH42" s="270"/>
      <c r="CI42" s="271"/>
      <c r="CJ42" s="272" t="str">
        <f t="shared" ca="1" si="81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93"/>
        <v/>
      </c>
      <c r="CU42" s="264"/>
      <c r="CV42" s="265"/>
      <c r="CW42" s="264"/>
      <c r="CX42" s="264"/>
      <c r="CY42" s="264" t="str">
        <f t="shared" si="13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82"/>
        <v>0</v>
      </c>
      <c r="DN42" s="295" t="str">
        <f t="shared" si="83"/>
        <v/>
      </c>
      <c r="DO42" s="392" t="str">
        <f t="shared" si="84"/>
        <v/>
      </c>
      <c r="DP42" s="392" t="str">
        <f t="shared" si="85"/>
        <v/>
      </c>
      <c r="DQ42" s="456" t="str">
        <f t="shared" si="86"/>
        <v/>
      </c>
      <c r="DR42" s="456" t="str">
        <f t="shared" si="87"/>
        <v/>
      </c>
    </row>
    <row r="43" spans="1:122" x14ac:dyDescent="0.25">
      <c r="A43" s="599" t="str">
        <f t="shared" si="88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50"/>
        <v/>
      </c>
      <c r="J43" s="312"/>
      <c r="K43" s="268"/>
      <c r="L43" s="277"/>
      <c r="M43" s="279"/>
      <c r="N43" s="280"/>
      <c r="O43" s="280"/>
      <c r="P43" s="455"/>
      <c r="Q43" s="281" t="str">
        <f t="shared" si="51"/>
        <v/>
      </c>
      <c r="R43" s="282">
        <f t="shared" si="52"/>
        <v>0</v>
      </c>
      <c r="S43" s="268"/>
      <c r="T43" s="283">
        <f t="shared" si="94"/>
        <v>0</v>
      </c>
      <c r="U43" s="284">
        <f>IF(M43=0,0,IF(G43="Annulation","",IF(assurance="ALPTIS",M43*12*T43/100*'Complet Data'!$K$4,IF(assurance="APRIL",M43*12*T43/100*'Complet Data'!$F$4,IF(assurance="ASAF",M43*12*T43/100*'Complet Data'!$I$4,IF(assurance="NEOLIANE",('Complet Data'!$G$5+M43*12*'Complet Data'!$G$4)*T43/100,IF(assurance="NEOLIANE Prev",('Complet Data'!$H$5+M43*12*'Complet Data'!$H$4)*T43/100,IF(assurance="SWISSLIFE",M43*12*T43/100*'Complet Data'!$J$4,IF(assurance="AVIVA",M43*12*T43/100*'Complet Data'!$L$4,IF(assurance="CIPRES",M43*12*T43/100*'Complet Data'!$M$4,IF(assurance="CEGEMA",M43*12*T43/100*'Complet Data'!$N$4,IF(assurance=0,0))))))))))))</f>
        <v>0</v>
      </c>
      <c r="V43" s="298" t="str">
        <f t="shared" si="53"/>
        <v/>
      </c>
      <c r="W43" s="298" t="str">
        <f t="shared" si="54"/>
        <v/>
      </c>
      <c r="X43" s="299">
        <f t="shared" si="55"/>
        <v>0</v>
      </c>
      <c r="Y43" s="368">
        <f t="shared" si="56"/>
        <v>0</v>
      </c>
      <c r="Z43" s="314"/>
      <c r="AA43" s="313" t="str">
        <f t="shared" si="57"/>
        <v/>
      </c>
      <c r="AB43" s="268" t="s">
        <v>13</v>
      </c>
      <c r="AC43" s="277"/>
      <c r="AD43" s="309" t="str">
        <f t="shared" si="95"/>
        <v/>
      </c>
      <c r="AE43" s="286" t="str">
        <f t="shared" si="92"/>
        <v/>
      </c>
      <c r="AF43" s="277"/>
      <c r="AG43" s="275" t="str">
        <f t="shared" si="58"/>
        <v/>
      </c>
      <c r="AH43" s="287" t="str">
        <f t="shared" ca="1" si="59"/>
        <v/>
      </c>
      <c r="AI43" s="373" t="str">
        <f t="shared" ca="1" si="60"/>
        <v/>
      </c>
      <c r="AJ43" s="296" t="str">
        <f t="shared" si="61"/>
        <v/>
      </c>
      <c r="AK43" s="296" t="str">
        <f t="shared" si="62"/>
        <v/>
      </c>
      <c r="AL43" s="287" t="str">
        <f t="shared" si="63"/>
        <v/>
      </c>
      <c r="AM43" s="279">
        <f t="shared" si="64"/>
        <v>0</v>
      </c>
      <c r="AN43" s="279">
        <f t="shared" si="89"/>
        <v>0</v>
      </c>
      <c r="AO43" s="288">
        <f t="shared" si="65"/>
        <v>0</v>
      </c>
      <c r="AP43" s="279">
        <f t="shared" si="90"/>
        <v>0</v>
      </c>
      <c r="AQ43" s="288">
        <f t="shared" si="66"/>
        <v>0</v>
      </c>
      <c r="AR43" s="289">
        <f t="shared" si="67"/>
        <v>0</v>
      </c>
      <c r="AS43" s="279">
        <f t="shared" si="91"/>
        <v>0</v>
      </c>
      <c r="AT43" s="288">
        <f t="shared" si="68"/>
        <v>0</v>
      </c>
      <c r="AU43" s="289">
        <f t="shared" si="69"/>
        <v>0</v>
      </c>
      <c r="AV43" s="279">
        <f t="shared" si="70"/>
        <v>0</v>
      </c>
      <c r="AW43" s="288">
        <f t="shared" si="71"/>
        <v>0</v>
      </c>
      <c r="AX43" s="289">
        <f t="shared" si="72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73"/>
        <v/>
      </c>
      <c r="BM43" s="270"/>
      <c r="BN43" s="271"/>
      <c r="BO43" s="272" t="str">
        <f t="shared" ca="1" si="74"/>
        <v/>
      </c>
      <c r="BP43" s="270"/>
      <c r="BQ43" s="271"/>
      <c r="BR43" s="272" t="str">
        <f t="shared" ca="1" si="75"/>
        <v/>
      </c>
      <c r="BS43" s="270"/>
      <c r="BT43" s="271"/>
      <c r="BU43" s="272" t="str">
        <f t="shared" ca="1" si="76"/>
        <v/>
      </c>
      <c r="BV43" s="270"/>
      <c r="BW43" s="271"/>
      <c r="BX43" s="272" t="str">
        <f t="shared" ca="1" si="77"/>
        <v/>
      </c>
      <c r="BY43" s="270"/>
      <c r="BZ43" s="271"/>
      <c r="CA43" s="272" t="str">
        <f t="shared" ca="1" si="78"/>
        <v/>
      </c>
      <c r="CB43" s="270"/>
      <c r="CC43" s="271"/>
      <c r="CD43" s="272" t="str">
        <f t="shared" ca="1" si="79"/>
        <v/>
      </c>
      <c r="CE43" s="270"/>
      <c r="CF43" s="271"/>
      <c r="CG43" s="272" t="str">
        <f t="shared" ca="1" si="80"/>
        <v/>
      </c>
      <c r="CH43" s="270"/>
      <c r="CI43" s="271"/>
      <c r="CJ43" s="272" t="str">
        <f t="shared" ca="1" si="81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93"/>
        <v/>
      </c>
      <c r="CU43" s="264"/>
      <c r="CV43" s="265"/>
      <c r="CW43" s="264"/>
      <c r="CX43" s="264"/>
      <c r="CY43" s="264" t="str">
        <f t="shared" ref="CY43:CY61" si="96">IF(J43&lt;&gt;"Prev. Pro","",IF(AC43="","Non",IF(J43="Prev. Pro","Oui","Non")))</f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82"/>
        <v>0</v>
      </c>
      <c r="DN43" s="295" t="str">
        <f t="shared" si="83"/>
        <v/>
      </c>
      <c r="DO43" s="392" t="str">
        <f t="shared" si="84"/>
        <v/>
      </c>
      <c r="DP43" s="392" t="str">
        <f t="shared" si="85"/>
        <v/>
      </c>
      <c r="DQ43" s="456" t="str">
        <f t="shared" si="86"/>
        <v/>
      </c>
      <c r="DR43" s="456" t="str">
        <f t="shared" si="87"/>
        <v/>
      </c>
    </row>
    <row r="44" spans="1:122" x14ac:dyDescent="0.25">
      <c r="A44" s="599" t="str">
        <f t="shared" si="88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50"/>
        <v/>
      </c>
      <c r="J44" s="312"/>
      <c r="K44" s="268"/>
      <c r="L44" s="277"/>
      <c r="M44" s="279"/>
      <c r="N44" s="280"/>
      <c r="O44" s="280"/>
      <c r="P44" s="455"/>
      <c r="Q44" s="281" t="str">
        <f t="shared" si="51"/>
        <v/>
      </c>
      <c r="R44" s="282">
        <f t="shared" si="52"/>
        <v>0</v>
      </c>
      <c r="S44" s="268"/>
      <c r="T44" s="283">
        <f t="shared" si="94"/>
        <v>0</v>
      </c>
      <c r="U44" s="284">
        <f>IF(M44=0,0,IF(G44="Annulation","",IF(assurance="ALPTIS",M44*12*T44/100*'Complet Data'!$K$4,IF(assurance="APRIL",M44*12*T44/100*'Complet Data'!$F$4,IF(assurance="ASAF",M44*12*T44/100*'Complet Data'!$I$4,IF(assurance="NEOLIANE",('Complet Data'!$G$5+M44*12*'Complet Data'!$G$4)*T44/100,IF(assurance="NEOLIANE Prev",('Complet Data'!$H$5+M44*12*'Complet Data'!$H$4)*T44/100,IF(assurance="SWISSLIFE",M44*12*T44/100*'Complet Data'!$J$4,IF(assurance="AVIVA",M44*12*T44/100*'Complet Data'!$L$4,IF(assurance="CIPRES",M44*12*T44/100*'Complet Data'!$M$4,IF(assurance="CEGEMA",M44*12*T44/100*'Complet Data'!$N$4,IF(assurance=0,0))))))))))))</f>
        <v>0</v>
      </c>
      <c r="V44" s="298" t="str">
        <f t="shared" si="53"/>
        <v/>
      </c>
      <c r="W44" s="298" t="str">
        <f t="shared" si="54"/>
        <v/>
      </c>
      <c r="X44" s="299">
        <f t="shared" si="55"/>
        <v>0</v>
      </c>
      <c r="Y44" s="368">
        <f t="shared" si="56"/>
        <v>0</v>
      </c>
      <c r="Z44" s="314"/>
      <c r="AA44" s="313" t="str">
        <f t="shared" si="57"/>
        <v/>
      </c>
      <c r="AB44" s="268" t="s">
        <v>13</v>
      </c>
      <c r="AC44" s="277"/>
      <c r="AD44" s="309" t="str">
        <f t="shared" si="95"/>
        <v/>
      </c>
      <c r="AE44" s="286" t="str">
        <f t="shared" si="92"/>
        <v/>
      </c>
      <c r="AF44" s="277"/>
      <c r="AG44" s="275" t="str">
        <f t="shared" si="58"/>
        <v/>
      </c>
      <c r="AH44" s="287" t="str">
        <f t="shared" ca="1" si="59"/>
        <v/>
      </c>
      <c r="AI44" s="373" t="str">
        <f t="shared" ca="1" si="60"/>
        <v/>
      </c>
      <c r="AJ44" s="296" t="str">
        <f t="shared" si="61"/>
        <v/>
      </c>
      <c r="AK44" s="296" t="str">
        <f t="shared" si="62"/>
        <v/>
      </c>
      <c r="AL44" s="287" t="str">
        <f t="shared" si="63"/>
        <v/>
      </c>
      <c r="AM44" s="279">
        <f t="shared" si="64"/>
        <v>0</v>
      </c>
      <c r="AN44" s="279">
        <f t="shared" si="89"/>
        <v>0</v>
      </c>
      <c r="AO44" s="288">
        <f t="shared" si="65"/>
        <v>0</v>
      </c>
      <c r="AP44" s="279">
        <f t="shared" si="90"/>
        <v>0</v>
      </c>
      <c r="AQ44" s="288">
        <f t="shared" si="66"/>
        <v>0</v>
      </c>
      <c r="AR44" s="289">
        <f t="shared" si="67"/>
        <v>0</v>
      </c>
      <c r="AS44" s="279">
        <f t="shared" si="91"/>
        <v>0</v>
      </c>
      <c r="AT44" s="288">
        <f t="shared" si="68"/>
        <v>0</v>
      </c>
      <c r="AU44" s="289">
        <f t="shared" si="69"/>
        <v>0</v>
      </c>
      <c r="AV44" s="279">
        <f t="shared" si="70"/>
        <v>0</v>
      </c>
      <c r="AW44" s="288">
        <f t="shared" si="71"/>
        <v>0</v>
      </c>
      <c r="AX44" s="289">
        <f t="shared" si="72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73"/>
        <v/>
      </c>
      <c r="BM44" s="270"/>
      <c r="BN44" s="271"/>
      <c r="BO44" s="272" t="str">
        <f t="shared" ca="1" si="74"/>
        <v/>
      </c>
      <c r="BP44" s="270"/>
      <c r="BQ44" s="271"/>
      <c r="BR44" s="272" t="str">
        <f t="shared" ca="1" si="75"/>
        <v/>
      </c>
      <c r="BS44" s="270"/>
      <c r="BT44" s="271"/>
      <c r="BU44" s="272" t="str">
        <f t="shared" ca="1" si="76"/>
        <v/>
      </c>
      <c r="BV44" s="270"/>
      <c r="BW44" s="271"/>
      <c r="BX44" s="272" t="str">
        <f t="shared" ca="1" si="77"/>
        <v/>
      </c>
      <c r="BY44" s="270"/>
      <c r="BZ44" s="271"/>
      <c r="CA44" s="272" t="str">
        <f t="shared" ca="1" si="78"/>
        <v/>
      </c>
      <c r="CB44" s="270"/>
      <c r="CC44" s="271"/>
      <c r="CD44" s="272" t="str">
        <f t="shared" ca="1" si="79"/>
        <v/>
      </c>
      <c r="CE44" s="270"/>
      <c r="CF44" s="271"/>
      <c r="CG44" s="272" t="str">
        <f t="shared" ca="1" si="80"/>
        <v/>
      </c>
      <c r="CH44" s="270"/>
      <c r="CI44" s="271"/>
      <c r="CJ44" s="272" t="str">
        <f t="shared" ca="1" si="81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93"/>
        <v/>
      </c>
      <c r="CU44" s="264"/>
      <c r="CV44" s="265"/>
      <c r="CW44" s="264"/>
      <c r="CX44" s="264"/>
      <c r="CY44" s="264" t="str">
        <f t="shared" si="96"/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82"/>
        <v>0</v>
      </c>
      <c r="DN44" s="295" t="str">
        <f t="shared" si="83"/>
        <v/>
      </c>
      <c r="DO44" s="392" t="str">
        <f t="shared" si="84"/>
        <v/>
      </c>
      <c r="DP44" s="392" t="str">
        <f t="shared" si="85"/>
        <v/>
      </c>
      <c r="DQ44" s="456" t="str">
        <f t="shared" si="86"/>
        <v/>
      </c>
      <c r="DR44" s="456" t="str">
        <f t="shared" si="87"/>
        <v/>
      </c>
    </row>
    <row r="45" spans="1:122" x14ac:dyDescent="0.25">
      <c r="A45" s="599" t="str">
        <f t="shared" si="88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50"/>
        <v/>
      </c>
      <c r="J45" s="312"/>
      <c r="K45" s="268"/>
      <c r="L45" s="277"/>
      <c r="M45" s="279"/>
      <c r="N45" s="280"/>
      <c r="O45" s="280"/>
      <c r="P45" s="455"/>
      <c r="Q45" s="281" t="str">
        <f t="shared" si="51"/>
        <v/>
      </c>
      <c r="R45" s="282">
        <f t="shared" si="52"/>
        <v>0</v>
      </c>
      <c r="S45" s="268"/>
      <c r="T45" s="283">
        <f t="shared" si="94"/>
        <v>0</v>
      </c>
      <c r="U45" s="284">
        <f>IF(M45=0,0,IF(G45="Annulation","",IF(assurance="ALPTIS",M45*12*T45/100*'Complet Data'!$K$4,IF(assurance="APRIL",M45*12*T45/100*'Complet Data'!$F$4,IF(assurance="ASAF",M45*12*T45/100*'Complet Data'!$I$4,IF(assurance="NEOLIANE",('Complet Data'!$G$5+M45*12*'Complet Data'!$G$4)*T45/100,IF(assurance="NEOLIANE Prev",('Complet Data'!$H$5+M45*12*'Complet Data'!$H$4)*T45/100,IF(assurance="SWISSLIFE",M45*12*T45/100*'Complet Data'!$J$4,IF(assurance="AVIVA",M45*12*T45/100*'Complet Data'!$L$4,IF(assurance="CIPRES",M45*12*T45/100*'Complet Data'!$M$4,IF(assurance="CEGEMA",M45*12*T45/100*'Complet Data'!$N$4,IF(assurance=0,0))))))))))))</f>
        <v>0</v>
      </c>
      <c r="V45" s="298" t="str">
        <f t="shared" si="53"/>
        <v/>
      </c>
      <c r="W45" s="298" t="str">
        <f t="shared" si="54"/>
        <v/>
      </c>
      <c r="X45" s="299">
        <f t="shared" si="55"/>
        <v>0</v>
      </c>
      <c r="Y45" s="368">
        <f t="shared" si="56"/>
        <v>0</v>
      </c>
      <c r="Z45" s="314"/>
      <c r="AA45" s="313" t="str">
        <f t="shared" si="57"/>
        <v/>
      </c>
      <c r="AB45" s="268" t="s">
        <v>13</v>
      </c>
      <c r="AC45" s="277"/>
      <c r="AD45" s="309" t="str">
        <f t="shared" si="95"/>
        <v/>
      </c>
      <c r="AE45" s="286" t="str">
        <f t="shared" si="92"/>
        <v/>
      </c>
      <c r="AF45" s="277"/>
      <c r="AG45" s="275" t="str">
        <f t="shared" si="58"/>
        <v/>
      </c>
      <c r="AH45" s="287" t="str">
        <f t="shared" ca="1" si="59"/>
        <v/>
      </c>
      <c r="AI45" s="373" t="str">
        <f t="shared" ca="1" si="60"/>
        <v/>
      </c>
      <c r="AJ45" s="296" t="str">
        <f t="shared" si="61"/>
        <v/>
      </c>
      <c r="AK45" s="296" t="str">
        <f t="shared" si="62"/>
        <v/>
      </c>
      <c r="AL45" s="287" t="str">
        <f t="shared" si="63"/>
        <v/>
      </c>
      <c r="AM45" s="279">
        <f t="shared" si="64"/>
        <v>0</v>
      </c>
      <c r="AN45" s="279">
        <f t="shared" si="89"/>
        <v>0</v>
      </c>
      <c r="AO45" s="288">
        <f t="shared" si="65"/>
        <v>0</v>
      </c>
      <c r="AP45" s="279">
        <f t="shared" si="90"/>
        <v>0</v>
      </c>
      <c r="AQ45" s="288">
        <f t="shared" si="66"/>
        <v>0</v>
      </c>
      <c r="AR45" s="289">
        <f t="shared" si="67"/>
        <v>0</v>
      </c>
      <c r="AS45" s="279">
        <f t="shared" si="91"/>
        <v>0</v>
      </c>
      <c r="AT45" s="288">
        <f t="shared" si="68"/>
        <v>0</v>
      </c>
      <c r="AU45" s="289">
        <f t="shared" si="69"/>
        <v>0</v>
      </c>
      <c r="AV45" s="279">
        <f t="shared" si="70"/>
        <v>0</v>
      </c>
      <c r="AW45" s="288">
        <f t="shared" si="71"/>
        <v>0</v>
      </c>
      <c r="AX45" s="289">
        <f t="shared" si="72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73"/>
        <v/>
      </c>
      <c r="BM45" s="270"/>
      <c r="BN45" s="271"/>
      <c r="BO45" s="272" t="str">
        <f t="shared" ca="1" si="74"/>
        <v/>
      </c>
      <c r="BP45" s="270"/>
      <c r="BQ45" s="271"/>
      <c r="BR45" s="272" t="str">
        <f t="shared" ca="1" si="75"/>
        <v/>
      </c>
      <c r="BS45" s="270"/>
      <c r="BT45" s="271"/>
      <c r="BU45" s="272" t="str">
        <f t="shared" ca="1" si="76"/>
        <v/>
      </c>
      <c r="BV45" s="270"/>
      <c r="BW45" s="271"/>
      <c r="BX45" s="272" t="str">
        <f t="shared" ca="1" si="77"/>
        <v/>
      </c>
      <c r="BY45" s="270"/>
      <c r="BZ45" s="271"/>
      <c r="CA45" s="272" t="str">
        <f t="shared" ca="1" si="78"/>
        <v/>
      </c>
      <c r="CB45" s="270"/>
      <c r="CC45" s="271"/>
      <c r="CD45" s="272" t="str">
        <f t="shared" ca="1" si="79"/>
        <v/>
      </c>
      <c r="CE45" s="270"/>
      <c r="CF45" s="271"/>
      <c r="CG45" s="272" t="str">
        <f t="shared" ca="1" si="80"/>
        <v/>
      </c>
      <c r="CH45" s="270"/>
      <c r="CI45" s="271"/>
      <c r="CJ45" s="272" t="str">
        <f t="shared" ca="1" si="81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93"/>
        <v/>
      </c>
      <c r="CU45" s="264"/>
      <c r="CV45" s="265"/>
      <c r="CW45" s="264"/>
      <c r="CX45" s="264"/>
      <c r="CY45" s="264" t="str">
        <f t="shared" si="96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82"/>
        <v>0</v>
      </c>
      <c r="DN45" s="295" t="str">
        <f t="shared" si="83"/>
        <v/>
      </c>
      <c r="DO45" s="392" t="str">
        <f t="shared" si="84"/>
        <v/>
      </c>
      <c r="DP45" s="392" t="str">
        <f t="shared" si="85"/>
        <v/>
      </c>
      <c r="DQ45" s="456" t="str">
        <f t="shared" si="86"/>
        <v/>
      </c>
      <c r="DR45" s="456" t="str">
        <f t="shared" si="87"/>
        <v/>
      </c>
    </row>
    <row r="46" spans="1:122" x14ac:dyDescent="0.25">
      <c r="A46" s="599" t="str">
        <f t="shared" si="88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50"/>
        <v/>
      </c>
      <c r="J46" s="312"/>
      <c r="K46" s="268"/>
      <c r="L46" s="277"/>
      <c r="M46" s="279"/>
      <c r="N46" s="280"/>
      <c r="O46" s="280"/>
      <c r="P46" s="455"/>
      <c r="Q46" s="281" t="str">
        <f t="shared" si="51"/>
        <v/>
      </c>
      <c r="R46" s="282">
        <f t="shared" si="52"/>
        <v>0</v>
      </c>
      <c r="S46" s="268"/>
      <c r="T46" s="283">
        <f t="shared" si="94"/>
        <v>0</v>
      </c>
      <c r="U46" s="284">
        <f>IF(M46=0,0,IF(G46="Annulation","",IF(assurance="ALPTIS",M46*12*T46/100*'Complet Data'!$K$4,IF(assurance="APRIL",M46*12*T46/100*'Complet Data'!$F$4,IF(assurance="ASAF",M46*12*T46/100*'Complet Data'!$I$4,IF(assurance="NEOLIANE",('Complet Data'!$G$5+M46*12*'Complet Data'!$G$4)*T46/100,IF(assurance="NEOLIANE Prev",('Complet Data'!$H$5+M46*12*'Complet Data'!$H$4)*T46/100,IF(assurance="SWISSLIFE",M46*12*T46/100*'Complet Data'!$J$4,IF(assurance="AVIVA",M46*12*T46/100*'Complet Data'!$L$4,IF(assurance="CIPRES",M46*12*T46/100*'Complet Data'!$M$4,IF(assurance="CEGEMA",M46*12*T46/100*'Complet Data'!$N$4,IF(assurance=0,0))))))))))))</f>
        <v>0</v>
      </c>
      <c r="V46" s="298" t="str">
        <f t="shared" si="53"/>
        <v/>
      </c>
      <c r="W46" s="298" t="str">
        <f t="shared" si="54"/>
        <v/>
      </c>
      <c r="X46" s="299">
        <f t="shared" si="55"/>
        <v>0</v>
      </c>
      <c r="Y46" s="368">
        <f t="shared" si="56"/>
        <v>0</v>
      </c>
      <c r="Z46" s="314"/>
      <c r="AA46" s="313" t="str">
        <f t="shared" si="57"/>
        <v/>
      </c>
      <c r="AB46" s="268" t="s">
        <v>13</v>
      </c>
      <c r="AC46" s="277"/>
      <c r="AD46" s="309" t="str">
        <f t="shared" si="95"/>
        <v/>
      </c>
      <c r="AE46" s="286" t="str">
        <f t="shared" si="92"/>
        <v/>
      </c>
      <c r="AF46" s="277"/>
      <c r="AG46" s="275" t="str">
        <f t="shared" si="58"/>
        <v/>
      </c>
      <c r="AH46" s="287" t="str">
        <f t="shared" ca="1" si="59"/>
        <v/>
      </c>
      <c r="AI46" s="373" t="str">
        <f t="shared" ca="1" si="60"/>
        <v/>
      </c>
      <c r="AJ46" s="296" t="str">
        <f t="shared" si="61"/>
        <v/>
      </c>
      <c r="AK46" s="296" t="str">
        <f t="shared" si="62"/>
        <v/>
      </c>
      <c r="AL46" s="287" t="str">
        <f t="shared" si="63"/>
        <v/>
      </c>
      <c r="AM46" s="279">
        <f t="shared" si="64"/>
        <v>0</v>
      </c>
      <c r="AN46" s="279">
        <f t="shared" si="89"/>
        <v>0</v>
      </c>
      <c r="AO46" s="288">
        <f t="shared" si="65"/>
        <v>0</v>
      </c>
      <c r="AP46" s="279">
        <f t="shared" si="90"/>
        <v>0</v>
      </c>
      <c r="AQ46" s="288">
        <f t="shared" si="66"/>
        <v>0</v>
      </c>
      <c r="AR46" s="289">
        <f t="shared" si="67"/>
        <v>0</v>
      </c>
      <c r="AS46" s="279">
        <f t="shared" si="91"/>
        <v>0</v>
      </c>
      <c r="AT46" s="288">
        <f t="shared" si="68"/>
        <v>0</v>
      </c>
      <c r="AU46" s="289">
        <f t="shared" si="69"/>
        <v>0</v>
      </c>
      <c r="AV46" s="279">
        <f t="shared" si="70"/>
        <v>0</v>
      </c>
      <c r="AW46" s="288">
        <f t="shared" si="71"/>
        <v>0</v>
      </c>
      <c r="AX46" s="289">
        <f t="shared" si="72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73"/>
        <v/>
      </c>
      <c r="BM46" s="270"/>
      <c r="BN46" s="271"/>
      <c r="BO46" s="272" t="str">
        <f t="shared" ca="1" si="74"/>
        <v/>
      </c>
      <c r="BP46" s="270"/>
      <c r="BQ46" s="271"/>
      <c r="BR46" s="272" t="str">
        <f t="shared" ca="1" si="75"/>
        <v/>
      </c>
      <c r="BS46" s="270"/>
      <c r="BT46" s="271"/>
      <c r="BU46" s="272" t="str">
        <f t="shared" ca="1" si="76"/>
        <v/>
      </c>
      <c r="BV46" s="270"/>
      <c r="BW46" s="271"/>
      <c r="BX46" s="272" t="str">
        <f t="shared" ca="1" si="77"/>
        <v/>
      </c>
      <c r="BY46" s="270"/>
      <c r="BZ46" s="271"/>
      <c r="CA46" s="272" t="str">
        <f t="shared" ca="1" si="78"/>
        <v/>
      </c>
      <c r="CB46" s="270"/>
      <c r="CC46" s="271"/>
      <c r="CD46" s="272" t="str">
        <f t="shared" ca="1" si="79"/>
        <v/>
      </c>
      <c r="CE46" s="270"/>
      <c r="CF46" s="271"/>
      <c r="CG46" s="272" t="str">
        <f t="shared" ca="1" si="80"/>
        <v/>
      </c>
      <c r="CH46" s="270"/>
      <c r="CI46" s="271"/>
      <c r="CJ46" s="272" t="str">
        <f t="shared" ca="1" si="81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93"/>
        <v/>
      </c>
      <c r="CU46" s="264"/>
      <c r="CV46" s="265"/>
      <c r="CW46" s="264"/>
      <c r="CX46" s="264"/>
      <c r="CY46" s="264" t="str">
        <f t="shared" si="96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82"/>
        <v>0</v>
      </c>
      <c r="DN46" s="295" t="str">
        <f t="shared" si="83"/>
        <v/>
      </c>
      <c r="DO46" s="392" t="str">
        <f t="shared" si="84"/>
        <v/>
      </c>
      <c r="DP46" s="392" t="str">
        <f t="shared" si="85"/>
        <v/>
      </c>
      <c r="DQ46" s="456" t="str">
        <f t="shared" si="86"/>
        <v/>
      </c>
      <c r="DR46" s="456" t="str">
        <f t="shared" si="87"/>
        <v/>
      </c>
    </row>
    <row r="47" spans="1:122" x14ac:dyDescent="0.25">
      <c r="A47" s="599" t="str">
        <f t="shared" si="88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50"/>
        <v/>
      </c>
      <c r="J47" s="312"/>
      <c r="K47" s="268"/>
      <c r="L47" s="277"/>
      <c r="M47" s="279"/>
      <c r="N47" s="280"/>
      <c r="O47" s="280"/>
      <c r="P47" s="455"/>
      <c r="Q47" s="281" t="str">
        <f t="shared" si="51"/>
        <v/>
      </c>
      <c r="R47" s="282">
        <f t="shared" si="52"/>
        <v>0</v>
      </c>
      <c r="S47" s="268"/>
      <c r="T47" s="283">
        <f t="shared" si="94"/>
        <v>0</v>
      </c>
      <c r="U47" s="284">
        <f>IF(M47=0,0,IF(G47="Annulation","",IF(assurance="ALPTIS",M47*12*T47/100*'Complet Data'!$K$4,IF(assurance="APRIL",M47*12*T47/100*'Complet Data'!$F$4,IF(assurance="ASAF",M47*12*T47/100*'Complet Data'!$I$4,IF(assurance="NEOLIANE",('Complet Data'!$G$5+M47*12*'Complet Data'!$G$4)*T47/100,IF(assurance="NEOLIANE Prev",('Complet Data'!$H$5+M47*12*'Complet Data'!$H$4)*T47/100,IF(assurance="SWISSLIFE",M47*12*T47/100*'Complet Data'!$J$4,IF(assurance="AVIVA",M47*12*T47/100*'Complet Data'!$L$4,IF(assurance="CIPRES",M47*12*T47/100*'Complet Data'!$M$4,IF(assurance="CEGEMA",M47*12*T47/100*'Complet Data'!$N$4,IF(assurance=0,0))))))))))))</f>
        <v>0</v>
      </c>
      <c r="V47" s="298" t="str">
        <f t="shared" si="53"/>
        <v/>
      </c>
      <c r="W47" s="298" t="str">
        <f t="shared" si="54"/>
        <v/>
      </c>
      <c r="X47" s="299">
        <f t="shared" si="55"/>
        <v>0</v>
      </c>
      <c r="Y47" s="368">
        <f t="shared" si="56"/>
        <v>0</v>
      </c>
      <c r="Z47" s="314"/>
      <c r="AA47" s="313" t="str">
        <f t="shared" si="57"/>
        <v/>
      </c>
      <c r="AB47" s="268" t="s">
        <v>13</v>
      </c>
      <c r="AC47" s="277"/>
      <c r="AD47" s="309" t="str">
        <f t="shared" si="95"/>
        <v/>
      </c>
      <c r="AE47" s="286" t="str">
        <f t="shared" si="92"/>
        <v/>
      </c>
      <c r="AF47" s="277"/>
      <c r="AG47" s="275" t="str">
        <f t="shared" si="58"/>
        <v/>
      </c>
      <c r="AH47" s="287" t="str">
        <f t="shared" ca="1" si="59"/>
        <v/>
      </c>
      <c r="AI47" s="373" t="str">
        <f t="shared" ca="1" si="60"/>
        <v/>
      </c>
      <c r="AJ47" s="296" t="str">
        <f t="shared" si="61"/>
        <v/>
      </c>
      <c r="AK47" s="296" t="str">
        <f t="shared" si="62"/>
        <v/>
      </c>
      <c r="AL47" s="287" t="str">
        <f t="shared" si="63"/>
        <v/>
      </c>
      <c r="AM47" s="279">
        <f t="shared" si="64"/>
        <v>0</v>
      </c>
      <c r="AN47" s="279">
        <f t="shared" si="89"/>
        <v>0</v>
      </c>
      <c r="AO47" s="288">
        <f t="shared" si="65"/>
        <v>0</v>
      </c>
      <c r="AP47" s="279">
        <f t="shared" si="90"/>
        <v>0</v>
      </c>
      <c r="AQ47" s="288">
        <f t="shared" si="66"/>
        <v>0</v>
      </c>
      <c r="AR47" s="289">
        <f t="shared" si="67"/>
        <v>0</v>
      </c>
      <c r="AS47" s="279">
        <f t="shared" si="91"/>
        <v>0</v>
      </c>
      <c r="AT47" s="288">
        <f t="shared" si="68"/>
        <v>0</v>
      </c>
      <c r="AU47" s="289">
        <f t="shared" si="69"/>
        <v>0</v>
      </c>
      <c r="AV47" s="279">
        <f t="shared" si="70"/>
        <v>0</v>
      </c>
      <c r="AW47" s="288">
        <f t="shared" si="71"/>
        <v>0</v>
      </c>
      <c r="AX47" s="289">
        <f t="shared" si="72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73"/>
        <v/>
      </c>
      <c r="BM47" s="270"/>
      <c r="BN47" s="271"/>
      <c r="BO47" s="272" t="str">
        <f t="shared" ca="1" si="74"/>
        <v/>
      </c>
      <c r="BP47" s="270"/>
      <c r="BQ47" s="271"/>
      <c r="BR47" s="272" t="str">
        <f t="shared" ca="1" si="75"/>
        <v/>
      </c>
      <c r="BS47" s="270"/>
      <c r="BT47" s="271"/>
      <c r="BU47" s="272" t="str">
        <f t="shared" ca="1" si="76"/>
        <v/>
      </c>
      <c r="BV47" s="270"/>
      <c r="BW47" s="271"/>
      <c r="BX47" s="272" t="str">
        <f t="shared" ca="1" si="77"/>
        <v/>
      </c>
      <c r="BY47" s="270"/>
      <c r="BZ47" s="271"/>
      <c r="CA47" s="272" t="str">
        <f t="shared" ca="1" si="78"/>
        <v/>
      </c>
      <c r="CB47" s="270"/>
      <c r="CC47" s="271"/>
      <c r="CD47" s="272" t="str">
        <f t="shared" ca="1" si="79"/>
        <v/>
      </c>
      <c r="CE47" s="270"/>
      <c r="CF47" s="271"/>
      <c r="CG47" s="272" t="str">
        <f t="shared" ca="1" si="80"/>
        <v/>
      </c>
      <c r="CH47" s="270"/>
      <c r="CI47" s="271"/>
      <c r="CJ47" s="272" t="str">
        <f t="shared" ca="1" si="81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93"/>
        <v/>
      </c>
      <c r="CU47" s="264"/>
      <c r="CV47" s="265"/>
      <c r="CW47" s="264"/>
      <c r="CX47" s="264"/>
      <c r="CY47" s="264" t="str">
        <f t="shared" si="96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82"/>
        <v>0</v>
      </c>
      <c r="DN47" s="295" t="str">
        <f t="shared" si="83"/>
        <v/>
      </c>
      <c r="DO47" s="392" t="str">
        <f t="shared" si="84"/>
        <v/>
      </c>
      <c r="DP47" s="392" t="str">
        <f t="shared" si="85"/>
        <v/>
      </c>
      <c r="DQ47" s="456" t="str">
        <f t="shared" si="86"/>
        <v/>
      </c>
      <c r="DR47" s="456" t="str">
        <f t="shared" si="87"/>
        <v/>
      </c>
    </row>
    <row r="48" spans="1:122" x14ac:dyDescent="0.25">
      <c r="A48" s="599" t="str">
        <f t="shared" si="88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50"/>
        <v/>
      </c>
      <c r="J48" s="312"/>
      <c r="K48" s="268"/>
      <c r="L48" s="277"/>
      <c r="M48" s="279"/>
      <c r="N48" s="280"/>
      <c r="O48" s="280"/>
      <c r="P48" s="455"/>
      <c r="Q48" s="281" t="str">
        <f t="shared" si="51"/>
        <v/>
      </c>
      <c r="R48" s="282">
        <f t="shared" si="52"/>
        <v>0</v>
      </c>
      <c r="S48" s="268"/>
      <c r="T48" s="283">
        <f t="shared" si="94"/>
        <v>0</v>
      </c>
      <c r="U48" s="284">
        <f>IF(M48=0,0,IF(G48="Annulation","",IF(assurance="ALPTIS",M48*12*T48/100*'Complet Data'!$K$4,IF(assurance="APRIL",M48*12*T48/100*'Complet Data'!$F$4,IF(assurance="ASAF",M48*12*T48/100*'Complet Data'!$I$4,IF(assurance="NEOLIANE",('Complet Data'!$G$5+M48*12*'Complet Data'!$G$4)*T48/100,IF(assurance="NEOLIANE Prev",('Complet Data'!$H$5+M48*12*'Complet Data'!$H$4)*T48/100,IF(assurance="SWISSLIFE",M48*12*T48/100*'Complet Data'!$J$4,IF(assurance="AVIVA",M48*12*T48/100*'Complet Data'!$L$4,IF(assurance="CIPRES",M48*12*T48/100*'Complet Data'!$M$4,IF(assurance="CEGEMA",M48*12*T48/100*'Complet Data'!$N$4,IF(assurance=0,0))))))))))))</f>
        <v>0</v>
      </c>
      <c r="V48" s="298" t="str">
        <f t="shared" si="53"/>
        <v/>
      </c>
      <c r="W48" s="298" t="str">
        <f t="shared" si="54"/>
        <v/>
      </c>
      <c r="X48" s="299">
        <f t="shared" si="55"/>
        <v>0</v>
      </c>
      <c r="Y48" s="368">
        <f t="shared" si="56"/>
        <v>0</v>
      </c>
      <c r="Z48" s="314"/>
      <c r="AA48" s="313" t="str">
        <f t="shared" si="57"/>
        <v/>
      </c>
      <c r="AB48" s="268" t="s">
        <v>13</v>
      </c>
      <c r="AC48" s="277"/>
      <c r="AD48" s="309" t="str">
        <f t="shared" si="95"/>
        <v/>
      </c>
      <c r="AE48" s="286" t="str">
        <f t="shared" si="92"/>
        <v/>
      </c>
      <c r="AF48" s="277"/>
      <c r="AG48" s="275" t="str">
        <f t="shared" si="58"/>
        <v/>
      </c>
      <c r="AH48" s="287" t="str">
        <f t="shared" ca="1" si="59"/>
        <v/>
      </c>
      <c r="AI48" s="373" t="str">
        <f t="shared" ca="1" si="60"/>
        <v/>
      </c>
      <c r="AJ48" s="296" t="str">
        <f t="shared" si="61"/>
        <v/>
      </c>
      <c r="AK48" s="296" t="str">
        <f t="shared" si="62"/>
        <v/>
      </c>
      <c r="AL48" s="287" t="str">
        <f t="shared" si="63"/>
        <v/>
      </c>
      <c r="AM48" s="279">
        <f t="shared" si="64"/>
        <v>0</v>
      </c>
      <c r="AN48" s="279">
        <f t="shared" si="89"/>
        <v>0</v>
      </c>
      <c r="AO48" s="288">
        <f t="shared" si="65"/>
        <v>0</v>
      </c>
      <c r="AP48" s="279">
        <f t="shared" si="90"/>
        <v>0</v>
      </c>
      <c r="AQ48" s="288">
        <f t="shared" si="66"/>
        <v>0</v>
      </c>
      <c r="AR48" s="289">
        <f t="shared" si="67"/>
        <v>0</v>
      </c>
      <c r="AS48" s="279">
        <f t="shared" si="91"/>
        <v>0</v>
      </c>
      <c r="AT48" s="288">
        <f t="shared" si="68"/>
        <v>0</v>
      </c>
      <c r="AU48" s="289">
        <f t="shared" si="69"/>
        <v>0</v>
      </c>
      <c r="AV48" s="279">
        <f t="shared" si="70"/>
        <v>0</v>
      </c>
      <c r="AW48" s="288">
        <f t="shared" si="71"/>
        <v>0</v>
      </c>
      <c r="AX48" s="289">
        <f t="shared" si="72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73"/>
        <v/>
      </c>
      <c r="BM48" s="270"/>
      <c r="BN48" s="271"/>
      <c r="BO48" s="272" t="str">
        <f t="shared" ca="1" si="74"/>
        <v/>
      </c>
      <c r="BP48" s="270"/>
      <c r="BQ48" s="271"/>
      <c r="BR48" s="272" t="str">
        <f t="shared" ca="1" si="75"/>
        <v/>
      </c>
      <c r="BS48" s="270"/>
      <c r="BT48" s="271"/>
      <c r="BU48" s="272" t="str">
        <f t="shared" ca="1" si="76"/>
        <v/>
      </c>
      <c r="BV48" s="270"/>
      <c r="BW48" s="271"/>
      <c r="BX48" s="272" t="str">
        <f t="shared" ca="1" si="77"/>
        <v/>
      </c>
      <c r="BY48" s="270"/>
      <c r="BZ48" s="271"/>
      <c r="CA48" s="272" t="str">
        <f t="shared" ca="1" si="78"/>
        <v/>
      </c>
      <c r="CB48" s="270"/>
      <c r="CC48" s="271"/>
      <c r="CD48" s="272" t="str">
        <f t="shared" ca="1" si="79"/>
        <v/>
      </c>
      <c r="CE48" s="270"/>
      <c r="CF48" s="271"/>
      <c r="CG48" s="272" t="str">
        <f t="shared" ca="1" si="80"/>
        <v/>
      </c>
      <c r="CH48" s="270"/>
      <c r="CI48" s="271"/>
      <c r="CJ48" s="272" t="str">
        <f t="shared" ca="1" si="81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93"/>
        <v/>
      </c>
      <c r="CU48" s="264"/>
      <c r="CV48" s="265"/>
      <c r="CW48" s="264"/>
      <c r="CX48" s="264"/>
      <c r="CY48" s="264" t="str">
        <f t="shared" si="96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82"/>
        <v>0</v>
      </c>
      <c r="DN48" s="295" t="str">
        <f t="shared" si="83"/>
        <v/>
      </c>
      <c r="DO48" s="392" t="str">
        <f t="shared" si="84"/>
        <v/>
      </c>
      <c r="DP48" s="392" t="str">
        <f t="shared" si="85"/>
        <v/>
      </c>
      <c r="DQ48" s="456" t="str">
        <f t="shared" si="86"/>
        <v/>
      </c>
      <c r="DR48" s="456" t="str">
        <f t="shared" si="87"/>
        <v/>
      </c>
    </row>
    <row r="49" spans="1:122" x14ac:dyDescent="0.25">
      <c r="A49" s="599" t="str">
        <f t="shared" si="88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50"/>
        <v/>
      </c>
      <c r="J49" s="312"/>
      <c r="K49" s="268"/>
      <c r="L49" s="277"/>
      <c r="M49" s="279"/>
      <c r="N49" s="280"/>
      <c r="O49" s="280"/>
      <c r="P49" s="455"/>
      <c r="Q49" s="281" t="str">
        <f t="shared" si="51"/>
        <v/>
      </c>
      <c r="R49" s="282">
        <f t="shared" si="52"/>
        <v>0</v>
      </c>
      <c r="S49" s="268"/>
      <c r="T49" s="283">
        <f t="shared" si="94"/>
        <v>0</v>
      </c>
      <c r="U49" s="284">
        <f>IF(M49=0,0,IF(G49="Annulation","",IF(assurance="ALPTIS",M49*12*T49/100*'Complet Data'!$K$4,IF(assurance="APRIL",M49*12*T49/100*'Complet Data'!$F$4,IF(assurance="ASAF",M49*12*T49/100*'Complet Data'!$I$4,IF(assurance="NEOLIANE",('Complet Data'!$G$5+M49*12*'Complet Data'!$G$4)*T49/100,IF(assurance="NEOLIANE Prev",('Complet Data'!$H$5+M49*12*'Complet Data'!$H$4)*T49/100,IF(assurance="SWISSLIFE",M49*12*T49/100*'Complet Data'!$J$4,IF(assurance="AVIVA",M49*12*T49/100*'Complet Data'!$L$4,IF(assurance="CIPRES",M49*12*T49/100*'Complet Data'!$M$4,IF(assurance="CEGEMA",M49*12*T49/100*'Complet Data'!$N$4,IF(assurance=0,0))))))))))))</f>
        <v>0</v>
      </c>
      <c r="V49" s="298" t="str">
        <f t="shared" si="53"/>
        <v/>
      </c>
      <c r="W49" s="298" t="str">
        <f t="shared" si="54"/>
        <v/>
      </c>
      <c r="X49" s="299">
        <f t="shared" si="55"/>
        <v>0</v>
      </c>
      <c r="Y49" s="368">
        <f t="shared" si="56"/>
        <v>0</v>
      </c>
      <c r="Z49" s="314"/>
      <c r="AA49" s="313" t="str">
        <f t="shared" si="57"/>
        <v/>
      </c>
      <c r="AB49" s="268" t="s">
        <v>13</v>
      </c>
      <c r="AC49" s="277"/>
      <c r="AD49" s="309" t="str">
        <f t="shared" si="95"/>
        <v/>
      </c>
      <c r="AE49" s="286" t="str">
        <f t="shared" si="92"/>
        <v/>
      </c>
      <c r="AF49" s="277"/>
      <c r="AG49" s="275" t="str">
        <f t="shared" si="58"/>
        <v/>
      </c>
      <c r="AH49" s="287" t="str">
        <f t="shared" ca="1" si="59"/>
        <v/>
      </c>
      <c r="AI49" s="373" t="str">
        <f t="shared" ca="1" si="60"/>
        <v/>
      </c>
      <c r="AJ49" s="296" t="str">
        <f t="shared" si="61"/>
        <v/>
      </c>
      <c r="AK49" s="296" t="str">
        <f t="shared" si="62"/>
        <v/>
      </c>
      <c r="AL49" s="287" t="str">
        <f t="shared" si="63"/>
        <v/>
      </c>
      <c r="AM49" s="279">
        <f t="shared" si="64"/>
        <v>0</v>
      </c>
      <c r="AN49" s="279">
        <f t="shared" si="89"/>
        <v>0</v>
      </c>
      <c r="AO49" s="288">
        <f t="shared" si="65"/>
        <v>0</v>
      </c>
      <c r="AP49" s="279">
        <f t="shared" si="90"/>
        <v>0</v>
      </c>
      <c r="AQ49" s="288">
        <f t="shared" si="66"/>
        <v>0</v>
      </c>
      <c r="AR49" s="289">
        <f t="shared" si="67"/>
        <v>0</v>
      </c>
      <c r="AS49" s="279">
        <f t="shared" si="91"/>
        <v>0</v>
      </c>
      <c r="AT49" s="288">
        <f t="shared" si="68"/>
        <v>0</v>
      </c>
      <c r="AU49" s="289">
        <f t="shared" si="69"/>
        <v>0</v>
      </c>
      <c r="AV49" s="279">
        <f t="shared" si="70"/>
        <v>0</v>
      </c>
      <c r="AW49" s="288">
        <f t="shared" si="71"/>
        <v>0</v>
      </c>
      <c r="AX49" s="289">
        <f t="shared" si="72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73"/>
        <v/>
      </c>
      <c r="BM49" s="270"/>
      <c r="BN49" s="271"/>
      <c r="BO49" s="272" t="str">
        <f t="shared" ca="1" si="74"/>
        <v/>
      </c>
      <c r="BP49" s="270"/>
      <c r="BQ49" s="271"/>
      <c r="BR49" s="272" t="str">
        <f t="shared" ca="1" si="75"/>
        <v/>
      </c>
      <c r="BS49" s="270"/>
      <c r="BT49" s="271"/>
      <c r="BU49" s="272" t="str">
        <f t="shared" ca="1" si="76"/>
        <v/>
      </c>
      <c r="BV49" s="270"/>
      <c r="BW49" s="271"/>
      <c r="BX49" s="272" t="str">
        <f t="shared" ca="1" si="77"/>
        <v/>
      </c>
      <c r="BY49" s="270"/>
      <c r="BZ49" s="271"/>
      <c r="CA49" s="272" t="str">
        <f t="shared" ca="1" si="78"/>
        <v/>
      </c>
      <c r="CB49" s="270"/>
      <c r="CC49" s="271"/>
      <c r="CD49" s="272" t="str">
        <f t="shared" ca="1" si="79"/>
        <v/>
      </c>
      <c r="CE49" s="270"/>
      <c r="CF49" s="271"/>
      <c r="CG49" s="272" t="str">
        <f t="shared" ca="1" si="80"/>
        <v/>
      </c>
      <c r="CH49" s="270"/>
      <c r="CI49" s="271"/>
      <c r="CJ49" s="272" t="str">
        <f t="shared" ca="1" si="81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93"/>
        <v/>
      </c>
      <c r="CU49" s="264"/>
      <c r="CV49" s="265"/>
      <c r="CW49" s="264"/>
      <c r="CX49" s="264"/>
      <c r="CY49" s="264" t="str">
        <f t="shared" si="96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82"/>
        <v>0</v>
      </c>
      <c r="DN49" s="295" t="str">
        <f t="shared" si="83"/>
        <v/>
      </c>
      <c r="DO49" s="392" t="str">
        <f t="shared" si="84"/>
        <v/>
      </c>
      <c r="DP49" s="392" t="str">
        <f t="shared" si="85"/>
        <v/>
      </c>
      <c r="DQ49" s="456" t="str">
        <f t="shared" si="86"/>
        <v/>
      </c>
      <c r="DR49" s="456" t="str">
        <f t="shared" si="87"/>
        <v/>
      </c>
    </row>
    <row r="50" spans="1:122" x14ac:dyDescent="0.25">
      <c r="A50" s="599" t="str">
        <f t="shared" si="88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50"/>
        <v/>
      </c>
      <c r="J50" s="312"/>
      <c r="K50" s="268"/>
      <c r="L50" s="277"/>
      <c r="M50" s="279"/>
      <c r="N50" s="280"/>
      <c r="O50" s="280"/>
      <c r="P50" s="455"/>
      <c r="Q50" s="281" t="str">
        <f t="shared" si="51"/>
        <v/>
      </c>
      <c r="R50" s="282">
        <f t="shared" si="52"/>
        <v>0</v>
      </c>
      <c r="S50" s="268"/>
      <c r="T50" s="283">
        <f t="shared" si="94"/>
        <v>0</v>
      </c>
      <c r="U50" s="284">
        <f>IF(M50=0,0,IF(G50="Annulation","",IF(assurance="ALPTIS",M50*12*T50/100*'Complet Data'!$K$4,IF(assurance="APRIL",M50*12*T50/100*'Complet Data'!$F$4,IF(assurance="ASAF",M50*12*T50/100*'Complet Data'!$I$4,IF(assurance="NEOLIANE",('Complet Data'!$G$5+M50*12*'Complet Data'!$G$4)*T50/100,IF(assurance="NEOLIANE Prev",('Complet Data'!$H$5+M50*12*'Complet Data'!$H$4)*T50/100,IF(assurance="SWISSLIFE",M50*12*T50/100*'Complet Data'!$J$4,IF(assurance="AVIVA",M50*12*T50/100*'Complet Data'!$L$4,IF(assurance="CIPRES",M50*12*T50/100*'Complet Data'!$M$4,IF(assurance="CEGEMA",M50*12*T50/100*'Complet Data'!$N$4,IF(assurance=0,0))))))))))))</f>
        <v>0</v>
      </c>
      <c r="V50" s="298" t="str">
        <f t="shared" si="53"/>
        <v/>
      </c>
      <c r="W50" s="298" t="str">
        <f t="shared" si="54"/>
        <v/>
      </c>
      <c r="X50" s="299">
        <f t="shared" si="55"/>
        <v>0</v>
      </c>
      <c r="Y50" s="368">
        <f t="shared" si="56"/>
        <v>0</v>
      </c>
      <c r="Z50" s="314"/>
      <c r="AA50" s="313" t="str">
        <f t="shared" si="57"/>
        <v/>
      </c>
      <c r="AB50" s="268" t="s">
        <v>13</v>
      </c>
      <c r="AC50" s="277"/>
      <c r="AD50" s="309" t="str">
        <f t="shared" si="95"/>
        <v/>
      </c>
      <c r="AE50" s="286" t="str">
        <f t="shared" si="92"/>
        <v/>
      </c>
      <c r="AF50" s="277"/>
      <c r="AG50" s="275" t="str">
        <f t="shared" si="58"/>
        <v/>
      </c>
      <c r="AH50" s="287" t="str">
        <f t="shared" ca="1" si="59"/>
        <v/>
      </c>
      <c r="AI50" s="373" t="str">
        <f t="shared" ca="1" si="60"/>
        <v/>
      </c>
      <c r="AJ50" s="296" t="str">
        <f t="shared" si="61"/>
        <v/>
      </c>
      <c r="AK50" s="296" t="str">
        <f t="shared" si="62"/>
        <v/>
      </c>
      <c r="AL50" s="287" t="str">
        <f t="shared" si="63"/>
        <v/>
      </c>
      <c r="AM50" s="279">
        <f t="shared" si="64"/>
        <v>0</v>
      </c>
      <c r="AN50" s="279">
        <f t="shared" si="89"/>
        <v>0</v>
      </c>
      <c r="AO50" s="288">
        <f t="shared" si="65"/>
        <v>0</v>
      </c>
      <c r="AP50" s="279">
        <f t="shared" si="90"/>
        <v>0</v>
      </c>
      <c r="AQ50" s="288">
        <f t="shared" si="66"/>
        <v>0</v>
      </c>
      <c r="AR50" s="289">
        <f t="shared" si="67"/>
        <v>0</v>
      </c>
      <c r="AS50" s="279">
        <f t="shared" si="91"/>
        <v>0</v>
      </c>
      <c r="AT50" s="288">
        <f t="shared" si="68"/>
        <v>0</v>
      </c>
      <c r="AU50" s="289">
        <f t="shared" si="69"/>
        <v>0</v>
      </c>
      <c r="AV50" s="279">
        <f t="shared" si="70"/>
        <v>0</v>
      </c>
      <c r="AW50" s="288">
        <f t="shared" si="71"/>
        <v>0</v>
      </c>
      <c r="AX50" s="289">
        <f t="shared" si="72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73"/>
        <v/>
      </c>
      <c r="BM50" s="270"/>
      <c r="BN50" s="271"/>
      <c r="BO50" s="272" t="str">
        <f t="shared" ca="1" si="74"/>
        <v/>
      </c>
      <c r="BP50" s="270"/>
      <c r="BQ50" s="271"/>
      <c r="BR50" s="272" t="str">
        <f t="shared" ca="1" si="75"/>
        <v/>
      </c>
      <c r="BS50" s="270"/>
      <c r="BT50" s="271"/>
      <c r="BU50" s="272" t="str">
        <f t="shared" ca="1" si="76"/>
        <v/>
      </c>
      <c r="BV50" s="270"/>
      <c r="BW50" s="271"/>
      <c r="BX50" s="272" t="str">
        <f t="shared" ca="1" si="77"/>
        <v/>
      </c>
      <c r="BY50" s="270"/>
      <c r="BZ50" s="271"/>
      <c r="CA50" s="272" t="str">
        <f t="shared" ca="1" si="78"/>
        <v/>
      </c>
      <c r="CB50" s="270"/>
      <c r="CC50" s="271"/>
      <c r="CD50" s="272" t="str">
        <f t="shared" ca="1" si="79"/>
        <v/>
      </c>
      <c r="CE50" s="270"/>
      <c r="CF50" s="271"/>
      <c r="CG50" s="272" t="str">
        <f t="shared" ca="1" si="80"/>
        <v/>
      </c>
      <c r="CH50" s="270"/>
      <c r="CI50" s="271"/>
      <c r="CJ50" s="272" t="str">
        <f t="shared" ca="1" si="81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93"/>
        <v/>
      </c>
      <c r="CU50" s="264"/>
      <c r="CV50" s="265"/>
      <c r="CW50" s="264"/>
      <c r="CX50" s="264"/>
      <c r="CY50" s="264" t="str">
        <f t="shared" si="96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82"/>
        <v>0</v>
      </c>
      <c r="DN50" s="295" t="str">
        <f t="shared" si="83"/>
        <v/>
      </c>
      <c r="DO50" s="392" t="str">
        <f t="shared" si="84"/>
        <v/>
      </c>
      <c r="DP50" s="392" t="str">
        <f t="shared" si="85"/>
        <v/>
      </c>
      <c r="DQ50" s="456" t="str">
        <f t="shared" si="86"/>
        <v/>
      </c>
      <c r="DR50" s="456" t="str">
        <f t="shared" si="87"/>
        <v/>
      </c>
    </row>
    <row r="51" spans="1:122" x14ac:dyDescent="0.25">
      <c r="A51" s="599" t="str">
        <f t="shared" si="88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50"/>
        <v/>
      </c>
      <c r="J51" s="312"/>
      <c r="K51" s="268"/>
      <c r="L51" s="277"/>
      <c r="M51" s="279"/>
      <c r="N51" s="280"/>
      <c r="O51" s="280"/>
      <c r="P51" s="455"/>
      <c r="Q51" s="281" t="str">
        <f t="shared" si="51"/>
        <v/>
      </c>
      <c r="R51" s="282">
        <f t="shared" si="52"/>
        <v>0</v>
      </c>
      <c r="S51" s="268"/>
      <c r="T51" s="283">
        <f t="shared" si="94"/>
        <v>0</v>
      </c>
      <c r="U51" s="284">
        <f>IF(M51=0,0,IF(G51="Annulation","",IF(assurance="ALPTIS",M51*12*T51/100*'Complet Data'!$K$4,IF(assurance="APRIL",M51*12*T51/100*'Complet Data'!$F$4,IF(assurance="ASAF",M51*12*T51/100*'Complet Data'!$I$4,IF(assurance="NEOLIANE",('Complet Data'!$G$5+M51*12*'Complet Data'!$G$4)*T51/100,IF(assurance="NEOLIANE Prev",('Complet Data'!$H$5+M51*12*'Complet Data'!$H$4)*T51/100,IF(assurance="SWISSLIFE",M51*12*T51/100*'Complet Data'!$J$4,IF(assurance="AVIVA",M51*12*T51/100*'Complet Data'!$L$4,IF(assurance="CIPRES",M51*12*T51/100*'Complet Data'!$M$4,IF(assurance="CEGEMA",M51*12*T51/100*'Complet Data'!$N$4,IF(assurance=0,0))))))))))))</f>
        <v>0</v>
      </c>
      <c r="V51" s="298" t="str">
        <f t="shared" si="53"/>
        <v/>
      </c>
      <c r="W51" s="298" t="str">
        <f t="shared" si="54"/>
        <v/>
      </c>
      <c r="X51" s="299">
        <f t="shared" si="55"/>
        <v>0</v>
      </c>
      <c r="Y51" s="368">
        <f t="shared" si="56"/>
        <v>0</v>
      </c>
      <c r="Z51" s="314"/>
      <c r="AA51" s="313" t="str">
        <f t="shared" si="57"/>
        <v/>
      </c>
      <c r="AB51" s="268" t="s">
        <v>13</v>
      </c>
      <c r="AC51" s="277"/>
      <c r="AD51" s="309" t="str">
        <f t="shared" si="95"/>
        <v/>
      </c>
      <c r="AE51" s="286" t="str">
        <f t="shared" si="92"/>
        <v/>
      </c>
      <c r="AF51" s="277"/>
      <c r="AG51" s="275" t="str">
        <f t="shared" si="58"/>
        <v/>
      </c>
      <c r="AH51" s="287" t="str">
        <f t="shared" ca="1" si="59"/>
        <v/>
      </c>
      <c r="AI51" s="373" t="str">
        <f t="shared" ca="1" si="60"/>
        <v/>
      </c>
      <c r="AJ51" s="296" t="str">
        <f t="shared" si="61"/>
        <v/>
      </c>
      <c r="AK51" s="296" t="str">
        <f t="shared" si="62"/>
        <v/>
      </c>
      <c r="AL51" s="287" t="str">
        <f t="shared" si="63"/>
        <v/>
      </c>
      <c r="AM51" s="279">
        <f t="shared" si="64"/>
        <v>0</v>
      </c>
      <c r="AN51" s="279">
        <f t="shared" si="89"/>
        <v>0</v>
      </c>
      <c r="AO51" s="288">
        <f t="shared" si="65"/>
        <v>0</v>
      </c>
      <c r="AP51" s="279">
        <f t="shared" si="90"/>
        <v>0</v>
      </c>
      <c r="AQ51" s="288">
        <f t="shared" si="66"/>
        <v>0</v>
      </c>
      <c r="AR51" s="289">
        <f t="shared" si="67"/>
        <v>0</v>
      </c>
      <c r="AS51" s="279">
        <f t="shared" si="91"/>
        <v>0</v>
      </c>
      <c r="AT51" s="288">
        <f t="shared" si="68"/>
        <v>0</v>
      </c>
      <c r="AU51" s="289">
        <f t="shared" si="69"/>
        <v>0</v>
      </c>
      <c r="AV51" s="279">
        <f t="shared" si="70"/>
        <v>0</v>
      </c>
      <c r="AW51" s="288">
        <f t="shared" si="71"/>
        <v>0</v>
      </c>
      <c r="AX51" s="289">
        <f t="shared" si="72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73"/>
        <v/>
      </c>
      <c r="BM51" s="270"/>
      <c r="BN51" s="271"/>
      <c r="BO51" s="272" t="str">
        <f t="shared" ca="1" si="74"/>
        <v/>
      </c>
      <c r="BP51" s="270"/>
      <c r="BQ51" s="271"/>
      <c r="BR51" s="272" t="str">
        <f t="shared" ca="1" si="75"/>
        <v/>
      </c>
      <c r="BS51" s="270"/>
      <c r="BT51" s="271"/>
      <c r="BU51" s="272" t="str">
        <f t="shared" ca="1" si="76"/>
        <v/>
      </c>
      <c r="BV51" s="270"/>
      <c r="BW51" s="271"/>
      <c r="BX51" s="272" t="str">
        <f t="shared" ca="1" si="77"/>
        <v/>
      </c>
      <c r="BY51" s="270"/>
      <c r="BZ51" s="271"/>
      <c r="CA51" s="272" t="str">
        <f t="shared" ca="1" si="78"/>
        <v/>
      </c>
      <c r="CB51" s="270"/>
      <c r="CC51" s="271"/>
      <c r="CD51" s="272" t="str">
        <f t="shared" ca="1" si="79"/>
        <v/>
      </c>
      <c r="CE51" s="270"/>
      <c r="CF51" s="271"/>
      <c r="CG51" s="272" t="str">
        <f t="shared" ca="1" si="80"/>
        <v/>
      </c>
      <c r="CH51" s="270"/>
      <c r="CI51" s="271"/>
      <c r="CJ51" s="272" t="str">
        <f t="shared" ca="1" si="81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93"/>
        <v/>
      </c>
      <c r="CU51" s="264"/>
      <c r="CV51" s="265"/>
      <c r="CW51" s="264"/>
      <c r="CX51" s="264"/>
      <c r="CY51" s="264" t="str">
        <f t="shared" si="96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82"/>
        <v>0</v>
      </c>
      <c r="DN51" s="295" t="str">
        <f t="shared" si="83"/>
        <v/>
      </c>
      <c r="DO51" s="392" t="str">
        <f t="shared" si="84"/>
        <v/>
      </c>
      <c r="DP51" s="392" t="str">
        <f t="shared" si="85"/>
        <v/>
      </c>
      <c r="DQ51" s="456" t="str">
        <f t="shared" si="86"/>
        <v/>
      </c>
      <c r="DR51" s="456" t="str">
        <f t="shared" si="87"/>
        <v/>
      </c>
    </row>
    <row r="52" spans="1:122" x14ac:dyDescent="0.25">
      <c r="A52" s="599" t="str">
        <f t="shared" si="88"/>
        <v xml:space="preserve">  -  - </v>
      </c>
      <c r="B52" s="306"/>
      <c r="C52" s="305"/>
      <c r="D52" s="301"/>
      <c r="E52" s="276"/>
      <c r="F52" s="278"/>
      <c r="G52" s="311"/>
      <c r="H52" s="276"/>
      <c r="I52" s="313" t="str">
        <f t="shared" si="50"/>
        <v/>
      </c>
      <c r="J52" s="312"/>
      <c r="K52" s="268"/>
      <c r="L52" s="277"/>
      <c r="M52" s="279"/>
      <c r="N52" s="280"/>
      <c r="O52" s="280"/>
      <c r="P52" s="455"/>
      <c r="Q52" s="281" t="str">
        <f t="shared" si="51"/>
        <v/>
      </c>
      <c r="R52" s="282">
        <f t="shared" si="52"/>
        <v>0</v>
      </c>
      <c r="S52" s="268"/>
      <c r="T52" s="283">
        <f t="shared" si="94"/>
        <v>0</v>
      </c>
      <c r="U52" s="284">
        <f>IF(M52=0,0,IF(G52="Annulation","",IF(assurance="ALPTIS",M52*12*T52/100*'Complet Data'!$K$4,IF(assurance="APRIL",M52*12*T52/100*'Complet Data'!$F$4,IF(assurance="ASAF",M52*12*T52/100*'Complet Data'!$I$4,IF(assurance="NEOLIANE",('Complet Data'!$G$5+M52*12*'Complet Data'!$G$4)*T52/100,IF(assurance="NEOLIANE Prev",('Complet Data'!$H$5+M52*12*'Complet Data'!$H$4)*T52/100,IF(assurance="SWISSLIFE",M52*12*T52/100*'Complet Data'!$J$4,IF(assurance="AVIVA",M52*12*T52/100*'Complet Data'!$L$4,IF(assurance="CIPRES",M52*12*T52/100*'Complet Data'!$M$4,IF(assurance="CEGEMA",M52*12*T52/100*'Complet Data'!$N$4,IF(assurance=0,0))))))))))))</f>
        <v>0</v>
      </c>
      <c r="V52" s="298" t="str">
        <f t="shared" si="53"/>
        <v/>
      </c>
      <c r="W52" s="298" t="str">
        <f t="shared" si="54"/>
        <v/>
      </c>
      <c r="X52" s="299">
        <f t="shared" si="55"/>
        <v>0</v>
      </c>
      <c r="Y52" s="368">
        <f t="shared" si="56"/>
        <v>0</v>
      </c>
      <c r="Z52" s="314"/>
      <c r="AA52" s="313" t="str">
        <f t="shared" si="57"/>
        <v/>
      </c>
      <c r="AB52" s="268" t="s">
        <v>13</v>
      </c>
      <c r="AC52" s="277"/>
      <c r="AD52" s="309" t="str">
        <f t="shared" si="95"/>
        <v/>
      </c>
      <c r="AE52" s="286" t="str">
        <f t="shared" si="92"/>
        <v/>
      </c>
      <c r="AF52" s="277"/>
      <c r="AG52" s="275" t="str">
        <f t="shared" si="58"/>
        <v/>
      </c>
      <c r="AH52" s="287" t="str">
        <f t="shared" ca="1" si="59"/>
        <v/>
      </c>
      <c r="AI52" s="373" t="str">
        <f t="shared" ca="1" si="60"/>
        <v/>
      </c>
      <c r="AJ52" s="296" t="str">
        <f t="shared" si="61"/>
        <v/>
      </c>
      <c r="AK52" s="296" t="str">
        <f t="shared" si="62"/>
        <v/>
      </c>
      <c r="AL52" s="287" t="str">
        <f t="shared" si="63"/>
        <v/>
      </c>
      <c r="AM52" s="279">
        <f t="shared" si="64"/>
        <v>0</v>
      </c>
      <c r="AN52" s="279">
        <f t="shared" si="89"/>
        <v>0</v>
      </c>
      <c r="AO52" s="288">
        <f t="shared" si="65"/>
        <v>0</v>
      </c>
      <c r="AP52" s="279">
        <f t="shared" si="90"/>
        <v>0</v>
      </c>
      <c r="AQ52" s="288">
        <f t="shared" si="66"/>
        <v>0</v>
      </c>
      <c r="AR52" s="289">
        <f t="shared" si="67"/>
        <v>0</v>
      </c>
      <c r="AS52" s="279">
        <f t="shared" si="91"/>
        <v>0</v>
      </c>
      <c r="AT52" s="288">
        <f t="shared" si="68"/>
        <v>0</v>
      </c>
      <c r="AU52" s="289">
        <f t="shared" si="69"/>
        <v>0</v>
      </c>
      <c r="AV52" s="279">
        <f t="shared" si="70"/>
        <v>0</v>
      </c>
      <c r="AW52" s="288">
        <f t="shared" si="71"/>
        <v>0</v>
      </c>
      <c r="AX52" s="289">
        <f t="shared" si="72"/>
        <v>0</v>
      </c>
      <c r="AY52" s="268"/>
      <c r="AZ52" s="291"/>
      <c r="BA52" s="292"/>
      <c r="BB52" s="303"/>
      <c r="BC52" s="293"/>
      <c r="BD52" s="293"/>
      <c r="BE52" s="304"/>
      <c r="BF52" s="274"/>
      <c r="BG52" s="377"/>
      <c r="BH52" s="268">
        <v>1</v>
      </c>
      <c r="BI52" s="273">
        <v>0</v>
      </c>
      <c r="BJ52" s="276"/>
      <c r="BK52" s="294"/>
      <c r="BL52" s="269" t="str">
        <f t="shared" ca="1" si="73"/>
        <v/>
      </c>
      <c r="BM52" s="270"/>
      <c r="BN52" s="271"/>
      <c r="BO52" s="272" t="str">
        <f t="shared" ca="1" si="74"/>
        <v/>
      </c>
      <c r="BP52" s="270"/>
      <c r="BQ52" s="271"/>
      <c r="BR52" s="272" t="str">
        <f t="shared" ca="1" si="75"/>
        <v/>
      </c>
      <c r="BS52" s="270"/>
      <c r="BT52" s="271"/>
      <c r="BU52" s="272" t="str">
        <f t="shared" ca="1" si="76"/>
        <v/>
      </c>
      <c r="BV52" s="270"/>
      <c r="BW52" s="271"/>
      <c r="BX52" s="272" t="str">
        <f t="shared" ca="1" si="77"/>
        <v/>
      </c>
      <c r="BY52" s="270"/>
      <c r="BZ52" s="271"/>
      <c r="CA52" s="272" t="str">
        <f t="shared" ca="1" si="78"/>
        <v/>
      </c>
      <c r="CB52" s="270"/>
      <c r="CC52" s="271"/>
      <c r="CD52" s="272" t="str">
        <f t="shared" ca="1" si="79"/>
        <v/>
      </c>
      <c r="CE52" s="270"/>
      <c r="CF52" s="271"/>
      <c r="CG52" s="272" t="str">
        <f t="shared" ca="1" si="80"/>
        <v/>
      </c>
      <c r="CH52" s="270"/>
      <c r="CI52" s="271"/>
      <c r="CJ52" s="272" t="str">
        <f t="shared" ca="1" si="81"/>
        <v/>
      </c>
      <c r="CK52" s="262"/>
      <c r="CL52" s="264"/>
      <c r="CM52" s="264"/>
      <c r="CN52" s="264"/>
      <c r="CO52" s="264"/>
      <c r="CP52" s="264"/>
      <c r="CQ52" s="264"/>
      <c r="CR52" s="262"/>
      <c r="CS52" s="263"/>
      <c r="CT52" s="297" t="str">
        <f t="shared" si="93"/>
        <v/>
      </c>
      <c r="CU52" s="264"/>
      <c r="CV52" s="265"/>
      <c r="CW52" s="264"/>
      <c r="CX52" s="264"/>
      <c r="CY52" s="264" t="str">
        <f t="shared" si="96"/>
        <v/>
      </c>
      <c r="CZ52" s="264"/>
      <c r="DA52" s="264"/>
      <c r="DB52" s="266"/>
      <c r="DC52" s="264"/>
      <c r="DD52" s="264"/>
      <c r="DE52" s="266"/>
      <c r="DF52" s="266"/>
      <c r="DG52" s="264"/>
      <c r="DH52" s="266"/>
      <c r="DI52" s="266"/>
      <c r="DJ52" s="264"/>
      <c r="DK52" s="264"/>
      <c r="DL52" s="267"/>
      <c r="DM52" s="261">
        <f t="shared" si="82"/>
        <v>0</v>
      </c>
      <c r="DN52" s="295" t="str">
        <f t="shared" si="83"/>
        <v/>
      </c>
      <c r="DO52" s="392" t="str">
        <f t="shared" si="84"/>
        <v/>
      </c>
      <c r="DP52" s="392" t="str">
        <f t="shared" si="85"/>
        <v/>
      </c>
      <c r="DQ52" s="456" t="str">
        <f t="shared" si="86"/>
        <v/>
      </c>
      <c r="DR52" s="456" t="str">
        <f t="shared" si="87"/>
        <v/>
      </c>
    </row>
    <row r="53" spans="1:122" x14ac:dyDescent="0.25">
      <c r="A53" s="599" t="str">
        <f t="shared" si="88"/>
        <v xml:space="preserve">  -  - </v>
      </c>
      <c r="B53" s="306"/>
      <c r="C53" s="305"/>
      <c r="D53" s="301"/>
      <c r="E53" s="276"/>
      <c r="F53" s="278"/>
      <c r="G53" s="311"/>
      <c r="H53" s="276"/>
      <c r="I53" s="313" t="str">
        <f t="shared" si="50"/>
        <v/>
      </c>
      <c r="J53" s="312"/>
      <c r="K53" s="268"/>
      <c r="L53" s="277"/>
      <c r="M53" s="279"/>
      <c r="N53" s="280"/>
      <c r="O53" s="280"/>
      <c r="P53" s="455"/>
      <c r="Q53" s="281" t="str">
        <f t="shared" si="51"/>
        <v/>
      </c>
      <c r="R53" s="282">
        <f t="shared" si="52"/>
        <v>0</v>
      </c>
      <c r="S53" s="268"/>
      <c r="T53" s="283">
        <f t="shared" si="94"/>
        <v>0</v>
      </c>
      <c r="U53" s="284">
        <f>IF(M53=0,0,IF(G53="Annulation","",IF(assurance="ALPTIS",M53*12*T53/100*'Complet Data'!$K$4,IF(assurance="APRIL",M53*12*T53/100*'Complet Data'!$F$4,IF(assurance="ASAF",M53*12*T53/100*'Complet Data'!$I$4,IF(assurance="NEOLIANE",('Complet Data'!$G$5+M53*12*'Complet Data'!$G$4)*T53/100,IF(assurance="NEOLIANE Prev",('Complet Data'!$H$5+M53*12*'Complet Data'!$H$4)*T53/100,IF(assurance="SWISSLIFE",M53*12*T53/100*'Complet Data'!$J$4,IF(assurance="AVIVA",M53*12*T53/100*'Complet Data'!$L$4,IF(assurance="CIPRES",M53*12*T53/100*'Complet Data'!$M$4,IF(assurance="CEGEMA",M53*12*T53/100*'Complet Data'!$N$4,IF(assurance=0,0))))))))))))</f>
        <v>0</v>
      </c>
      <c r="V53" s="298" t="str">
        <f t="shared" si="53"/>
        <v/>
      </c>
      <c r="W53" s="298" t="str">
        <f t="shared" si="54"/>
        <v/>
      </c>
      <c r="X53" s="299">
        <f t="shared" si="55"/>
        <v>0</v>
      </c>
      <c r="Y53" s="368">
        <f t="shared" si="56"/>
        <v>0</v>
      </c>
      <c r="Z53" s="314"/>
      <c r="AA53" s="313" t="str">
        <f t="shared" si="57"/>
        <v/>
      </c>
      <c r="AB53" s="268" t="s">
        <v>13</v>
      </c>
      <c r="AC53" s="277"/>
      <c r="AD53" s="309" t="str">
        <f t="shared" si="95"/>
        <v/>
      </c>
      <c r="AE53" s="286" t="str">
        <f t="shared" si="92"/>
        <v/>
      </c>
      <c r="AF53" s="277"/>
      <c r="AG53" s="275" t="str">
        <f t="shared" si="58"/>
        <v/>
      </c>
      <c r="AH53" s="287" t="str">
        <f t="shared" ca="1" si="59"/>
        <v/>
      </c>
      <c r="AI53" s="373" t="str">
        <f t="shared" ca="1" si="60"/>
        <v/>
      </c>
      <c r="AJ53" s="296" t="str">
        <f t="shared" si="61"/>
        <v/>
      </c>
      <c r="AK53" s="296" t="str">
        <f t="shared" si="62"/>
        <v/>
      </c>
      <c r="AL53" s="287" t="str">
        <f t="shared" si="63"/>
        <v/>
      </c>
      <c r="AM53" s="279">
        <f t="shared" si="64"/>
        <v>0</v>
      </c>
      <c r="AN53" s="279">
        <f t="shared" si="89"/>
        <v>0</v>
      </c>
      <c r="AO53" s="288">
        <f t="shared" si="65"/>
        <v>0</v>
      </c>
      <c r="AP53" s="279">
        <f t="shared" si="90"/>
        <v>0</v>
      </c>
      <c r="AQ53" s="288">
        <f t="shared" si="66"/>
        <v>0</v>
      </c>
      <c r="AR53" s="289">
        <f t="shared" si="67"/>
        <v>0</v>
      </c>
      <c r="AS53" s="279">
        <f t="shared" si="91"/>
        <v>0</v>
      </c>
      <c r="AT53" s="288">
        <f t="shared" si="68"/>
        <v>0</v>
      </c>
      <c r="AU53" s="289">
        <f t="shared" si="69"/>
        <v>0</v>
      </c>
      <c r="AV53" s="279">
        <f t="shared" si="70"/>
        <v>0</v>
      </c>
      <c r="AW53" s="288">
        <f t="shared" si="71"/>
        <v>0</v>
      </c>
      <c r="AX53" s="289">
        <f t="shared" si="72"/>
        <v>0</v>
      </c>
      <c r="AY53" s="268"/>
      <c r="AZ53" s="291"/>
      <c r="BA53" s="292"/>
      <c r="BB53" s="303"/>
      <c r="BC53" s="293"/>
      <c r="BD53" s="293"/>
      <c r="BE53" s="304"/>
      <c r="BF53" s="274"/>
      <c r="BG53" s="377"/>
      <c r="BH53" s="268">
        <v>1</v>
      </c>
      <c r="BI53" s="273">
        <v>0</v>
      </c>
      <c r="BJ53" s="276"/>
      <c r="BK53" s="294"/>
      <c r="BL53" s="269" t="str">
        <f t="shared" ca="1" si="73"/>
        <v/>
      </c>
      <c r="BM53" s="270"/>
      <c r="BN53" s="271"/>
      <c r="BO53" s="272" t="str">
        <f t="shared" ca="1" si="74"/>
        <v/>
      </c>
      <c r="BP53" s="270"/>
      <c r="BQ53" s="271"/>
      <c r="BR53" s="272" t="str">
        <f t="shared" ca="1" si="75"/>
        <v/>
      </c>
      <c r="BS53" s="270"/>
      <c r="BT53" s="271"/>
      <c r="BU53" s="272" t="str">
        <f t="shared" ca="1" si="76"/>
        <v/>
      </c>
      <c r="BV53" s="270"/>
      <c r="BW53" s="271"/>
      <c r="BX53" s="272" t="str">
        <f t="shared" ca="1" si="77"/>
        <v/>
      </c>
      <c r="BY53" s="270"/>
      <c r="BZ53" s="271"/>
      <c r="CA53" s="272" t="str">
        <f t="shared" ca="1" si="78"/>
        <v/>
      </c>
      <c r="CB53" s="270"/>
      <c r="CC53" s="271"/>
      <c r="CD53" s="272" t="str">
        <f t="shared" ca="1" si="79"/>
        <v/>
      </c>
      <c r="CE53" s="270"/>
      <c r="CF53" s="271"/>
      <c r="CG53" s="272" t="str">
        <f t="shared" ca="1" si="80"/>
        <v/>
      </c>
      <c r="CH53" s="270"/>
      <c r="CI53" s="271"/>
      <c r="CJ53" s="272" t="str">
        <f t="shared" ca="1" si="81"/>
        <v/>
      </c>
      <c r="CK53" s="262"/>
      <c r="CL53" s="264"/>
      <c r="CM53" s="264"/>
      <c r="CN53" s="264"/>
      <c r="CO53" s="264"/>
      <c r="CP53" s="264"/>
      <c r="CQ53" s="264"/>
      <c r="CR53" s="262"/>
      <c r="CS53" s="263"/>
      <c r="CT53" s="297" t="str">
        <f t="shared" si="93"/>
        <v/>
      </c>
      <c r="CU53" s="264"/>
      <c r="CV53" s="265"/>
      <c r="CW53" s="264"/>
      <c r="CX53" s="264"/>
      <c r="CY53" s="264" t="str">
        <f t="shared" si="96"/>
        <v/>
      </c>
      <c r="CZ53" s="264"/>
      <c r="DA53" s="264"/>
      <c r="DB53" s="266"/>
      <c r="DC53" s="264"/>
      <c r="DD53" s="264"/>
      <c r="DE53" s="266"/>
      <c r="DF53" s="266"/>
      <c r="DG53" s="264"/>
      <c r="DH53" s="266"/>
      <c r="DI53" s="266"/>
      <c r="DJ53" s="264"/>
      <c r="DK53" s="264"/>
      <c r="DL53" s="267"/>
      <c r="DM53" s="261">
        <f t="shared" si="82"/>
        <v>0</v>
      </c>
      <c r="DN53" s="295" t="str">
        <f t="shared" si="83"/>
        <v/>
      </c>
      <c r="DO53" s="392" t="str">
        <f t="shared" si="84"/>
        <v/>
      </c>
      <c r="DP53" s="392" t="str">
        <f t="shared" si="85"/>
        <v/>
      </c>
      <c r="DQ53" s="456" t="str">
        <f t="shared" si="86"/>
        <v/>
      </c>
      <c r="DR53" s="456" t="str">
        <f t="shared" si="87"/>
        <v/>
      </c>
    </row>
    <row r="54" spans="1:122" x14ac:dyDescent="0.25">
      <c r="A54" s="599" t="str">
        <f t="shared" si="88"/>
        <v xml:space="preserve">  -  - </v>
      </c>
      <c r="B54" s="306"/>
      <c r="C54" s="305"/>
      <c r="D54" s="301"/>
      <c r="E54" s="276"/>
      <c r="F54" s="278"/>
      <c r="G54" s="311"/>
      <c r="H54" s="276"/>
      <c r="I54" s="313" t="str">
        <f t="shared" si="50"/>
        <v/>
      </c>
      <c r="J54" s="312"/>
      <c r="K54" s="268"/>
      <c r="L54" s="277"/>
      <c r="M54" s="279"/>
      <c r="N54" s="280"/>
      <c r="O54" s="280"/>
      <c r="P54" s="455"/>
      <c r="Q54" s="281" t="str">
        <f t="shared" si="51"/>
        <v/>
      </c>
      <c r="R54" s="282">
        <f t="shared" si="52"/>
        <v>0</v>
      </c>
      <c r="S54" s="268"/>
      <c r="T54" s="283">
        <f t="shared" si="94"/>
        <v>0</v>
      </c>
      <c r="U54" s="284">
        <f>IF(M54=0,0,IF(G54="Annulation","",IF(assurance="ALPTIS",M54*12*T54/100*'Complet Data'!$K$4,IF(assurance="APRIL",M54*12*T54/100*'Complet Data'!$F$4,IF(assurance="ASAF",M54*12*T54/100*'Complet Data'!$I$4,IF(assurance="NEOLIANE",('Complet Data'!$G$5+M54*12*'Complet Data'!$G$4)*T54/100,IF(assurance="NEOLIANE Prev",('Complet Data'!$H$5+M54*12*'Complet Data'!$H$4)*T54/100,IF(assurance="SWISSLIFE",M54*12*T54/100*'Complet Data'!$J$4,IF(assurance="AVIVA",M54*12*T54/100*'Complet Data'!$L$4,IF(assurance="CIPRES",M54*12*T54/100*'Complet Data'!$M$4,IF(assurance="CEGEMA",M54*12*T54/100*'Complet Data'!$N$4,IF(assurance=0,0))))))))))))</f>
        <v>0</v>
      </c>
      <c r="V54" s="298" t="str">
        <f t="shared" si="53"/>
        <v/>
      </c>
      <c r="W54" s="298" t="str">
        <f t="shared" si="54"/>
        <v/>
      </c>
      <c r="X54" s="299">
        <f t="shared" si="55"/>
        <v>0</v>
      </c>
      <c r="Y54" s="368">
        <f t="shared" si="56"/>
        <v>0</v>
      </c>
      <c r="Z54" s="314"/>
      <c r="AA54" s="313" t="str">
        <f t="shared" si="57"/>
        <v/>
      </c>
      <c r="AB54" s="268" t="s">
        <v>13</v>
      </c>
      <c r="AC54" s="277"/>
      <c r="AD54" s="309" t="str">
        <f t="shared" si="95"/>
        <v/>
      </c>
      <c r="AE54" s="286" t="str">
        <f t="shared" si="92"/>
        <v/>
      </c>
      <c r="AF54" s="277"/>
      <c r="AG54" s="275" t="str">
        <f t="shared" si="58"/>
        <v/>
      </c>
      <c r="AH54" s="287" t="str">
        <f t="shared" ca="1" si="59"/>
        <v/>
      </c>
      <c r="AI54" s="373" t="str">
        <f t="shared" ca="1" si="60"/>
        <v/>
      </c>
      <c r="AJ54" s="296" t="str">
        <f t="shared" si="61"/>
        <v/>
      </c>
      <c r="AK54" s="296" t="str">
        <f t="shared" si="62"/>
        <v/>
      </c>
      <c r="AL54" s="287" t="str">
        <f t="shared" si="63"/>
        <v/>
      </c>
      <c r="AM54" s="279">
        <f t="shared" si="64"/>
        <v>0</v>
      </c>
      <c r="AN54" s="279">
        <f t="shared" si="89"/>
        <v>0</v>
      </c>
      <c r="AO54" s="288">
        <f t="shared" si="65"/>
        <v>0</v>
      </c>
      <c r="AP54" s="279">
        <f t="shared" si="90"/>
        <v>0</v>
      </c>
      <c r="AQ54" s="288">
        <f t="shared" si="66"/>
        <v>0</v>
      </c>
      <c r="AR54" s="289">
        <f t="shared" si="67"/>
        <v>0</v>
      </c>
      <c r="AS54" s="279">
        <f t="shared" si="91"/>
        <v>0</v>
      </c>
      <c r="AT54" s="288">
        <f t="shared" si="68"/>
        <v>0</v>
      </c>
      <c r="AU54" s="289">
        <f t="shared" si="69"/>
        <v>0</v>
      </c>
      <c r="AV54" s="279">
        <f t="shared" si="70"/>
        <v>0</v>
      </c>
      <c r="AW54" s="288">
        <f t="shared" si="71"/>
        <v>0</v>
      </c>
      <c r="AX54" s="289">
        <f t="shared" si="72"/>
        <v>0</v>
      </c>
      <c r="AY54" s="268"/>
      <c r="AZ54" s="291"/>
      <c r="BA54" s="292"/>
      <c r="BB54" s="303"/>
      <c r="BC54" s="293"/>
      <c r="BD54" s="293"/>
      <c r="BE54" s="304"/>
      <c r="BF54" s="274"/>
      <c r="BG54" s="377"/>
      <c r="BH54" s="268">
        <v>1</v>
      </c>
      <c r="BI54" s="273">
        <v>0</v>
      </c>
      <c r="BJ54" s="276"/>
      <c r="BK54" s="294"/>
      <c r="BL54" s="269" t="str">
        <f t="shared" ca="1" si="73"/>
        <v/>
      </c>
      <c r="BM54" s="270"/>
      <c r="BN54" s="271"/>
      <c r="BO54" s="272" t="str">
        <f t="shared" ca="1" si="74"/>
        <v/>
      </c>
      <c r="BP54" s="270"/>
      <c r="BQ54" s="271"/>
      <c r="BR54" s="272" t="str">
        <f t="shared" ca="1" si="75"/>
        <v/>
      </c>
      <c r="BS54" s="270"/>
      <c r="BT54" s="271"/>
      <c r="BU54" s="272" t="str">
        <f t="shared" ca="1" si="76"/>
        <v/>
      </c>
      <c r="BV54" s="270"/>
      <c r="BW54" s="271"/>
      <c r="BX54" s="272" t="str">
        <f t="shared" ca="1" si="77"/>
        <v/>
      </c>
      <c r="BY54" s="270"/>
      <c r="BZ54" s="271"/>
      <c r="CA54" s="272" t="str">
        <f t="shared" ca="1" si="78"/>
        <v/>
      </c>
      <c r="CB54" s="270"/>
      <c r="CC54" s="271"/>
      <c r="CD54" s="272" t="str">
        <f t="shared" ca="1" si="79"/>
        <v/>
      </c>
      <c r="CE54" s="270"/>
      <c r="CF54" s="271"/>
      <c r="CG54" s="272" t="str">
        <f t="shared" ca="1" si="80"/>
        <v/>
      </c>
      <c r="CH54" s="270"/>
      <c r="CI54" s="271"/>
      <c r="CJ54" s="272" t="str">
        <f t="shared" ca="1" si="81"/>
        <v/>
      </c>
      <c r="CK54" s="262"/>
      <c r="CL54" s="264"/>
      <c r="CM54" s="264"/>
      <c r="CN54" s="264"/>
      <c r="CO54" s="264"/>
      <c r="CP54" s="264"/>
      <c r="CQ54" s="264"/>
      <c r="CR54" s="262"/>
      <c r="CS54" s="263"/>
      <c r="CT54" s="297" t="str">
        <f t="shared" si="93"/>
        <v/>
      </c>
      <c r="CU54" s="264"/>
      <c r="CV54" s="265"/>
      <c r="CW54" s="264"/>
      <c r="CX54" s="264"/>
      <c r="CY54" s="264" t="str">
        <f t="shared" si="96"/>
        <v/>
      </c>
      <c r="CZ54" s="264"/>
      <c r="DA54" s="264"/>
      <c r="DB54" s="266"/>
      <c r="DC54" s="264"/>
      <c r="DD54" s="264"/>
      <c r="DE54" s="266"/>
      <c r="DF54" s="266"/>
      <c r="DG54" s="264"/>
      <c r="DH54" s="266"/>
      <c r="DI54" s="266"/>
      <c r="DJ54" s="264"/>
      <c r="DK54" s="264"/>
      <c r="DL54" s="267"/>
      <c r="DM54" s="261">
        <f t="shared" si="82"/>
        <v>0</v>
      </c>
      <c r="DN54" s="295" t="str">
        <f t="shared" si="83"/>
        <v/>
      </c>
      <c r="DO54" s="392" t="str">
        <f t="shared" si="84"/>
        <v/>
      </c>
      <c r="DP54" s="392" t="str">
        <f t="shared" si="85"/>
        <v/>
      </c>
      <c r="DQ54" s="456" t="str">
        <f t="shared" si="86"/>
        <v/>
      </c>
      <c r="DR54" s="456" t="str">
        <f t="shared" si="87"/>
        <v/>
      </c>
    </row>
    <row r="55" spans="1:122" x14ac:dyDescent="0.25">
      <c r="A55" s="599" t="str">
        <f t="shared" si="88"/>
        <v xml:space="preserve">  -  - </v>
      </c>
      <c r="B55" s="306"/>
      <c r="C55" s="305"/>
      <c r="D55" s="301"/>
      <c r="E55" s="276"/>
      <c r="F55" s="278"/>
      <c r="G55" s="311"/>
      <c r="H55" s="276"/>
      <c r="I55" s="313" t="str">
        <f t="shared" si="50"/>
        <v/>
      </c>
      <c r="J55" s="312"/>
      <c r="K55" s="268"/>
      <c r="L55" s="277"/>
      <c r="M55" s="279"/>
      <c r="N55" s="280"/>
      <c r="O55" s="280"/>
      <c r="P55" s="455"/>
      <c r="Q55" s="281" t="str">
        <f t="shared" si="51"/>
        <v/>
      </c>
      <c r="R55" s="282">
        <f t="shared" si="52"/>
        <v>0</v>
      </c>
      <c r="S55" s="268"/>
      <c r="T55" s="283">
        <f t="shared" si="94"/>
        <v>0</v>
      </c>
      <c r="U55" s="284">
        <f>IF(M55=0,0,IF(G55="Annulation","",IF(assurance="ALPTIS",M55*12*T55/100*'Complet Data'!$K$4,IF(assurance="APRIL",M55*12*T55/100*'Complet Data'!$F$4,IF(assurance="ASAF",M55*12*T55/100*'Complet Data'!$I$4,IF(assurance="NEOLIANE",('Complet Data'!$G$5+M55*12*'Complet Data'!$G$4)*T55/100,IF(assurance="NEOLIANE Prev",('Complet Data'!$H$5+M55*12*'Complet Data'!$H$4)*T55/100,IF(assurance="SWISSLIFE",M55*12*T55/100*'Complet Data'!$J$4,IF(assurance="AVIVA",M55*12*T55/100*'Complet Data'!$L$4,IF(assurance="CIPRES",M55*12*T55/100*'Complet Data'!$M$4,IF(assurance="CEGEMA",M55*12*T55/100*'Complet Data'!$N$4,IF(assurance=0,0))))))))))))</f>
        <v>0</v>
      </c>
      <c r="V55" s="298" t="str">
        <f t="shared" si="53"/>
        <v/>
      </c>
      <c r="W55" s="298" t="str">
        <f t="shared" si="54"/>
        <v/>
      </c>
      <c r="X55" s="299">
        <f t="shared" si="55"/>
        <v>0</v>
      </c>
      <c r="Y55" s="368">
        <f t="shared" si="56"/>
        <v>0</v>
      </c>
      <c r="Z55" s="314"/>
      <c r="AA55" s="313" t="str">
        <f t="shared" si="57"/>
        <v/>
      </c>
      <c r="AB55" s="268" t="s">
        <v>13</v>
      </c>
      <c r="AC55" s="277"/>
      <c r="AD55" s="309" t="str">
        <f t="shared" si="95"/>
        <v/>
      </c>
      <c r="AE55" s="286" t="str">
        <f t="shared" si="92"/>
        <v/>
      </c>
      <c r="AF55" s="277"/>
      <c r="AG55" s="275" t="str">
        <f t="shared" si="58"/>
        <v/>
      </c>
      <c r="AH55" s="287" t="str">
        <f t="shared" ca="1" si="59"/>
        <v/>
      </c>
      <c r="AI55" s="373" t="str">
        <f t="shared" ca="1" si="60"/>
        <v/>
      </c>
      <c r="AJ55" s="296" t="str">
        <f t="shared" si="61"/>
        <v/>
      </c>
      <c r="AK55" s="296" t="str">
        <f t="shared" si="62"/>
        <v/>
      </c>
      <c r="AL55" s="287" t="str">
        <f t="shared" si="63"/>
        <v/>
      </c>
      <c r="AM55" s="279">
        <f t="shared" si="64"/>
        <v>0</v>
      </c>
      <c r="AN55" s="279">
        <f t="shared" si="89"/>
        <v>0</v>
      </c>
      <c r="AO55" s="288">
        <f t="shared" si="65"/>
        <v>0</v>
      </c>
      <c r="AP55" s="279">
        <f t="shared" si="90"/>
        <v>0</v>
      </c>
      <c r="AQ55" s="288">
        <f t="shared" si="66"/>
        <v>0</v>
      </c>
      <c r="AR55" s="289">
        <f t="shared" si="67"/>
        <v>0</v>
      </c>
      <c r="AS55" s="279">
        <f t="shared" si="91"/>
        <v>0</v>
      </c>
      <c r="AT55" s="288">
        <f t="shared" si="68"/>
        <v>0</v>
      </c>
      <c r="AU55" s="289">
        <f t="shared" si="69"/>
        <v>0</v>
      </c>
      <c r="AV55" s="279">
        <f t="shared" si="70"/>
        <v>0</v>
      </c>
      <c r="AW55" s="288">
        <f t="shared" si="71"/>
        <v>0</v>
      </c>
      <c r="AX55" s="289">
        <f t="shared" si="72"/>
        <v>0</v>
      </c>
      <c r="AY55" s="268"/>
      <c r="AZ55" s="291"/>
      <c r="BA55" s="292"/>
      <c r="BB55" s="303"/>
      <c r="BC55" s="293"/>
      <c r="BD55" s="293"/>
      <c r="BE55" s="304"/>
      <c r="BF55" s="274"/>
      <c r="BG55" s="377"/>
      <c r="BH55" s="268">
        <v>1</v>
      </c>
      <c r="BI55" s="273">
        <v>0</v>
      </c>
      <c r="BJ55" s="276"/>
      <c r="BK55" s="294"/>
      <c r="BL55" s="269" t="str">
        <f t="shared" ca="1" si="73"/>
        <v/>
      </c>
      <c r="BM55" s="270"/>
      <c r="BN55" s="271"/>
      <c r="BO55" s="272" t="str">
        <f t="shared" ca="1" si="74"/>
        <v/>
      </c>
      <c r="BP55" s="270"/>
      <c r="BQ55" s="271"/>
      <c r="BR55" s="272" t="str">
        <f t="shared" ca="1" si="75"/>
        <v/>
      </c>
      <c r="BS55" s="270"/>
      <c r="BT55" s="271"/>
      <c r="BU55" s="272" t="str">
        <f t="shared" ca="1" si="76"/>
        <v/>
      </c>
      <c r="BV55" s="270"/>
      <c r="BW55" s="271"/>
      <c r="BX55" s="272" t="str">
        <f t="shared" ca="1" si="77"/>
        <v/>
      </c>
      <c r="BY55" s="270"/>
      <c r="BZ55" s="271"/>
      <c r="CA55" s="272" t="str">
        <f t="shared" ca="1" si="78"/>
        <v/>
      </c>
      <c r="CB55" s="270"/>
      <c r="CC55" s="271"/>
      <c r="CD55" s="272" t="str">
        <f t="shared" ca="1" si="79"/>
        <v/>
      </c>
      <c r="CE55" s="270"/>
      <c r="CF55" s="271"/>
      <c r="CG55" s="272" t="str">
        <f t="shared" ca="1" si="80"/>
        <v/>
      </c>
      <c r="CH55" s="270"/>
      <c r="CI55" s="271"/>
      <c r="CJ55" s="272" t="str">
        <f t="shared" ca="1" si="81"/>
        <v/>
      </c>
      <c r="CK55" s="262"/>
      <c r="CL55" s="264"/>
      <c r="CM55" s="264"/>
      <c r="CN55" s="264"/>
      <c r="CO55" s="264"/>
      <c r="CP55" s="264"/>
      <c r="CQ55" s="264"/>
      <c r="CR55" s="262"/>
      <c r="CS55" s="263"/>
      <c r="CT55" s="297" t="str">
        <f t="shared" si="93"/>
        <v/>
      </c>
      <c r="CU55" s="264"/>
      <c r="CV55" s="265"/>
      <c r="CW55" s="264"/>
      <c r="CX55" s="264"/>
      <c r="CY55" s="264" t="str">
        <f t="shared" si="96"/>
        <v/>
      </c>
      <c r="CZ55" s="264"/>
      <c r="DA55" s="264"/>
      <c r="DB55" s="266"/>
      <c r="DC55" s="264"/>
      <c r="DD55" s="264"/>
      <c r="DE55" s="266"/>
      <c r="DF55" s="266"/>
      <c r="DG55" s="264"/>
      <c r="DH55" s="266"/>
      <c r="DI55" s="266"/>
      <c r="DJ55" s="264"/>
      <c r="DK55" s="264"/>
      <c r="DL55" s="267"/>
      <c r="DM55" s="261">
        <f t="shared" si="82"/>
        <v>0</v>
      </c>
      <c r="DN55" s="295" t="str">
        <f t="shared" si="83"/>
        <v/>
      </c>
      <c r="DO55" s="392" t="str">
        <f t="shared" si="84"/>
        <v/>
      </c>
      <c r="DP55" s="392" t="str">
        <f t="shared" si="85"/>
        <v/>
      </c>
      <c r="DQ55" s="456" t="str">
        <f t="shared" si="86"/>
        <v/>
      </c>
      <c r="DR55" s="456" t="str">
        <f t="shared" si="87"/>
        <v/>
      </c>
    </row>
    <row r="56" spans="1:122" x14ac:dyDescent="0.25">
      <c r="A56" s="599" t="str">
        <f t="shared" si="88"/>
        <v xml:space="preserve">  -  - </v>
      </c>
      <c r="B56" s="306"/>
      <c r="C56" s="305"/>
      <c r="D56" s="301"/>
      <c r="E56" s="276"/>
      <c r="F56" s="278"/>
      <c r="G56" s="311"/>
      <c r="H56" s="276"/>
      <c r="I56" s="313" t="str">
        <f t="shared" si="50"/>
        <v/>
      </c>
      <c r="J56" s="312"/>
      <c r="K56" s="268"/>
      <c r="L56" s="277"/>
      <c r="M56" s="279"/>
      <c r="N56" s="280"/>
      <c r="O56" s="280"/>
      <c r="P56" s="455"/>
      <c r="Q56" s="281" t="str">
        <f t="shared" si="51"/>
        <v/>
      </c>
      <c r="R56" s="282">
        <f t="shared" si="52"/>
        <v>0</v>
      </c>
      <c r="S56" s="268"/>
      <c r="T56" s="283">
        <f t="shared" si="94"/>
        <v>0</v>
      </c>
      <c r="U56" s="284">
        <f>IF(M56=0,0,IF(G56="Annulation","",IF(assurance="ALPTIS",M56*12*T56/100*'Complet Data'!$K$4,IF(assurance="APRIL",M56*12*T56/100*'Complet Data'!$F$4,IF(assurance="ASAF",M56*12*T56/100*'Complet Data'!$I$4,IF(assurance="NEOLIANE",('Complet Data'!$G$5+M56*12*'Complet Data'!$G$4)*T56/100,IF(assurance="NEOLIANE Prev",('Complet Data'!$H$5+M56*12*'Complet Data'!$H$4)*T56/100,IF(assurance="SWISSLIFE",M56*12*T56/100*'Complet Data'!$J$4,IF(assurance="AVIVA",M56*12*T56/100*'Complet Data'!$L$4,IF(assurance="CIPRES",M56*12*T56/100*'Complet Data'!$M$4,IF(assurance="CEGEMA",M56*12*T56/100*'Complet Data'!$N$4,IF(assurance=0,0))))))))))))</f>
        <v>0</v>
      </c>
      <c r="V56" s="298" t="str">
        <f t="shared" si="53"/>
        <v/>
      </c>
      <c r="W56" s="298" t="str">
        <f t="shared" si="54"/>
        <v/>
      </c>
      <c r="X56" s="299">
        <f t="shared" si="55"/>
        <v>0</v>
      </c>
      <c r="Y56" s="368">
        <f t="shared" si="56"/>
        <v>0</v>
      </c>
      <c r="Z56" s="314"/>
      <c r="AA56" s="313" t="str">
        <f t="shared" si="57"/>
        <v/>
      </c>
      <c r="AB56" s="268" t="s">
        <v>13</v>
      </c>
      <c r="AC56" s="277"/>
      <c r="AD56" s="309" t="str">
        <f t="shared" si="95"/>
        <v/>
      </c>
      <c r="AE56" s="286" t="str">
        <f t="shared" si="92"/>
        <v/>
      </c>
      <c r="AF56" s="277"/>
      <c r="AG56" s="275" t="str">
        <f t="shared" si="58"/>
        <v/>
      </c>
      <c r="AH56" s="287" t="str">
        <f t="shared" ca="1" si="59"/>
        <v/>
      </c>
      <c r="AI56" s="373" t="str">
        <f t="shared" ca="1" si="60"/>
        <v/>
      </c>
      <c r="AJ56" s="296" t="str">
        <f t="shared" si="61"/>
        <v/>
      </c>
      <c r="AK56" s="296" t="str">
        <f t="shared" si="62"/>
        <v/>
      </c>
      <c r="AL56" s="287" t="str">
        <f t="shared" si="63"/>
        <v/>
      </c>
      <c r="AM56" s="279">
        <f t="shared" si="64"/>
        <v>0</v>
      </c>
      <c r="AN56" s="279">
        <f t="shared" si="89"/>
        <v>0</v>
      </c>
      <c r="AO56" s="288">
        <f t="shared" si="65"/>
        <v>0</v>
      </c>
      <c r="AP56" s="279">
        <f t="shared" si="90"/>
        <v>0</v>
      </c>
      <c r="AQ56" s="288">
        <f t="shared" si="66"/>
        <v>0</v>
      </c>
      <c r="AR56" s="289">
        <f t="shared" si="67"/>
        <v>0</v>
      </c>
      <c r="AS56" s="279">
        <f t="shared" si="91"/>
        <v>0</v>
      </c>
      <c r="AT56" s="288">
        <f t="shared" si="68"/>
        <v>0</v>
      </c>
      <c r="AU56" s="289">
        <f t="shared" si="69"/>
        <v>0</v>
      </c>
      <c r="AV56" s="279">
        <f t="shared" si="70"/>
        <v>0</v>
      </c>
      <c r="AW56" s="288">
        <f t="shared" si="71"/>
        <v>0</v>
      </c>
      <c r="AX56" s="289">
        <f t="shared" si="72"/>
        <v>0</v>
      </c>
      <c r="AY56" s="268"/>
      <c r="AZ56" s="291"/>
      <c r="BA56" s="292"/>
      <c r="BB56" s="303"/>
      <c r="BC56" s="293"/>
      <c r="BD56" s="293"/>
      <c r="BE56" s="304"/>
      <c r="BF56" s="274"/>
      <c r="BG56" s="377"/>
      <c r="BH56" s="268">
        <v>1</v>
      </c>
      <c r="BI56" s="273">
        <v>0</v>
      </c>
      <c r="BJ56" s="276"/>
      <c r="BK56" s="294"/>
      <c r="BL56" s="269" t="str">
        <f t="shared" ca="1" si="73"/>
        <v/>
      </c>
      <c r="BM56" s="270"/>
      <c r="BN56" s="271"/>
      <c r="BO56" s="272" t="str">
        <f t="shared" ca="1" si="74"/>
        <v/>
      </c>
      <c r="BP56" s="270"/>
      <c r="BQ56" s="271"/>
      <c r="BR56" s="272" t="str">
        <f t="shared" ca="1" si="75"/>
        <v/>
      </c>
      <c r="BS56" s="270"/>
      <c r="BT56" s="271"/>
      <c r="BU56" s="272" t="str">
        <f t="shared" ca="1" si="76"/>
        <v/>
      </c>
      <c r="BV56" s="270"/>
      <c r="BW56" s="271"/>
      <c r="BX56" s="272" t="str">
        <f t="shared" ca="1" si="77"/>
        <v/>
      </c>
      <c r="BY56" s="270"/>
      <c r="BZ56" s="271"/>
      <c r="CA56" s="272" t="str">
        <f t="shared" ca="1" si="78"/>
        <v/>
      </c>
      <c r="CB56" s="270"/>
      <c r="CC56" s="271"/>
      <c r="CD56" s="272" t="str">
        <f t="shared" ca="1" si="79"/>
        <v/>
      </c>
      <c r="CE56" s="270"/>
      <c r="CF56" s="271"/>
      <c r="CG56" s="272" t="str">
        <f t="shared" ca="1" si="80"/>
        <v/>
      </c>
      <c r="CH56" s="270"/>
      <c r="CI56" s="271"/>
      <c r="CJ56" s="272" t="str">
        <f t="shared" ca="1" si="81"/>
        <v/>
      </c>
      <c r="CK56" s="262"/>
      <c r="CL56" s="264"/>
      <c r="CM56" s="264"/>
      <c r="CN56" s="264"/>
      <c r="CO56" s="264"/>
      <c r="CP56" s="264"/>
      <c r="CQ56" s="264"/>
      <c r="CR56" s="262"/>
      <c r="CS56" s="263"/>
      <c r="CT56" s="297" t="str">
        <f t="shared" si="93"/>
        <v/>
      </c>
      <c r="CU56" s="264"/>
      <c r="CV56" s="265"/>
      <c r="CW56" s="264"/>
      <c r="CX56" s="264"/>
      <c r="CY56" s="264" t="str">
        <f t="shared" si="96"/>
        <v/>
      </c>
      <c r="CZ56" s="264"/>
      <c r="DA56" s="264"/>
      <c r="DB56" s="266"/>
      <c r="DC56" s="264"/>
      <c r="DD56" s="264"/>
      <c r="DE56" s="266"/>
      <c r="DF56" s="266"/>
      <c r="DG56" s="264"/>
      <c r="DH56" s="266"/>
      <c r="DI56" s="266"/>
      <c r="DJ56" s="264"/>
      <c r="DK56" s="264"/>
      <c r="DL56" s="267"/>
      <c r="DM56" s="261">
        <f t="shared" si="82"/>
        <v>0</v>
      </c>
      <c r="DN56" s="295" t="str">
        <f t="shared" si="83"/>
        <v/>
      </c>
      <c r="DO56" s="392" t="str">
        <f t="shared" si="84"/>
        <v/>
      </c>
      <c r="DP56" s="392" t="str">
        <f t="shared" si="85"/>
        <v/>
      </c>
      <c r="DQ56" s="456" t="str">
        <f t="shared" si="86"/>
        <v/>
      </c>
      <c r="DR56" s="456" t="str">
        <f t="shared" si="87"/>
        <v/>
      </c>
    </row>
    <row r="57" spans="1:122" x14ac:dyDescent="0.25">
      <c r="A57" s="599" t="str">
        <f t="shared" si="88"/>
        <v xml:space="preserve">  -  - </v>
      </c>
      <c r="B57" s="306"/>
      <c r="C57" s="305"/>
      <c r="D57" s="301"/>
      <c r="E57" s="276"/>
      <c r="F57" s="278"/>
      <c r="G57" s="311"/>
      <c r="H57" s="276"/>
      <c r="I57" s="313" t="str">
        <f t="shared" si="50"/>
        <v/>
      </c>
      <c r="J57" s="312"/>
      <c r="K57" s="268"/>
      <c r="L57" s="277"/>
      <c r="M57" s="279"/>
      <c r="N57" s="280"/>
      <c r="O57" s="280"/>
      <c r="P57" s="455"/>
      <c r="Q57" s="281" t="str">
        <f t="shared" si="51"/>
        <v/>
      </c>
      <c r="R57" s="282">
        <f t="shared" si="52"/>
        <v>0</v>
      </c>
      <c r="S57" s="268"/>
      <c r="T57" s="283">
        <f t="shared" si="94"/>
        <v>0</v>
      </c>
      <c r="U57" s="284">
        <f>IF(M57=0,0,IF(G57="Annulation","",IF(assurance="ALPTIS",M57*12*T57/100*'Complet Data'!$K$4,IF(assurance="APRIL",M57*12*T57/100*'Complet Data'!$F$4,IF(assurance="ASAF",M57*12*T57/100*'Complet Data'!$I$4,IF(assurance="NEOLIANE",('Complet Data'!$G$5+M57*12*'Complet Data'!$G$4)*T57/100,IF(assurance="NEOLIANE Prev",('Complet Data'!$H$5+M57*12*'Complet Data'!$H$4)*T57/100,IF(assurance="SWISSLIFE",M57*12*T57/100*'Complet Data'!$J$4,IF(assurance="AVIVA",M57*12*T57/100*'Complet Data'!$L$4,IF(assurance="CIPRES",M57*12*T57/100*'Complet Data'!$M$4,IF(assurance="CEGEMA",M57*12*T57/100*'Complet Data'!$N$4,IF(assurance=0,0))))))))))))</f>
        <v>0</v>
      </c>
      <c r="V57" s="298" t="str">
        <f t="shared" si="53"/>
        <v/>
      </c>
      <c r="W57" s="298" t="str">
        <f t="shared" si="54"/>
        <v/>
      </c>
      <c r="X57" s="299">
        <f t="shared" si="55"/>
        <v>0</v>
      </c>
      <c r="Y57" s="368">
        <f t="shared" si="56"/>
        <v>0</v>
      </c>
      <c r="Z57" s="314"/>
      <c r="AA57" s="313" t="str">
        <f t="shared" si="57"/>
        <v/>
      </c>
      <c r="AB57" s="268" t="s">
        <v>13</v>
      </c>
      <c r="AC57" s="277"/>
      <c r="AD57" s="309" t="str">
        <f t="shared" si="95"/>
        <v/>
      </c>
      <c r="AE57" s="286" t="str">
        <f t="shared" si="92"/>
        <v/>
      </c>
      <c r="AF57" s="277"/>
      <c r="AG57" s="275" t="str">
        <f t="shared" si="58"/>
        <v/>
      </c>
      <c r="AH57" s="287" t="str">
        <f t="shared" ca="1" si="59"/>
        <v/>
      </c>
      <c r="AI57" s="373" t="str">
        <f t="shared" ca="1" si="60"/>
        <v/>
      </c>
      <c r="AJ57" s="296" t="str">
        <f t="shared" si="61"/>
        <v/>
      </c>
      <c r="AK57" s="296" t="str">
        <f t="shared" si="62"/>
        <v/>
      </c>
      <c r="AL57" s="287" t="str">
        <f t="shared" si="63"/>
        <v/>
      </c>
      <c r="AM57" s="279">
        <f t="shared" si="64"/>
        <v>0</v>
      </c>
      <c r="AN57" s="279">
        <f t="shared" si="89"/>
        <v>0</v>
      </c>
      <c r="AO57" s="288">
        <f t="shared" si="65"/>
        <v>0</v>
      </c>
      <c r="AP57" s="279">
        <f t="shared" si="90"/>
        <v>0</v>
      </c>
      <c r="AQ57" s="288">
        <f t="shared" si="66"/>
        <v>0</v>
      </c>
      <c r="AR57" s="289">
        <f t="shared" si="67"/>
        <v>0</v>
      </c>
      <c r="AS57" s="279">
        <f t="shared" si="91"/>
        <v>0</v>
      </c>
      <c r="AT57" s="288">
        <f t="shared" si="68"/>
        <v>0</v>
      </c>
      <c r="AU57" s="289">
        <f t="shared" si="69"/>
        <v>0</v>
      </c>
      <c r="AV57" s="279">
        <f t="shared" si="70"/>
        <v>0</v>
      </c>
      <c r="AW57" s="288">
        <f t="shared" si="71"/>
        <v>0</v>
      </c>
      <c r="AX57" s="289">
        <f t="shared" si="72"/>
        <v>0</v>
      </c>
      <c r="AY57" s="268"/>
      <c r="AZ57" s="291"/>
      <c r="BA57" s="292"/>
      <c r="BB57" s="303"/>
      <c r="BC57" s="293"/>
      <c r="BD57" s="293"/>
      <c r="BE57" s="304"/>
      <c r="BF57" s="274"/>
      <c r="BG57" s="377"/>
      <c r="BH57" s="268">
        <v>1</v>
      </c>
      <c r="BI57" s="273">
        <v>0</v>
      </c>
      <c r="BJ57" s="276"/>
      <c r="BK57" s="294"/>
      <c r="BL57" s="269" t="str">
        <f t="shared" ca="1" si="73"/>
        <v/>
      </c>
      <c r="BM57" s="270"/>
      <c r="BN57" s="271"/>
      <c r="BO57" s="272" t="str">
        <f t="shared" ca="1" si="74"/>
        <v/>
      </c>
      <c r="BP57" s="270"/>
      <c r="BQ57" s="271"/>
      <c r="BR57" s="272" t="str">
        <f t="shared" ca="1" si="75"/>
        <v/>
      </c>
      <c r="BS57" s="270"/>
      <c r="BT57" s="271"/>
      <c r="BU57" s="272" t="str">
        <f t="shared" ca="1" si="76"/>
        <v/>
      </c>
      <c r="BV57" s="270"/>
      <c r="BW57" s="271"/>
      <c r="BX57" s="272" t="str">
        <f t="shared" ca="1" si="77"/>
        <v/>
      </c>
      <c r="BY57" s="270"/>
      <c r="BZ57" s="271"/>
      <c r="CA57" s="272" t="str">
        <f t="shared" ca="1" si="78"/>
        <v/>
      </c>
      <c r="CB57" s="270"/>
      <c r="CC57" s="271"/>
      <c r="CD57" s="272" t="str">
        <f t="shared" ca="1" si="79"/>
        <v/>
      </c>
      <c r="CE57" s="270"/>
      <c r="CF57" s="271"/>
      <c r="CG57" s="272" t="str">
        <f t="shared" ca="1" si="80"/>
        <v/>
      </c>
      <c r="CH57" s="270"/>
      <c r="CI57" s="271"/>
      <c r="CJ57" s="272" t="str">
        <f t="shared" ca="1" si="81"/>
        <v/>
      </c>
      <c r="CK57" s="262"/>
      <c r="CL57" s="264"/>
      <c r="CM57" s="264"/>
      <c r="CN57" s="264"/>
      <c r="CO57" s="264"/>
      <c r="CP57" s="264"/>
      <c r="CQ57" s="264"/>
      <c r="CR57" s="262"/>
      <c r="CS57" s="263"/>
      <c r="CT57" s="297" t="str">
        <f t="shared" si="93"/>
        <v/>
      </c>
      <c r="CU57" s="264"/>
      <c r="CV57" s="265"/>
      <c r="CW57" s="264"/>
      <c r="CX57" s="264"/>
      <c r="CY57" s="264" t="str">
        <f t="shared" si="96"/>
        <v/>
      </c>
      <c r="CZ57" s="264"/>
      <c r="DA57" s="264"/>
      <c r="DB57" s="266"/>
      <c r="DC57" s="264"/>
      <c r="DD57" s="264"/>
      <c r="DE57" s="266"/>
      <c r="DF57" s="266"/>
      <c r="DG57" s="264"/>
      <c r="DH57" s="266"/>
      <c r="DI57" s="266"/>
      <c r="DJ57" s="264"/>
      <c r="DK57" s="264"/>
      <c r="DL57" s="267"/>
      <c r="DM57" s="261">
        <f t="shared" si="82"/>
        <v>0</v>
      </c>
      <c r="DN57" s="295" t="str">
        <f t="shared" si="83"/>
        <v/>
      </c>
      <c r="DO57" s="392" t="str">
        <f t="shared" si="84"/>
        <v/>
      </c>
      <c r="DP57" s="392" t="str">
        <f t="shared" si="85"/>
        <v/>
      </c>
      <c r="DQ57" s="456" t="str">
        <f t="shared" si="86"/>
        <v/>
      </c>
      <c r="DR57" s="456" t="str">
        <f t="shared" si="87"/>
        <v/>
      </c>
    </row>
    <row r="58" spans="1:122" x14ac:dyDescent="0.25">
      <c r="A58" s="599" t="str">
        <f t="shared" si="88"/>
        <v xml:space="preserve">  -  - </v>
      </c>
      <c r="B58" s="306"/>
      <c r="C58" s="305"/>
      <c r="D58" s="301"/>
      <c r="E58" s="276"/>
      <c r="F58" s="278"/>
      <c r="G58" s="311"/>
      <c r="H58" s="276"/>
      <c r="I58" s="313" t="str">
        <f t="shared" si="50"/>
        <v/>
      </c>
      <c r="J58" s="312"/>
      <c r="K58" s="268"/>
      <c r="L58" s="277"/>
      <c r="M58" s="279"/>
      <c r="N58" s="280"/>
      <c r="O58" s="280"/>
      <c r="P58" s="455"/>
      <c r="Q58" s="281" t="str">
        <f t="shared" si="51"/>
        <v/>
      </c>
      <c r="R58" s="282">
        <f t="shared" si="52"/>
        <v>0</v>
      </c>
      <c r="S58" s="268"/>
      <c r="T58" s="283">
        <f t="shared" si="94"/>
        <v>0</v>
      </c>
      <c r="U58" s="284">
        <f>IF(M58=0,0,IF(G58="Annulation","",IF(assurance="ALPTIS",M58*12*T58/100*'Complet Data'!$K$4,IF(assurance="APRIL",M58*12*T58/100*'Complet Data'!$F$4,IF(assurance="ASAF",M58*12*T58/100*'Complet Data'!$I$4,IF(assurance="NEOLIANE",('Complet Data'!$G$5+M58*12*'Complet Data'!$G$4)*T58/100,IF(assurance="NEOLIANE Prev",('Complet Data'!$H$5+M58*12*'Complet Data'!$H$4)*T58/100,IF(assurance="SWISSLIFE",M58*12*T58/100*'Complet Data'!$J$4,IF(assurance="AVIVA",M58*12*T58/100*'Complet Data'!$L$4,IF(assurance="CIPRES",M58*12*T58/100*'Complet Data'!$M$4,IF(assurance="CEGEMA",M58*12*T58/100*'Complet Data'!$N$4,IF(assurance=0,0))))))))))))</f>
        <v>0</v>
      </c>
      <c r="V58" s="298" t="str">
        <f t="shared" si="53"/>
        <v/>
      </c>
      <c r="W58" s="298" t="str">
        <f t="shared" si="54"/>
        <v/>
      </c>
      <c r="X58" s="299">
        <f t="shared" si="55"/>
        <v>0</v>
      </c>
      <c r="Y58" s="368">
        <f t="shared" si="56"/>
        <v>0</v>
      </c>
      <c r="Z58" s="314"/>
      <c r="AA58" s="313" t="str">
        <f t="shared" si="57"/>
        <v/>
      </c>
      <c r="AB58" s="268" t="s">
        <v>13</v>
      </c>
      <c r="AC58" s="277"/>
      <c r="AD58" s="309" t="str">
        <f t="shared" si="95"/>
        <v/>
      </c>
      <c r="AE58" s="286" t="str">
        <f t="shared" si="92"/>
        <v/>
      </c>
      <c r="AF58" s="277"/>
      <c r="AG58" s="275" t="str">
        <f t="shared" si="58"/>
        <v/>
      </c>
      <c r="AH58" s="287" t="str">
        <f t="shared" ca="1" si="59"/>
        <v/>
      </c>
      <c r="AI58" s="373" t="str">
        <f t="shared" ca="1" si="60"/>
        <v/>
      </c>
      <c r="AJ58" s="296" t="str">
        <f t="shared" si="61"/>
        <v/>
      </c>
      <c r="AK58" s="296" t="str">
        <f t="shared" si="62"/>
        <v/>
      </c>
      <c r="AL58" s="287" t="str">
        <f t="shared" si="63"/>
        <v/>
      </c>
      <c r="AM58" s="279">
        <f t="shared" si="64"/>
        <v>0</v>
      </c>
      <c r="AN58" s="279">
        <f t="shared" si="89"/>
        <v>0</v>
      </c>
      <c r="AO58" s="288">
        <f t="shared" si="65"/>
        <v>0</v>
      </c>
      <c r="AP58" s="279">
        <f t="shared" si="90"/>
        <v>0</v>
      </c>
      <c r="AQ58" s="288">
        <f t="shared" si="66"/>
        <v>0</v>
      </c>
      <c r="AR58" s="289">
        <f t="shared" si="67"/>
        <v>0</v>
      </c>
      <c r="AS58" s="279">
        <f t="shared" si="91"/>
        <v>0</v>
      </c>
      <c r="AT58" s="288">
        <f t="shared" si="68"/>
        <v>0</v>
      </c>
      <c r="AU58" s="289">
        <f t="shared" si="69"/>
        <v>0</v>
      </c>
      <c r="AV58" s="279">
        <f t="shared" si="70"/>
        <v>0</v>
      </c>
      <c r="AW58" s="288">
        <f t="shared" si="71"/>
        <v>0</v>
      </c>
      <c r="AX58" s="289">
        <f t="shared" si="72"/>
        <v>0</v>
      </c>
      <c r="AY58" s="268"/>
      <c r="AZ58" s="291"/>
      <c r="BA58" s="292"/>
      <c r="BB58" s="303"/>
      <c r="BC58" s="293"/>
      <c r="BD58" s="293"/>
      <c r="BE58" s="304"/>
      <c r="BF58" s="274"/>
      <c r="BG58" s="377"/>
      <c r="BH58" s="268">
        <v>1</v>
      </c>
      <c r="BI58" s="273">
        <v>0</v>
      </c>
      <c r="BJ58" s="276"/>
      <c r="BK58" s="294"/>
      <c r="BL58" s="269" t="str">
        <f t="shared" ca="1" si="73"/>
        <v/>
      </c>
      <c r="BM58" s="270"/>
      <c r="BN58" s="271"/>
      <c r="BO58" s="272" t="str">
        <f t="shared" ca="1" si="74"/>
        <v/>
      </c>
      <c r="BP58" s="270"/>
      <c r="BQ58" s="271"/>
      <c r="BR58" s="272" t="str">
        <f t="shared" ca="1" si="75"/>
        <v/>
      </c>
      <c r="BS58" s="270"/>
      <c r="BT58" s="271"/>
      <c r="BU58" s="272" t="str">
        <f t="shared" ca="1" si="76"/>
        <v/>
      </c>
      <c r="BV58" s="270"/>
      <c r="BW58" s="271"/>
      <c r="BX58" s="272" t="str">
        <f t="shared" ca="1" si="77"/>
        <v/>
      </c>
      <c r="BY58" s="270"/>
      <c r="BZ58" s="271"/>
      <c r="CA58" s="272" t="str">
        <f t="shared" ca="1" si="78"/>
        <v/>
      </c>
      <c r="CB58" s="270"/>
      <c r="CC58" s="271"/>
      <c r="CD58" s="272" t="str">
        <f t="shared" ca="1" si="79"/>
        <v/>
      </c>
      <c r="CE58" s="270"/>
      <c r="CF58" s="271"/>
      <c r="CG58" s="272" t="str">
        <f t="shared" ca="1" si="80"/>
        <v/>
      </c>
      <c r="CH58" s="270"/>
      <c r="CI58" s="271"/>
      <c r="CJ58" s="272" t="str">
        <f t="shared" ca="1" si="81"/>
        <v/>
      </c>
      <c r="CK58" s="262"/>
      <c r="CL58" s="264"/>
      <c r="CM58" s="264"/>
      <c r="CN58" s="264"/>
      <c r="CO58" s="264"/>
      <c r="CP58" s="264"/>
      <c r="CQ58" s="264"/>
      <c r="CR58" s="262"/>
      <c r="CS58" s="263"/>
      <c r="CT58" s="297" t="str">
        <f t="shared" si="93"/>
        <v/>
      </c>
      <c r="CU58" s="264"/>
      <c r="CV58" s="265"/>
      <c r="CW58" s="264"/>
      <c r="CX58" s="264"/>
      <c r="CY58" s="264" t="str">
        <f t="shared" si="96"/>
        <v/>
      </c>
      <c r="CZ58" s="264"/>
      <c r="DA58" s="264"/>
      <c r="DB58" s="266"/>
      <c r="DC58" s="264"/>
      <c r="DD58" s="264"/>
      <c r="DE58" s="266"/>
      <c r="DF58" s="266"/>
      <c r="DG58" s="264"/>
      <c r="DH58" s="266"/>
      <c r="DI58" s="266"/>
      <c r="DJ58" s="264"/>
      <c r="DK58" s="264"/>
      <c r="DL58" s="267"/>
      <c r="DM58" s="261">
        <f t="shared" si="82"/>
        <v>0</v>
      </c>
      <c r="DN58" s="295" t="str">
        <f t="shared" si="83"/>
        <v/>
      </c>
      <c r="DO58" s="392" t="str">
        <f t="shared" si="84"/>
        <v/>
      </c>
      <c r="DP58" s="392" t="str">
        <f t="shared" si="85"/>
        <v/>
      </c>
      <c r="DQ58" s="456" t="str">
        <f t="shared" si="86"/>
        <v/>
      </c>
      <c r="DR58" s="456" t="str">
        <f t="shared" si="87"/>
        <v/>
      </c>
    </row>
    <row r="59" spans="1:122" x14ac:dyDescent="0.25">
      <c r="A59" s="599" t="str">
        <f t="shared" si="88"/>
        <v xml:space="preserve">  -  - </v>
      </c>
      <c r="B59" s="306"/>
      <c r="C59" s="305"/>
      <c r="D59" s="301"/>
      <c r="E59" s="276"/>
      <c r="F59" s="278"/>
      <c r="G59" s="311"/>
      <c r="H59" s="276"/>
      <c r="I59" s="313" t="str">
        <f t="shared" si="50"/>
        <v/>
      </c>
      <c r="J59" s="312"/>
      <c r="K59" s="268"/>
      <c r="L59" s="277"/>
      <c r="M59" s="279"/>
      <c r="N59" s="280"/>
      <c r="O59" s="280"/>
      <c r="P59" s="455"/>
      <c r="Q59" s="281" t="str">
        <f t="shared" si="51"/>
        <v/>
      </c>
      <c r="R59" s="282">
        <f t="shared" si="52"/>
        <v>0</v>
      </c>
      <c r="S59" s="268"/>
      <c r="T59" s="283">
        <f t="shared" si="94"/>
        <v>0</v>
      </c>
      <c r="U59" s="284">
        <f>IF(M59=0,0,IF(G59="Annulation","",IF(assurance="ALPTIS",M59*12*T59/100*'Complet Data'!$K$4,IF(assurance="APRIL",M59*12*T59/100*'Complet Data'!$F$4,IF(assurance="ASAF",M59*12*T59/100*'Complet Data'!$I$4,IF(assurance="NEOLIANE",('Complet Data'!$G$5+M59*12*'Complet Data'!$G$4)*T59/100,IF(assurance="NEOLIANE Prev",('Complet Data'!$H$5+M59*12*'Complet Data'!$H$4)*T59/100,IF(assurance="SWISSLIFE",M59*12*T59/100*'Complet Data'!$J$4,IF(assurance="AVIVA",M59*12*T59/100*'Complet Data'!$L$4,IF(assurance="CIPRES",M59*12*T59/100*'Complet Data'!$M$4,IF(assurance="CEGEMA",M59*12*T59/100*'Complet Data'!$N$4,IF(assurance=0,0))))))))))))</f>
        <v>0</v>
      </c>
      <c r="V59" s="298" t="str">
        <f t="shared" si="53"/>
        <v/>
      </c>
      <c r="W59" s="298" t="str">
        <f t="shared" si="54"/>
        <v/>
      </c>
      <c r="X59" s="299">
        <f t="shared" si="55"/>
        <v>0</v>
      </c>
      <c r="Y59" s="368">
        <f t="shared" si="56"/>
        <v>0</v>
      </c>
      <c r="Z59" s="314"/>
      <c r="AA59" s="313" t="str">
        <f t="shared" si="57"/>
        <v/>
      </c>
      <c r="AB59" s="268" t="s">
        <v>13</v>
      </c>
      <c r="AC59" s="277"/>
      <c r="AD59" s="309" t="str">
        <f t="shared" si="95"/>
        <v/>
      </c>
      <c r="AE59" s="286" t="str">
        <f t="shared" si="92"/>
        <v/>
      </c>
      <c r="AF59" s="277"/>
      <c r="AG59" s="275" t="str">
        <f t="shared" si="58"/>
        <v/>
      </c>
      <c r="AH59" s="287" t="str">
        <f t="shared" ca="1" si="59"/>
        <v/>
      </c>
      <c r="AI59" s="373" t="str">
        <f t="shared" ca="1" si="60"/>
        <v/>
      </c>
      <c r="AJ59" s="296" t="str">
        <f t="shared" si="61"/>
        <v/>
      </c>
      <c r="AK59" s="296" t="str">
        <f t="shared" si="62"/>
        <v/>
      </c>
      <c r="AL59" s="287" t="str">
        <f t="shared" si="63"/>
        <v/>
      </c>
      <c r="AM59" s="279">
        <f t="shared" si="64"/>
        <v>0</v>
      </c>
      <c r="AN59" s="279">
        <f t="shared" si="89"/>
        <v>0</v>
      </c>
      <c r="AO59" s="288">
        <f t="shared" si="65"/>
        <v>0</v>
      </c>
      <c r="AP59" s="279">
        <f t="shared" si="90"/>
        <v>0</v>
      </c>
      <c r="AQ59" s="288">
        <f t="shared" si="66"/>
        <v>0</v>
      </c>
      <c r="AR59" s="289">
        <f t="shared" si="67"/>
        <v>0</v>
      </c>
      <c r="AS59" s="279">
        <f t="shared" si="91"/>
        <v>0</v>
      </c>
      <c r="AT59" s="288">
        <f t="shared" si="68"/>
        <v>0</v>
      </c>
      <c r="AU59" s="289">
        <f t="shared" si="69"/>
        <v>0</v>
      </c>
      <c r="AV59" s="279">
        <f t="shared" si="70"/>
        <v>0</v>
      </c>
      <c r="AW59" s="288">
        <f t="shared" si="71"/>
        <v>0</v>
      </c>
      <c r="AX59" s="289">
        <f t="shared" si="72"/>
        <v>0</v>
      </c>
      <c r="AY59" s="268"/>
      <c r="AZ59" s="291"/>
      <c r="BA59" s="292"/>
      <c r="BB59" s="303"/>
      <c r="BC59" s="293"/>
      <c r="BD59" s="293"/>
      <c r="BE59" s="304"/>
      <c r="BF59" s="274"/>
      <c r="BG59" s="377"/>
      <c r="BH59" s="268">
        <v>1</v>
      </c>
      <c r="BI59" s="273">
        <v>0</v>
      </c>
      <c r="BJ59" s="276"/>
      <c r="BK59" s="294"/>
      <c r="BL59" s="269" t="str">
        <f t="shared" ca="1" si="73"/>
        <v/>
      </c>
      <c r="BM59" s="270"/>
      <c r="BN59" s="271"/>
      <c r="BO59" s="272" t="str">
        <f t="shared" ca="1" si="74"/>
        <v/>
      </c>
      <c r="BP59" s="270"/>
      <c r="BQ59" s="271"/>
      <c r="BR59" s="272" t="str">
        <f t="shared" ca="1" si="75"/>
        <v/>
      </c>
      <c r="BS59" s="270"/>
      <c r="BT59" s="271"/>
      <c r="BU59" s="272" t="str">
        <f t="shared" ca="1" si="76"/>
        <v/>
      </c>
      <c r="BV59" s="270"/>
      <c r="BW59" s="271"/>
      <c r="BX59" s="272" t="str">
        <f t="shared" ca="1" si="77"/>
        <v/>
      </c>
      <c r="BY59" s="270"/>
      <c r="BZ59" s="271"/>
      <c r="CA59" s="272" t="str">
        <f t="shared" ca="1" si="78"/>
        <v/>
      </c>
      <c r="CB59" s="270"/>
      <c r="CC59" s="271"/>
      <c r="CD59" s="272" t="str">
        <f t="shared" ca="1" si="79"/>
        <v/>
      </c>
      <c r="CE59" s="270"/>
      <c r="CF59" s="271"/>
      <c r="CG59" s="272" t="str">
        <f t="shared" ca="1" si="80"/>
        <v/>
      </c>
      <c r="CH59" s="270"/>
      <c r="CI59" s="271"/>
      <c r="CJ59" s="272" t="str">
        <f t="shared" ca="1" si="81"/>
        <v/>
      </c>
      <c r="CK59" s="262"/>
      <c r="CL59" s="264"/>
      <c r="CM59" s="264"/>
      <c r="CN59" s="264"/>
      <c r="CO59" s="264"/>
      <c r="CP59" s="264"/>
      <c r="CQ59" s="264"/>
      <c r="CR59" s="262"/>
      <c r="CS59" s="263"/>
      <c r="CT59" s="297" t="str">
        <f t="shared" si="93"/>
        <v/>
      </c>
      <c r="CU59" s="264"/>
      <c r="CV59" s="265"/>
      <c r="CW59" s="264"/>
      <c r="CX59" s="264"/>
      <c r="CY59" s="264" t="str">
        <f t="shared" si="96"/>
        <v/>
      </c>
      <c r="CZ59" s="264"/>
      <c r="DA59" s="264"/>
      <c r="DB59" s="266"/>
      <c r="DC59" s="264"/>
      <c r="DD59" s="264"/>
      <c r="DE59" s="266"/>
      <c r="DF59" s="266"/>
      <c r="DG59" s="264"/>
      <c r="DH59" s="266"/>
      <c r="DI59" s="266"/>
      <c r="DJ59" s="264"/>
      <c r="DK59" s="264"/>
      <c r="DL59" s="267"/>
      <c r="DM59" s="261">
        <f t="shared" si="82"/>
        <v>0</v>
      </c>
      <c r="DN59" s="295" t="str">
        <f t="shared" si="83"/>
        <v/>
      </c>
      <c r="DO59" s="392" t="str">
        <f t="shared" si="84"/>
        <v/>
      </c>
      <c r="DP59" s="392" t="str">
        <f t="shared" si="85"/>
        <v/>
      </c>
      <c r="DQ59" s="456" t="str">
        <f t="shared" si="86"/>
        <v/>
      </c>
      <c r="DR59" s="456" t="str">
        <f t="shared" si="87"/>
        <v/>
      </c>
    </row>
    <row r="60" spans="1:122" x14ac:dyDescent="0.25">
      <c r="A60" s="599" t="str">
        <f t="shared" ref="A60:A61" si="97">CONCATENATE(C60," ",D60," - ",K60," - ",J60)</f>
        <v xml:space="preserve">  -  - </v>
      </c>
      <c r="B60" s="306"/>
      <c r="C60" s="305"/>
      <c r="D60" s="301"/>
      <c r="E60" s="276"/>
      <c r="F60" s="278"/>
      <c r="G60" s="311"/>
      <c r="H60" s="276"/>
      <c r="I60" s="313" t="str">
        <f t="shared" si="50"/>
        <v/>
      </c>
      <c r="J60" s="312"/>
      <c r="K60" s="268"/>
      <c r="L60" s="277"/>
      <c r="M60" s="279"/>
      <c r="N60" s="280"/>
      <c r="O60" s="280"/>
      <c r="P60" s="455"/>
      <c r="Q60" s="281" t="str">
        <f t="shared" si="51"/>
        <v/>
      </c>
      <c r="R60" s="282">
        <f t="shared" si="52"/>
        <v>0</v>
      </c>
      <c r="S60" s="268"/>
      <c r="T60" s="283">
        <f t="shared" si="94"/>
        <v>0</v>
      </c>
      <c r="U60" s="284">
        <f>IF(M60=0,0,IF(G60="Annulation","",IF(assurance="ALPTIS",M60*12*T60/100*'Complet Data'!$K$4,IF(assurance="APRIL",M60*12*T60/100*'Complet Data'!$F$4,IF(assurance="ASAF",M60*12*T60/100*'Complet Data'!$I$4,IF(assurance="NEOLIANE",('Complet Data'!$G$5+M60*12*'Complet Data'!$G$4)*T60/100,IF(assurance="NEOLIANE Prev",('Complet Data'!$H$5+M60*12*'Complet Data'!$H$4)*T60/100,IF(assurance="SWISSLIFE",M60*12*T60/100*'Complet Data'!$J$4,IF(assurance="AVIVA",M60*12*T60/100*'Complet Data'!$L$4,IF(assurance="CIPRES",M60*12*T60/100*'Complet Data'!$M$4,IF(assurance="CEGEMA",M60*12*T60/100*'Complet Data'!$N$4,IF(assurance=0,0))))))))))))</f>
        <v>0</v>
      </c>
      <c r="V60" s="298" t="str">
        <f t="shared" si="53"/>
        <v/>
      </c>
      <c r="W60" s="298" t="str">
        <f t="shared" si="54"/>
        <v/>
      </c>
      <c r="X60" s="299">
        <f t="shared" si="55"/>
        <v>0</v>
      </c>
      <c r="Y60" s="368">
        <f t="shared" si="56"/>
        <v>0</v>
      </c>
      <c r="Z60" s="314"/>
      <c r="AA60" s="313" t="str">
        <f t="shared" si="57"/>
        <v/>
      </c>
      <c r="AB60" s="268" t="s">
        <v>13</v>
      </c>
      <c r="AC60" s="277"/>
      <c r="AD60" s="309" t="str">
        <f t="shared" si="95"/>
        <v/>
      </c>
      <c r="AE60" s="286" t="str">
        <f t="shared" si="92"/>
        <v/>
      </c>
      <c r="AF60" s="277"/>
      <c r="AG60" s="275" t="str">
        <f t="shared" si="58"/>
        <v/>
      </c>
      <c r="AH60" s="287" t="str">
        <f t="shared" ca="1" si="59"/>
        <v/>
      </c>
      <c r="AI60" s="373" t="str">
        <f t="shared" ca="1" si="60"/>
        <v/>
      </c>
      <c r="AJ60" s="296" t="str">
        <f t="shared" si="61"/>
        <v/>
      </c>
      <c r="AK60" s="296" t="str">
        <f t="shared" si="62"/>
        <v/>
      </c>
      <c r="AL60" s="287" t="str">
        <f t="shared" si="63"/>
        <v/>
      </c>
      <c r="AM60" s="279">
        <f t="shared" si="64"/>
        <v>0</v>
      </c>
      <c r="AN60" s="279">
        <f t="shared" si="89"/>
        <v>0</v>
      </c>
      <c r="AO60" s="288">
        <f t="shared" si="65"/>
        <v>0</v>
      </c>
      <c r="AP60" s="279">
        <f t="shared" si="90"/>
        <v>0</v>
      </c>
      <c r="AQ60" s="288">
        <f t="shared" si="66"/>
        <v>0</v>
      </c>
      <c r="AR60" s="289">
        <f t="shared" si="67"/>
        <v>0</v>
      </c>
      <c r="AS60" s="279">
        <f t="shared" si="91"/>
        <v>0</v>
      </c>
      <c r="AT60" s="288">
        <f t="shared" si="68"/>
        <v>0</v>
      </c>
      <c r="AU60" s="289">
        <f t="shared" si="69"/>
        <v>0</v>
      </c>
      <c r="AV60" s="279">
        <f t="shared" si="70"/>
        <v>0</v>
      </c>
      <c r="AW60" s="288">
        <f t="shared" si="71"/>
        <v>0</v>
      </c>
      <c r="AX60" s="289">
        <f t="shared" si="72"/>
        <v>0</v>
      </c>
      <c r="AY60" s="268"/>
      <c r="AZ60" s="291"/>
      <c r="BA60" s="292"/>
      <c r="BB60" s="303"/>
      <c r="BC60" s="293"/>
      <c r="BD60" s="293"/>
      <c r="BE60" s="304"/>
      <c r="BF60" s="274"/>
      <c r="BG60" s="377"/>
      <c r="BH60" s="268">
        <v>1</v>
      </c>
      <c r="BI60" s="273">
        <v>0</v>
      </c>
      <c r="BJ60" s="276"/>
      <c r="BK60" s="294"/>
      <c r="BL60" s="269" t="str">
        <f t="shared" ca="1" si="73"/>
        <v/>
      </c>
      <c r="BM60" s="270"/>
      <c r="BN60" s="271"/>
      <c r="BO60" s="272" t="str">
        <f t="shared" ca="1" si="74"/>
        <v/>
      </c>
      <c r="BP60" s="270"/>
      <c r="BQ60" s="271"/>
      <c r="BR60" s="272" t="str">
        <f t="shared" ca="1" si="75"/>
        <v/>
      </c>
      <c r="BS60" s="270"/>
      <c r="BT60" s="271"/>
      <c r="BU60" s="272" t="str">
        <f t="shared" ca="1" si="76"/>
        <v/>
      </c>
      <c r="BV60" s="270"/>
      <c r="BW60" s="271"/>
      <c r="BX60" s="272" t="str">
        <f t="shared" ca="1" si="77"/>
        <v/>
      </c>
      <c r="BY60" s="270"/>
      <c r="BZ60" s="271"/>
      <c r="CA60" s="272" t="str">
        <f t="shared" ca="1" si="78"/>
        <v/>
      </c>
      <c r="CB60" s="270"/>
      <c r="CC60" s="271"/>
      <c r="CD60" s="272" t="str">
        <f t="shared" ca="1" si="79"/>
        <v/>
      </c>
      <c r="CE60" s="270"/>
      <c r="CF60" s="271"/>
      <c r="CG60" s="272" t="str">
        <f t="shared" ca="1" si="80"/>
        <v/>
      </c>
      <c r="CH60" s="270"/>
      <c r="CI60" s="271"/>
      <c r="CJ60" s="272" t="str">
        <f t="shared" ca="1" si="81"/>
        <v/>
      </c>
      <c r="CK60" s="262"/>
      <c r="CL60" s="264"/>
      <c r="CM60" s="264"/>
      <c r="CN60" s="264"/>
      <c r="CO60" s="264"/>
      <c r="CP60" s="264"/>
      <c r="CQ60" s="264"/>
      <c r="CR60" s="262"/>
      <c r="CS60" s="263"/>
      <c r="CT60" s="297" t="str">
        <f t="shared" si="93"/>
        <v/>
      </c>
      <c r="CU60" s="264"/>
      <c r="CV60" s="265"/>
      <c r="CW60" s="264"/>
      <c r="CX60" s="264"/>
      <c r="CY60" s="264" t="str">
        <f t="shared" si="96"/>
        <v/>
      </c>
      <c r="CZ60" s="264"/>
      <c r="DA60" s="264"/>
      <c r="DB60" s="266"/>
      <c r="DC60" s="264"/>
      <c r="DD60" s="264"/>
      <c r="DE60" s="266"/>
      <c r="DF60" s="266"/>
      <c r="DG60" s="264"/>
      <c r="DH60" s="266"/>
      <c r="DI60" s="266"/>
      <c r="DJ60" s="264"/>
      <c r="DK60" s="264"/>
      <c r="DL60" s="267"/>
      <c r="DM60" s="261">
        <f t="shared" si="82"/>
        <v>0</v>
      </c>
      <c r="DN60" s="295" t="str">
        <f t="shared" si="83"/>
        <v/>
      </c>
      <c r="DO60" s="392" t="str">
        <f t="shared" si="84"/>
        <v/>
      </c>
      <c r="DP60" s="392" t="str">
        <f t="shared" si="85"/>
        <v/>
      </c>
      <c r="DQ60" s="456" t="str">
        <f t="shared" si="86"/>
        <v/>
      </c>
      <c r="DR60" s="456" t="str">
        <f t="shared" si="87"/>
        <v/>
      </c>
    </row>
    <row r="61" spans="1:122" x14ac:dyDescent="0.25">
      <c r="A61" s="599" t="str">
        <f t="shared" si="97"/>
        <v xml:space="preserve">  -  - </v>
      </c>
      <c r="B61" s="306"/>
      <c r="C61" s="305"/>
      <c r="D61" s="301"/>
      <c r="E61" s="276"/>
      <c r="F61" s="278"/>
      <c r="G61" s="311"/>
      <c r="H61" s="276"/>
      <c r="I61" s="313" t="str">
        <f t="shared" si="50"/>
        <v/>
      </c>
      <c r="J61" s="312"/>
      <c r="K61" s="268"/>
      <c r="L61" s="277"/>
      <c r="M61" s="279"/>
      <c r="N61" s="280"/>
      <c r="O61" s="280"/>
      <c r="P61" s="455"/>
      <c r="Q61" s="281" t="str">
        <f t="shared" si="51"/>
        <v/>
      </c>
      <c r="R61" s="282">
        <f t="shared" si="52"/>
        <v>0</v>
      </c>
      <c r="S61" s="268"/>
      <c r="T61" s="283">
        <f t="shared" si="94"/>
        <v>0</v>
      </c>
      <c r="U61" s="284">
        <f>IF(M61=0,0,IF(G61="Annulation","",IF(assurance="ALPTIS",M61*12*T61/100*'Complet Data'!$K$4,IF(assurance="APRIL",M61*12*T61/100*'Complet Data'!$F$4,IF(assurance="ASAF",M61*12*T61/100*'Complet Data'!$I$4,IF(assurance="NEOLIANE",('Complet Data'!$G$5+M61*12*'Complet Data'!$G$4)*T61/100,IF(assurance="NEOLIANE Prev",('Complet Data'!$H$5+M61*12*'Complet Data'!$H$4)*T61/100,IF(assurance="SWISSLIFE",M61*12*T61/100*'Complet Data'!$J$4,IF(assurance="AVIVA",M61*12*T61/100*'Complet Data'!$L$4,IF(assurance="CIPRES",M61*12*T61/100*'Complet Data'!$M$4,IF(assurance="CEGEMA",M61*12*T61/100*'Complet Data'!$N$4,IF(assurance=0,0))))))))))))</f>
        <v>0</v>
      </c>
      <c r="V61" s="298" t="str">
        <f t="shared" si="53"/>
        <v/>
      </c>
      <c r="W61" s="298" t="str">
        <f t="shared" si="54"/>
        <v/>
      </c>
      <c r="X61" s="299">
        <f t="shared" si="55"/>
        <v>0</v>
      </c>
      <c r="Y61" s="368">
        <f t="shared" si="56"/>
        <v>0</v>
      </c>
      <c r="Z61" s="314"/>
      <c r="AA61" s="313" t="str">
        <f t="shared" si="57"/>
        <v/>
      </c>
      <c r="AB61" s="268" t="s">
        <v>13</v>
      </c>
      <c r="AC61" s="277"/>
      <c r="AD61" s="309" t="str">
        <f t="shared" si="95"/>
        <v/>
      </c>
      <c r="AE61" s="286" t="str">
        <f t="shared" si="92"/>
        <v/>
      </c>
      <c r="AF61" s="277"/>
      <c r="AG61" s="275" t="str">
        <f t="shared" si="58"/>
        <v/>
      </c>
      <c r="AH61" s="287" t="str">
        <f t="shared" ca="1" si="59"/>
        <v/>
      </c>
      <c r="AI61" s="373" t="str">
        <f t="shared" ca="1" si="60"/>
        <v/>
      </c>
      <c r="AJ61" s="296" t="str">
        <f t="shared" si="61"/>
        <v/>
      </c>
      <c r="AK61" s="296" t="str">
        <f t="shared" si="62"/>
        <v/>
      </c>
      <c r="AL61" s="287" t="str">
        <f t="shared" si="63"/>
        <v/>
      </c>
      <c r="AM61" s="279">
        <f t="shared" si="64"/>
        <v>0</v>
      </c>
      <c r="AN61" s="279">
        <f t="shared" si="89"/>
        <v>0</v>
      </c>
      <c r="AO61" s="288">
        <f t="shared" si="65"/>
        <v>0</v>
      </c>
      <c r="AP61" s="279">
        <f t="shared" si="90"/>
        <v>0</v>
      </c>
      <c r="AQ61" s="288">
        <f t="shared" si="66"/>
        <v>0</v>
      </c>
      <c r="AR61" s="289">
        <f t="shared" si="67"/>
        <v>0</v>
      </c>
      <c r="AS61" s="279">
        <f t="shared" si="91"/>
        <v>0</v>
      </c>
      <c r="AT61" s="288">
        <f t="shared" si="68"/>
        <v>0</v>
      </c>
      <c r="AU61" s="289">
        <f t="shared" si="69"/>
        <v>0</v>
      </c>
      <c r="AV61" s="279">
        <f t="shared" si="70"/>
        <v>0</v>
      </c>
      <c r="AW61" s="288">
        <f t="shared" si="71"/>
        <v>0</v>
      </c>
      <c r="AX61" s="289">
        <f t="shared" si="72"/>
        <v>0</v>
      </c>
      <c r="AY61" s="268"/>
      <c r="AZ61" s="291"/>
      <c r="BA61" s="292"/>
      <c r="BB61" s="303"/>
      <c r="BC61" s="293"/>
      <c r="BD61" s="293"/>
      <c r="BE61" s="304"/>
      <c r="BF61" s="274"/>
      <c r="BG61" s="377"/>
      <c r="BH61" s="268">
        <v>1</v>
      </c>
      <c r="BI61" s="273">
        <v>0</v>
      </c>
      <c r="BJ61" s="276"/>
      <c r="BK61" s="294"/>
      <c r="BL61" s="269" t="str">
        <f t="shared" ca="1" si="73"/>
        <v/>
      </c>
      <c r="BM61" s="270"/>
      <c r="BN61" s="271"/>
      <c r="BO61" s="272" t="str">
        <f t="shared" ca="1" si="74"/>
        <v/>
      </c>
      <c r="BP61" s="270"/>
      <c r="BQ61" s="271"/>
      <c r="BR61" s="272" t="str">
        <f t="shared" ca="1" si="75"/>
        <v/>
      </c>
      <c r="BS61" s="270"/>
      <c r="BT61" s="271"/>
      <c r="BU61" s="272" t="str">
        <f t="shared" ca="1" si="76"/>
        <v/>
      </c>
      <c r="BV61" s="270"/>
      <c r="BW61" s="271"/>
      <c r="BX61" s="272" t="str">
        <f t="shared" ca="1" si="77"/>
        <v/>
      </c>
      <c r="BY61" s="270"/>
      <c r="BZ61" s="271"/>
      <c r="CA61" s="272" t="str">
        <f t="shared" ca="1" si="78"/>
        <v/>
      </c>
      <c r="CB61" s="270"/>
      <c r="CC61" s="271"/>
      <c r="CD61" s="272" t="str">
        <f t="shared" ca="1" si="79"/>
        <v/>
      </c>
      <c r="CE61" s="270"/>
      <c r="CF61" s="271"/>
      <c r="CG61" s="272" t="str">
        <f t="shared" ca="1" si="80"/>
        <v/>
      </c>
      <c r="CH61" s="270"/>
      <c r="CI61" s="271"/>
      <c r="CJ61" s="272" t="str">
        <f t="shared" ca="1" si="81"/>
        <v/>
      </c>
      <c r="CK61" s="262"/>
      <c r="CL61" s="264"/>
      <c r="CM61" s="264"/>
      <c r="CN61" s="264"/>
      <c r="CO61" s="264"/>
      <c r="CP61" s="264"/>
      <c r="CQ61" s="264"/>
      <c r="CR61" s="262"/>
      <c r="CS61" s="263"/>
      <c r="CT61" s="297" t="str">
        <f t="shared" si="93"/>
        <v/>
      </c>
      <c r="CU61" s="264"/>
      <c r="CV61" s="265"/>
      <c r="CW61" s="264"/>
      <c r="CX61" s="264"/>
      <c r="CY61" s="264" t="str">
        <f t="shared" si="96"/>
        <v/>
      </c>
      <c r="CZ61" s="264"/>
      <c r="DA61" s="264"/>
      <c r="DB61" s="266"/>
      <c r="DC61" s="264"/>
      <c r="DD61" s="264"/>
      <c r="DE61" s="266"/>
      <c r="DF61" s="266"/>
      <c r="DG61" s="264"/>
      <c r="DH61" s="266"/>
      <c r="DI61" s="266"/>
      <c r="DJ61" s="264"/>
      <c r="DK61" s="264"/>
      <c r="DL61" s="267"/>
      <c r="DM61" s="261">
        <f t="shared" si="82"/>
        <v>0</v>
      </c>
      <c r="DN61" s="295" t="str">
        <f t="shared" si="83"/>
        <v/>
      </c>
      <c r="DO61" s="392" t="str">
        <f t="shared" si="84"/>
        <v/>
      </c>
      <c r="DP61" s="392" t="str">
        <f t="shared" si="85"/>
        <v/>
      </c>
      <c r="DQ61" s="456" t="str">
        <f t="shared" si="86"/>
        <v/>
      </c>
      <c r="DR61" s="456" t="str">
        <f t="shared" si="87"/>
        <v/>
      </c>
    </row>
  </sheetData>
  <sortState ref="C2:DR307">
    <sortCondition ref="C1"/>
  </sortState>
  <mergeCells count="1">
    <mergeCell ref="A1:B1"/>
  </mergeCells>
  <conditionalFormatting sqref="CE2:CE61 CB2:CB61 BY2:BY61 BV2:BV61 BP2:BP61 BS1:BS61 BM2:BM61 CH2:CH61 BG2:BG61">
    <cfRule type="expression" dxfId="3194" priority="8095">
      <formula>$J1="Santé Individuelle"</formula>
    </cfRule>
  </conditionalFormatting>
  <conditionalFormatting sqref="BX2:BX61 CA2:CA61 CD2:CD61 CG2:CG61 CJ2:CJ61 BO2:BO61 BU1:BU61 BR2:BR61">
    <cfRule type="expression" dxfId="3193" priority="8096">
      <formula>$J1="Santé Individuelle"</formula>
    </cfRule>
  </conditionalFormatting>
  <conditionalFormatting sqref="BV1">
    <cfRule type="expression" dxfId="3192" priority="8091">
      <formula>$J1="Santé Individuelle"</formula>
    </cfRule>
  </conditionalFormatting>
  <conditionalFormatting sqref="BX1">
    <cfRule type="expression" dxfId="3191" priority="8092">
      <formula>$J1="Santé Individuelle"</formula>
    </cfRule>
  </conditionalFormatting>
  <conditionalFormatting sqref="BY1">
    <cfRule type="expression" dxfId="3190" priority="8087">
      <formula>$J1="Santé Individuelle"</formula>
    </cfRule>
  </conditionalFormatting>
  <conditionalFormatting sqref="CA1">
    <cfRule type="expression" dxfId="3189" priority="8088">
      <formula>$J1="Santé Individuelle"</formula>
    </cfRule>
  </conditionalFormatting>
  <conditionalFormatting sqref="CB1">
    <cfRule type="expression" dxfId="3188" priority="8083">
      <formula>$J1="Santé Individuelle"</formula>
    </cfRule>
  </conditionalFormatting>
  <conditionalFormatting sqref="CD1">
    <cfRule type="expression" dxfId="3187" priority="8084">
      <formula>$J1="Santé Individuelle"</formula>
    </cfRule>
  </conditionalFormatting>
  <conditionalFormatting sqref="CE1">
    <cfRule type="expression" dxfId="3186" priority="8079">
      <formula>$J1="Santé Individuelle"</formula>
    </cfRule>
  </conditionalFormatting>
  <conditionalFormatting sqref="CG1">
    <cfRule type="expression" dxfId="3185" priority="8080">
      <formula>$J1="Santé Individuelle"</formula>
    </cfRule>
  </conditionalFormatting>
  <conditionalFormatting sqref="CH1">
    <cfRule type="expression" dxfId="3184" priority="8075">
      <formula>$J1="Santé Individuelle"</formula>
    </cfRule>
  </conditionalFormatting>
  <conditionalFormatting sqref="CJ1">
    <cfRule type="expression" dxfId="3183" priority="8076">
      <formula>$J1="Santé Individuelle"</formula>
    </cfRule>
  </conditionalFormatting>
  <conditionalFormatting sqref="BM1">
    <cfRule type="expression" dxfId="3182" priority="8101">
      <formula>$BH1=1</formula>
    </cfRule>
  </conditionalFormatting>
  <conditionalFormatting sqref="BO1">
    <cfRule type="expression" dxfId="3181" priority="8102">
      <formula>$BH1=1</formula>
    </cfRule>
  </conditionalFormatting>
  <conditionalFormatting sqref="BP1">
    <cfRule type="expression" dxfId="3180" priority="8099">
      <formula>$J1="Santé Individuelle"</formula>
    </cfRule>
  </conditionalFormatting>
  <conditionalFormatting sqref="BR1">
    <cfRule type="expression" dxfId="3179" priority="8100">
      <formula>$J1="Santé Individuelle"</formula>
    </cfRule>
  </conditionalFormatting>
  <conditionalFormatting sqref="BP1">
    <cfRule type="expression" dxfId="3178" priority="8098">
      <formula>$BI1=0</formula>
    </cfRule>
  </conditionalFormatting>
  <conditionalFormatting sqref="BR1">
    <cfRule type="expression" dxfId="3177" priority="8097">
      <formula>$BI1=0</formula>
    </cfRule>
  </conditionalFormatting>
  <conditionalFormatting sqref="BS1">
    <cfRule type="expression" dxfId="3176" priority="8094">
      <formula>$BI1&lt;2</formula>
    </cfRule>
  </conditionalFormatting>
  <conditionalFormatting sqref="BU1">
    <cfRule type="expression" dxfId="3175" priority="8093">
      <formula>$BI1&lt;2</formula>
    </cfRule>
  </conditionalFormatting>
  <conditionalFormatting sqref="BV1">
    <cfRule type="expression" dxfId="3174" priority="8090">
      <formula>$BI1&lt;3</formula>
    </cfRule>
  </conditionalFormatting>
  <conditionalFormatting sqref="BX1">
    <cfRule type="expression" dxfId="3173" priority="8089">
      <formula>$BI1&lt;3</formula>
    </cfRule>
  </conditionalFormatting>
  <conditionalFormatting sqref="BY1">
    <cfRule type="expression" dxfId="3172" priority="8086">
      <formula>$BI1&lt;4</formula>
    </cfRule>
  </conditionalFormatting>
  <conditionalFormatting sqref="CA1">
    <cfRule type="expression" dxfId="3171" priority="8085">
      <formula>$BI1&lt;4</formula>
    </cfRule>
  </conditionalFormatting>
  <conditionalFormatting sqref="CB1">
    <cfRule type="expression" dxfId="3170" priority="8082">
      <formula>$BI1&lt;5</formula>
    </cfRule>
  </conditionalFormatting>
  <conditionalFormatting sqref="CD1">
    <cfRule type="expression" dxfId="3169" priority="8081">
      <formula>$BI1&lt;5</formula>
    </cfRule>
  </conditionalFormatting>
  <conditionalFormatting sqref="CE1">
    <cfRule type="expression" dxfId="3168" priority="8078">
      <formula>$BI1&lt;6</formula>
    </cfRule>
  </conditionalFormatting>
  <conditionalFormatting sqref="CG1">
    <cfRule type="expression" dxfId="3167" priority="8077">
      <formula>$BI1&lt;6</formula>
    </cfRule>
  </conditionalFormatting>
  <conditionalFormatting sqref="CH1">
    <cfRule type="expression" dxfId="3166" priority="8074">
      <formula>$BI1&lt;7</formula>
    </cfRule>
  </conditionalFormatting>
  <conditionalFormatting sqref="CJ1">
    <cfRule type="expression" dxfId="3165" priority="8073">
      <formula>$BI1&lt;7</formula>
    </cfRule>
  </conditionalFormatting>
  <conditionalFormatting sqref="C1:H1 J1:X1 AN1:DL1">
    <cfRule type="notContainsBlanks" dxfId="3164" priority="8072">
      <formula>LEN(TRIM(C1))&gt;0</formula>
    </cfRule>
  </conditionalFormatting>
  <conditionalFormatting sqref="A1">
    <cfRule type="containsText" dxfId="3163" priority="8068" operator="containsText" text="Trans.">
      <formula>NOT(ISERROR(SEARCH("Trans.",A1)))</formula>
    </cfRule>
    <cfRule type="containsText" dxfId="3162" priority="8069" operator="containsText" text="Inter.">
      <formula>NOT(ISERROR(SEARCH("Inter.",A1)))</formula>
    </cfRule>
    <cfRule type="containsText" dxfId="3161" priority="8070" operator="containsText" text="Tout">
      <formula>NOT(ISERROR(SEARCH("Tout",A1)))</formula>
    </cfRule>
    <cfRule type="containsText" dxfId="3160" priority="8071" operator="containsText" text="Mini">
      <formula>NOT(ISERROR(SEARCH("Mini",A1)))</formula>
    </cfRule>
  </conditionalFormatting>
  <conditionalFormatting sqref="A1">
    <cfRule type="notContainsBlanks" dxfId="3159" priority="8067">
      <formula>LEN(TRIM(A1))&gt;0</formula>
    </cfRule>
  </conditionalFormatting>
  <conditionalFormatting sqref="AB1:AC1">
    <cfRule type="notContainsBlanks" dxfId="3158" priority="8066">
      <formula>LEN(TRIM(AB1))&gt;0</formula>
    </cfRule>
  </conditionalFormatting>
  <conditionalFormatting sqref="AD1">
    <cfRule type="notContainsBlanks" dxfId="3157" priority="8065">
      <formula>LEN(TRIM(AD1))&gt;0</formula>
    </cfRule>
  </conditionalFormatting>
  <conditionalFormatting sqref="AV2:AX2 AJ2 BH3:BH61 AB3:AJ61 G3:H61 X3:Y61 AO2 AL3:AX61 T2:U61">
    <cfRule type="cellIs" dxfId="3156" priority="1781" operator="equal">
      <formula>0</formula>
    </cfRule>
    <cfRule type="containsBlanks" dxfId="3155" priority="1782">
      <formula>LEN(TRIM(G2))=0</formula>
    </cfRule>
  </conditionalFormatting>
  <conditionalFormatting sqref="AG2:DL61 AA2:AE61 M2:M61 DO2:DR61 H2:I61 O2:W61">
    <cfRule type="expression" dxfId="3154" priority="1771">
      <formula>$G2="Annulation"</formula>
    </cfRule>
  </conditionalFormatting>
  <conditionalFormatting sqref="AG2:AX61 AB2:AE61 N2:N61 J2:L61 BH2:BH61 DM2:DM61 C2:H61 AZ2:BE61 DO2:DR61 BJ2:BL61 U2:Z61">
    <cfRule type="expression" dxfId="3153" priority="1753">
      <formula>$G2&lt;&gt;"Annulation"</formula>
    </cfRule>
  </conditionalFormatting>
  <conditionalFormatting sqref="U2:U61">
    <cfRule type="expression" dxfId="3152" priority="7839">
      <formula>$DM2="Trans."</formula>
    </cfRule>
  </conditionalFormatting>
  <conditionalFormatting sqref="X2:Y61">
    <cfRule type="expression" dxfId="3151" priority="8063">
      <formula>$P2="Annulé"</formula>
    </cfRule>
  </conditionalFormatting>
  <conditionalFormatting sqref="DM2:DM61 X2:X61 G2:G61 AF2:AF61 L2:N61 J2:J61">
    <cfRule type="expression" dxfId="3150" priority="5133">
      <formula>$G2="Annulation"</formula>
    </cfRule>
  </conditionalFormatting>
  <conditionalFormatting sqref="DM1:DN1">
    <cfRule type="notContainsBlanks" dxfId="3149" priority="8056">
      <formula>LEN(TRIM(DM1))&gt;0</formula>
    </cfRule>
  </conditionalFormatting>
  <conditionalFormatting sqref="Y1:Z1">
    <cfRule type="notContainsBlanks" dxfId="3148" priority="8055">
      <formula>LEN(TRIM(Y1))&gt;0</formula>
    </cfRule>
  </conditionalFormatting>
  <conditionalFormatting sqref="R2:S61 AA2:AA61 M2:M61 I1:I61 AY2:AY61">
    <cfRule type="expression" dxfId="3147" priority="8048">
      <formula>$G1&lt;&gt;"Annulation"</formula>
    </cfRule>
  </conditionalFormatting>
  <conditionalFormatting sqref="I1">
    <cfRule type="expression" dxfId="3146" priority="8049">
      <formula>$G1="Annulation"</formula>
    </cfRule>
  </conditionalFormatting>
  <conditionalFormatting sqref="AA2:AA61 I1:I61">
    <cfRule type="containsBlanks" dxfId="3145" priority="8050">
      <formula>LEN(TRIM(I1))=0</formula>
    </cfRule>
    <cfRule type="cellIs" dxfId="3144" priority="8051" operator="lessThan">
      <formula>31</formula>
    </cfRule>
  </conditionalFormatting>
  <conditionalFormatting sqref="I1:I61 AA2:AA61">
    <cfRule type="expression" dxfId="3143" priority="8052">
      <formula>$AA1&gt;122</formula>
    </cfRule>
  </conditionalFormatting>
  <conditionalFormatting sqref="AM1">
    <cfRule type="notContainsBlanks" dxfId="3142" priority="8043">
      <formula>LEN(TRIM(AM1))&gt;0</formula>
    </cfRule>
  </conditionalFormatting>
  <conditionalFormatting sqref="AE1">
    <cfRule type="notContainsBlanks" dxfId="3141" priority="8041">
      <formula>LEN(TRIM(AE1))&gt;0</formula>
    </cfRule>
  </conditionalFormatting>
  <conditionalFormatting sqref="AG1">
    <cfRule type="notContainsBlanks" dxfId="3140" priority="8039">
      <formula>LEN(TRIM(AG1))&gt;0</formula>
    </cfRule>
  </conditionalFormatting>
  <conditionalFormatting sqref="AK1">
    <cfRule type="notContainsBlanks" dxfId="3139" priority="8038">
      <formula>LEN(TRIM(AK1))&gt;0</formula>
    </cfRule>
  </conditionalFormatting>
  <conditionalFormatting sqref="AF1">
    <cfRule type="notContainsBlanks" dxfId="3138" priority="8037">
      <formula>LEN(TRIM(AF1))&gt;0</formula>
    </cfRule>
  </conditionalFormatting>
  <conditionalFormatting sqref="AI1">
    <cfRule type="notContainsBlanks" dxfId="3137" priority="8034">
      <formula>LEN(TRIM(AI1))&gt;0</formula>
    </cfRule>
  </conditionalFormatting>
  <conditionalFormatting sqref="AJ1">
    <cfRule type="notContainsBlanks" dxfId="3136" priority="8032">
      <formula>LEN(TRIM(AJ1))&gt;0</formula>
    </cfRule>
  </conditionalFormatting>
  <conditionalFormatting sqref="AH1">
    <cfRule type="notContainsBlanks" dxfId="3135" priority="8028">
      <formula>LEN(TRIM(AH1))&gt;0</formula>
    </cfRule>
  </conditionalFormatting>
  <conditionalFormatting sqref="AL1">
    <cfRule type="notContainsBlanks" dxfId="3134" priority="8026">
      <formula>LEN(TRIM(AL1))&gt;0</formula>
    </cfRule>
  </conditionalFormatting>
  <conditionalFormatting sqref="AA1">
    <cfRule type="notContainsBlanks" dxfId="3133" priority="8024">
      <formula>LEN(TRIM(AA1))&gt;0</formula>
    </cfRule>
  </conditionalFormatting>
  <conditionalFormatting sqref="BH2 AB2:AI2 G2:H2 V2:Y2 AL2:AN2 AP2:AU2 V3:W61 BJ2:BL61 T2:T61">
    <cfRule type="containsBlanks" dxfId="3132" priority="7921">
      <formula>LEN(TRIM(G2))=0</formula>
    </cfRule>
    <cfRule type="cellIs" dxfId="3131" priority="8062" operator="equal">
      <formula>0</formula>
    </cfRule>
  </conditionalFormatting>
  <conditionalFormatting sqref="P2:P61">
    <cfRule type="cellIs" dxfId="3130" priority="7987" operator="equal">
      <formula>"Refus Médical"</formula>
    </cfRule>
    <cfRule type="cellIs" dxfId="3129" priority="7988" operator="equal">
      <formula>"Annulé"</formula>
    </cfRule>
    <cfRule type="cellIs" dxfId="3128" priority="7989" operator="equal">
      <formula>"Déjà Signé"</formula>
    </cfRule>
    <cfRule type="cellIs" dxfId="3127" priority="7990" operator="equal">
      <formula>"Sans Suite"</formula>
    </cfRule>
    <cfRule type="cellIs" dxfId="3126" priority="7991" operator="equal">
      <formula>"Refus"</formula>
    </cfRule>
    <cfRule type="cellIs" dxfId="3125" priority="7992" operator="equal">
      <formula>"Report + Médical"</formula>
    </cfRule>
    <cfRule type="cellIs" dxfId="3124" priority="7993" operator="equal">
      <formula>"Report"</formula>
    </cfRule>
    <cfRule type="cellIs" dxfId="3123" priority="7994" operator="equal">
      <formula>"Signature"</formula>
    </cfRule>
    <cfRule type="cellIs" dxfId="3122" priority="7995" operator="equal">
      <formula>"Contrat Papier + Mécical"</formula>
    </cfRule>
    <cfRule type="cellIs" dxfId="3121" priority="7996" operator="equal">
      <formula>"Validation Médicale"</formula>
    </cfRule>
    <cfRule type="cellIs" dxfId="3120" priority="7997" operator="equal">
      <formula>"Contrat Papier"</formula>
    </cfRule>
    <cfRule type="cellIs" dxfId="3119" priority="7998" operator="equal">
      <formula>"Validation Compagnie"</formula>
    </cfRule>
    <cfRule type="cellIs" dxfId="3118" priority="7999" operator="equal">
      <formula>"V"</formula>
    </cfRule>
  </conditionalFormatting>
  <conditionalFormatting sqref="J2:J61">
    <cfRule type="containsText" dxfId="3117" priority="8000" operator="containsText" text="Autre">
      <formula>NOT(ISERROR(SEARCH("Autre",J2)))</formula>
    </cfRule>
    <cfRule type="containsText" dxfId="3116" priority="8009" operator="containsText" text="Prev. Part">
      <formula>NOT(ISERROR(SEARCH("Prev. Part",J2)))</formula>
    </cfRule>
    <cfRule type="containsText" dxfId="3115" priority="8010" operator="containsText" text="Santé Collective">
      <formula>NOT(ISERROR(SEARCH("Santé Collective",J2)))</formula>
    </cfRule>
    <cfRule type="containsText" dxfId="3114" priority="8011" operator="containsText" text="Santé Individuelle">
      <formula>NOT(ISERROR(SEARCH("Santé Individuelle",J2)))</formula>
    </cfRule>
    <cfRule type="containsText" dxfId="3113" priority="8012" operator="containsText" text="Prev. Pro">
      <formula>NOT(ISERROR(SEARCH("Prev. Pro",J2)))</formula>
    </cfRule>
  </conditionalFormatting>
  <conditionalFormatting sqref="K2:K61">
    <cfRule type="containsText" dxfId="3112" priority="8001" operator="containsText" text="CEGEMA">
      <formula>NOT(ISERROR(SEARCH("CEGEMA",K2)))</formula>
    </cfRule>
    <cfRule type="containsText" dxfId="3111" priority="8002" operator="containsText" text="ASAF">
      <formula>NOT(ISERROR(SEARCH("ASAF",K2)))</formula>
    </cfRule>
    <cfRule type="containsText" dxfId="3110" priority="8003" operator="containsText" text="AVIVA">
      <formula>NOT(ISERROR(SEARCH("AVIVA",K2)))</formula>
    </cfRule>
    <cfRule type="containsText" dxfId="3109" priority="8004" operator="containsText" text="CIPRES">
      <formula>NOT(ISERROR(SEARCH("CIPRES",K2)))</formula>
    </cfRule>
    <cfRule type="containsText" dxfId="3108" priority="8005" operator="containsText" text="ALPTIS">
      <formula>NOT(ISERROR(SEARCH("ALPTIS",K2)))</formula>
    </cfRule>
    <cfRule type="containsText" dxfId="3107" priority="8006" operator="containsText" text="NEOLIANE">
      <formula>NOT(ISERROR(SEARCH("NEOLIANE",K2)))</formula>
    </cfRule>
    <cfRule type="containsText" dxfId="3106" priority="8007" operator="containsText" text="SWISSLIFE">
      <formula>NOT(ISERROR(SEARCH("SWISSLIFE",K2)))</formula>
    </cfRule>
    <cfRule type="containsText" dxfId="3105" priority="8008" operator="containsText" text="APRIL">
      <formula>NOT(ISERROR(SEARCH("APRIL",K2)))</formula>
    </cfRule>
  </conditionalFormatting>
  <conditionalFormatting sqref="P2:P61">
    <cfRule type="containsText" dxfId="3104" priority="7981" operator="containsText" text="Impayé">
      <formula>NOT(ISERROR(SEARCH("Impayé",P2)))</formula>
    </cfRule>
    <cfRule type="containsText" dxfId="3103" priority="7982" operator="containsText" text="Résilié">
      <formula>NOT(ISERROR(SEARCH("Résilié",P2)))</formula>
    </cfRule>
    <cfRule type="containsText" dxfId="3102" priority="7983" operator="containsText" text="Radié">
      <formula>NOT(ISERROR(SEARCH("Radié",P2)))</formula>
    </cfRule>
    <cfRule type="containsText" dxfId="3101" priority="7984" operator="containsText" text="Pas Trouvé">
      <formula>NOT(ISERROR(SEARCH("Pas Trouvé",P2)))</formula>
    </cfRule>
    <cfRule type="containsText" dxfId="3100" priority="7985" operator="containsText" text="A Jour">
      <formula>NOT(ISERROR(SEARCH("A Jour",P2)))</formula>
    </cfRule>
    <cfRule type="containsText" dxfId="3099" priority="7986" operator="containsText" text="A Trouver">
      <formula>NOT(ISERROR(SEARCH("A Trouver",P2)))</formula>
    </cfRule>
  </conditionalFormatting>
  <conditionalFormatting sqref="AY2:AY61">
    <cfRule type="containsText" dxfId="3098" priority="7975" operator="containsText" text="Sympathie">
      <formula>NOT(ISERROR(SEARCH("Sympathie",AY2)))</formula>
    </cfRule>
  </conditionalFormatting>
  <conditionalFormatting sqref="AY2:AY61">
    <cfRule type="containsText" dxfId="3097" priority="7976" operator="containsText" text="Argent">
      <formula>NOT(ISERROR(SEARCH("Argent",AY2)))</formula>
    </cfRule>
    <cfRule type="containsText" dxfId="3096" priority="7977" operator="containsText" text="Confort">
      <formula>NOT(ISERROR(SEARCH("Confort",AY2)))</formula>
    </cfRule>
    <cfRule type="containsText" dxfId="3095" priority="7978" operator="containsText" text="Nouveauté">
      <formula>NOT(ISERROR(SEARCH("Nouveauté",AY2)))</formula>
    </cfRule>
    <cfRule type="containsText" dxfId="3094" priority="7979" operator="containsText" text="Orgueil">
      <formula>NOT(ISERROR(SEARCH("Orgueil",AY2)))</formula>
    </cfRule>
    <cfRule type="containsText" dxfId="3093" priority="7980" operator="containsText" text="Sécurité">
      <formula>NOT(ISERROR(SEARCH("Sécurité",AY2)))</formula>
    </cfRule>
  </conditionalFormatting>
  <conditionalFormatting sqref="DM2:DM61">
    <cfRule type="containsText" dxfId="3092" priority="7973" operator="containsText" text="Tout">
      <formula>NOT(ISERROR(SEARCH("Tout",DM2)))</formula>
    </cfRule>
    <cfRule type="containsText" dxfId="3091" priority="7974" operator="containsText" text="Mini">
      <formula>NOT(ISERROR(SEARCH("Mini",DM2)))</formula>
    </cfRule>
  </conditionalFormatting>
  <conditionalFormatting sqref="DM2:DM61">
    <cfRule type="containsText" dxfId="3090" priority="7972" operator="containsText" text="Inter.">
      <formula>NOT(ISERROR(SEARCH("Inter.",DM2)))</formula>
    </cfRule>
  </conditionalFormatting>
  <conditionalFormatting sqref="DM2:DM61">
    <cfRule type="containsText" dxfId="3089" priority="7919" operator="containsText" text="Trans.">
      <formula>NOT(ISERROR(SEARCH("Trans.",DM2)))</formula>
    </cfRule>
  </conditionalFormatting>
  <conditionalFormatting sqref="F2:F61 N2:O61 AY2:BE61 Q2:S61 DO2:DR61">
    <cfRule type="cellIs" dxfId="3088" priority="7971" operator="equal">
      <formula>0</formula>
    </cfRule>
    <cfRule type="containsBlanks" dxfId="3087" priority="8013">
      <formula>LEN(TRIM(F2))=0</formula>
    </cfRule>
  </conditionalFormatting>
  <conditionalFormatting sqref="AG2:AJ61 AT2:AU61 Q2:R61 V2:W61 AA2:AA61 AL2:AL61 BU2:BU61 BX2:BX61 CA2:CA61 CD2:CD61 CG2:CG61 CJ2:CJ61 BO2:BO61 AQ2:AR61 BR2:BR61 AW2:AX61 AO2:AO61 I2:I61 BL2:BL61 A2:B61">
    <cfRule type="expression" dxfId="3086" priority="803">
      <formula>$DM2="Trans."</formula>
    </cfRule>
  </conditionalFormatting>
  <conditionalFormatting sqref="DH2:DI61 DE2:DF61 DB2:DB61 CR2:CS61 DL2:DL61 CV2:CV61">
    <cfRule type="expression" dxfId="3085" priority="7970">
      <formula>$J2="Prev. Pro"</formula>
    </cfRule>
  </conditionalFormatting>
  <conditionalFormatting sqref="CY2:CY61">
    <cfRule type="expression" dxfId="3084" priority="7969">
      <formula>$J2="Prev. Pro"</formula>
    </cfRule>
  </conditionalFormatting>
  <conditionalFormatting sqref="CZ2:DA61 CU2:CU61 CW2:CX61 DC2:DD61 DG2:DG61 DJ2:DK61">
    <cfRule type="expression" dxfId="3083" priority="7968">
      <formula>$J2="Prev. Pro"</formula>
    </cfRule>
  </conditionalFormatting>
  <conditionalFormatting sqref="CK2:CQ61">
    <cfRule type="expression" dxfId="3082" priority="7967" stopIfTrue="1">
      <formula>$J2="Santé Individuelle"</formula>
    </cfRule>
  </conditionalFormatting>
  <conditionalFormatting sqref="B2:B61">
    <cfRule type="expression" dxfId="3081" priority="7931">
      <formula>$DN2=""</formula>
    </cfRule>
    <cfRule type="expression" dxfId="3080" priority="7963">
      <formula>$DN2="OK"</formula>
    </cfRule>
  </conditionalFormatting>
  <conditionalFormatting sqref="B2:B61">
    <cfRule type="expression" dxfId="3079" priority="7962">
      <formula>$DN2="Mini"</formula>
    </cfRule>
  </conditionalFormatting>
  <conditionalFormatting sqref="B2:B61">
    <cfRule type="expression" dxfId="3078" priority="7961">
      <formula>$DN2="KO"</formula>
    </cfRule>
  </conditionalFormatting>
  <conditionalFormatting sqref="C2:E61">
    <cfRule type="expression" dxfId="3077" priority="7957">
      <formula>$G2="Annulation"</formula>
    </cfRule>
  </conditionalFormatting>
  <conditionalFormatting sqref="C2:E61">
    <cfRule type="expression" dxfId="3076" priority="7958">
      <formula>$J2="Prev. Pro"</formula>
    </cfRule>
    <cfRule type="expression" dxfId="3075" priority="7959">
      <formula>$J2&lt;&gt;"Santé Individuelle"</formula>
    </cfRule>
  </conditionalFormatting>
  <conditionalFormatting sqref="CF2:CF61 CC2:CC61 BZ2:BZ61 BW2:BW61 BT2:BT61 BQ2:BQ61 BN2:BN61 BI2:BI61 CI2:CI61">
    <cfRule type="expression" dxfId="3074" priority="7964">
      <formula>$J2="Santé Individuelle"</formula>
    </cfRule>
  </conditionalFormatting>
  <conditionalFormatting sqref="BQ2:BQ61">
    <cfRule type="expression" dxfId="3073" priority="7956">
      <formula>$BI2=0</formula>
    </cfRule>
  </conditionalFormatting>
  <conditionalFormatting sqref="BR2:BR61 BP2:BP61">
    <cfRule type="expression" dxfId="3072" priority="7955">
      <formula>$BI2=0</formula>
    </cfRule>
  </conditionalFormatting>
  <conditionalFormatting sqref="BT2:BT61">
    <cfRule type="expression" dxfId="3071" priority="7953">
      <formula>$BI2&lt;2</formula>
    </cfRule>
  </conditionalFormatting>
  <conditionalFormatting sqref="BU2:BU61 BS2:BS61">
    <cfRule type="expression" dxfId="3070" priority="7954">
      <formula>$BI2&lt;2</formula>
    </cfRule>
  </conditionalFormatting>
  <conditionalFormatting sqref="BW2:BW61">
    <cfRule type="expression" dxfId="3069" priority="7951">
      <formula>$BI2&lt;3</formula>
    </cfRule>
  </conditionalFormatting>
  <conditionalFormatting sqref="BX2:BX61 BV2:BV61">
    <cfRule type="expression" dxfId="3068" priority="7952">
      <formula>$BI2&lt;3</formula>
    </cfRule>
  </conditionalFormatting>
  <conditionalFormatting sqref="BZ2:BZ61">
    <cfRule type="expression" dxfId="3067" priority="7949">
      <formula>$BI2&lt;4</formula>
    </cfRule>
  </conditionalFormatting>
  <conditionalFormatting sqref="CA2:CA61 BY2:BY61">
    <cfRule type="expression" dxfId="3066" priority="7950">
      <formula>$BI2&lt;4</formula>
    </cfRule>
  </conditionalFormatting>
  <conditionalFormatting sqref="CC2:CC61">
    <cfRule type="expression" dxfId="3065" priority="7947">
      <formula>$BI2&lt;5</formula>
    </cfRule>
  </conditionalFormatting>
  <conditionalFormatting sqref="CD2:CD61 CB2:CB61">
    <cfRule type="expression" dxfId="3064" priority="7948">
      <formula>$BI2&lt;5</formula>
    </cfRule>
  </conditionalFormatting>
  <conditionalFormatting sqref="CF2:CF61">
    <cfRule type="expression" dxfId="3063" priority="7945">
      <formula>$BI2&lt;6</formula>
    </cfRule>
  </conditionalFormatting>
  <conditionalFormatting sqref="CG2:CG61 CE2:CE61">
    <cfRule type="expression" dxfId="3062" priority="7946">
      <formula>$BI2&lt;6</formula>
    </cfRule>
  </conditionalFormatting>
  <conditionalFormatting sqref="CI2:CI61">
    <cfRule type="expression" dxfId="3061" priority="7943">
      <formula>$BI2&lt;7</formula>
    </cfRule>
  </conditionalFormatting>
  <conditionalFormatting sqref="CJ2:CJ61 CH2:CH61">
    <cfRule type="expression" dxfId="3060" priority="7944">
      <formula>$BI2&lt;7</formula>
    </cfRule>
  </conditionalFormatting>
  <conditionalFormatting sqref="BJ2:BK61">
    <cfRule type="containsBlanks" dxfId="3059" priority="7942">
      <formula>LEN(TRIM(BJ2))=0</formula>
    </cfRule>
  </conditionalFormatting>
  <conditionalFormatting sqref="BF2:BF61">
    <cfRule type="expression" dxfId="3058" priority="7941">
      <formula>$J2="Santé Individuelle"</formula>
    </cfRule>
  </conditionalFormatting>
  <conditionalFormatting sqref="BG2:BG61">
    <cfRule type="expression" dxfId="3057" priority="7940">
      <formula>$BH2=1</formula>
    </cfRule>
  </conditionalFormatting>
  <conditionalFormatting sqref="CQ2:CQ61">
    <cfRule type="expression" dxfId="3056" priority="7939">
      <formula>$J2="Santé Individuelle"</formula>
    </cfRule>
  </conditionalFormatting>
  <conditionalFormatting sqref="BM2:BM61">
    <cfRule type="expression" dxfId="3055" priority="7937">
      <formula>$BH2&lt;=1</formula>
    </cfRule>
  </conditionalFormatting>
  <conditionalFormatting sqref="BN2:BN61">
    <cfRule type="expression" dxfId="3054" priority="7936">
      <formula>$BH2&lt;=1</formula>
    </cfRule>
  </conditionalFormatting>
  <conditionalFormatting sqref="DN2:DN61">
    <cfRule type="containsText" dxfId="3053" priority="7934" operator="containsText" text="OK">
      <formula>NOT(ISERROR(SEARCH("OK",DN2)))</formula>
    </cfRule>
  </conditionalFormatting>
  <conditionalFormatting sqref="DN2:DN61">
    <cfRule type="containsText" dxfId="3052" priority="7933" operator="containsText" text="Mini">
      <formula>NOT(ISERROR(SEARCH("Mini",DN2)))</formula>
    </cfRule>
  </conditionalFormatting>
  <conditionalFormatting sqref="DN2:DN61">
    <cfRule type="containsText" dxfId="3051" priority="7932" operator="containsText" text="KO">
      <formula>NOT(ISERROR(SEARCH("KO",DN2)))</formula>
    </cfRule>
  </conditionalFormatting>
  <conditionalFormatting sqref="B2:B61">
    <cfRule type="expression" dxfId="3050" priority="5136">
      <formula>$G2="Annulation"</formula>
    </cfRule>
  </conditionalFormatting>
  <conditionalFormatting sqref="O2:T61">
    <cfRule type="expression" dxfId="3049" priority="7965">
      <formula>$G2&lt;&gt;"Annulation"</formula>
    </cfRule>
  </conditionalFormatting>
  <conditionalFormatting sqref="Z2:Z61">
    <cfRule type="expression" dxfId="3048" priority="7914">
      <formula>$AA2&lt;31</formula>
    </cfRule>
  </conditionalFormatting>
  <conditionalFormatting sqref="Z2:Z61">
    <cfRule type="expression" dxfId="3047" priority="7913">
      <formula>$AA2&gt;122</formula>
    </cfRule>
  </conditionalFormatting>
  <conditionalFormatting sqref="AF2:AF61">
    <cfRule type="expression" dxfId="3046" priority="7904">
      <formula>$AB2="X"</formula>
    </cfRule>
  </conditionalFormatting>
  <conditionalFormatting sqref="AF2:AF61">
    <cfRule type="expression" dxfId="3045" priority="7901">
      <formula>$AE2&lt;&gt;"Programmée"</formula>
    </cfRule>
  </conditionalFormatting>
  <conditionalFormatting sqref="AL2 AH2:AH61">
    <cfRule type="cellIs" dxfId="3044" priority="8014" operator="greaterThanOrEqual">
      <formula>2</formula>
    </cfRule>
    <cfRule type="cellIs" dxfId="3043" priority="8015" operator="between">
      <formula>1</formula>
      <formula>1.99999999999999</formula>
    </cfRule>
    <cfRule type="cellIs" dxfId="3042" priority="8016" operator="lessThan">
      <formula>1</formula>
    </cfRule>
  </conditionalFormatting>
  <conditionalFormatting sqref="AJ2:AK61">
    <cfRule type="expression" dxfId="3041" priority="7896">
      <formula>$AK2-TODAY()&lt;30</formula>
    </cfRule>
  </conditionalFormatting>
  <conditionalFormatting sqref="AJ2:AK61">
    <cfRule type="containsBlanks" dxfId="3040" priority="7847">
      <formula>LEN(TRIM(AJ2))=0</formula>
    </cfRule>
  </conditionalFormatting>
  <conditionalFormatting sqref="AL3:AL61">
    <cfRule type="cellIs" dxfId="3039" priority="7908" operator="between">
      <formula>1</formula>
      <formula>1.99999999999999</formula>
    </cfRule>
    <cfRule type="cellIs" dxfId="3038" priority="7912" operator="lessThan">
      <formula>1</formula>
    </cfRule>
    <cfRule type="cellIs" dxfId="3037" priority="8030" operator="greaterThanOrEqual">
      <formula>2</formula>
    </cfRule>
  </conditionalFormatting>
  <conditionalFormatting sqref="AI2:AK61">
    <cfRule type="expression" dxfId="3036" priority="7846">
      <formula>$G2="Annulation"</formula>
    </cfRule>
  </conditionalFormatting>
  <conditionalFormatting sqref="M3:M61">
    <cfRule type="cellIs" dxfId="3035" priority="7844" operator="greaterThan">
      <formula>0</formula>
    </cfRule>
  </conditionalFormatting>
  <conditionalFormatting sqref="AQ2:AR61 AN2:AO61">
    <cfRule type="expression" dxfId="3034" priority="1023">
      <formula>$Z2&gt;=(42736+365)</formula>
    </cfRule>
  </conditionalFormatting>
  <conditionalFormatting sqref="AT2:AU61 AP2:AP61">
    <cfRule type="expression" dxfId="3033" priority="1752">
      <formula>$Z2&gt;=(42736+365+365)</formula>
    </cfRule>
  </conditionalFormatting>
  <conditionalFormatting sqref="AW2:AX61 AS2:AS61">
    <cfRule type="expression" dxfId="3032" priority="7358">
      <formula>$Z2&gt;=(42736+365+365+365)</formula>
    </cfRule>
  </conditionalFormatting>
  <conditionalFormatting sqref="AM2:AX61">
    <cfRule type="cellIs" dxfId="3031" priority="1775" operator="equal">
      <formula>0</formula>
    </cfRule>
    <cfRule type="containsBlanks" dxfId="3030" priority="1780">
      <formula>LEN(TRIM(AM2))=0</formula>
    </cfRule>
  </conditionalFormatting>
  <conditionalFormatting sqref="BO2:BO61">
    <cfRule type="expression" dxfId="3029" priority="7410">
      <formula>$BH2&lt;=1</formula>
    </cfRule>
  </conditionalFormatting>
  <conditionalFormatting sqref="G3:G61">
    <cfRule type="containsText" dxfId="3028" priority="5134" operator="containsText" text="Pré 2018 OK">
      <formula>NOT(ISERROR(SEARCH("Pré 2018 OK",G3)))</formula>
    </cfRule>
    <cfRule type="containsText" dxfId="3027" priority="7440" operator="containsText" text="Pré 2018 à Voir">
      <formula>NOT(ISERROR(SEARCH("Pré 2018 à Voir",G3)))</formula>
    </cfRule>
    <cfRule type="containsText" dxfId="3026" priority="7920" operator="containsText" text="Pré 2018 KO">
      <formula>NOT(ISERROR(SEARCH("Pré 2018 KO",G3)))</formula>
    </cfRule>
  </conditionalFormatting>
  <conditionalFormatting sqref="CT2:CT61">
    <cfRule type="expression" dxfId="3025" priority="5131">
      <formula>$J2="Prev. Pro"</formula>
    </cfRule>
  </conditionalFormatting>
  <conditionalFormatting sqref="CT2:CT61">
    <cfRule type="expression" dxfId="3024" priority="5129">
      <formula>$DM2="Trans."</formula>
    </cfRule>
  </conditionalFormatting>
  <conditionalFormatting sqref="AO2:AO61 AM2:AM61">
    <cfRule type="expression" dxfId="3023" priority="1751">
      <formula>$Z2&gt;=42736</formula>
    </cfRule>
  </conditionalFormatting>
  <conditionalFormatting sqref="AW2:AW61 AO2:AO61 AQ2:AQ61 AT2:AT61">
    <cfRule type="cellIs" dxfId="3022" priority="7359" operator="greaterThan">
      <formula>0</formula>
    </cfRule>
    <cfRule type="cellIs" dxfId="3021" priority="7360" operator="lessThan">
      <formula>0</formula>
    </cfRule>
  </conditionalFormatting>
  <conditionalFormatting sqref="AW2:AW61 AO2:AO61 AQ2:AQ61 AT2:AT61">
    <cfRule type="cellIs" dxfId="3020" priority="1933" operator="equal">
      <formula>-1</formula>
    </cfRule>
  </conditionalFormatting>
  <conditionalFormatting sqref="AR3:AR61 AU3:AU61 AX2:AX61">
    <cfRule type="cellIs" dxfId="3019" priority="1776" operator="equal">
      <formula>-1</formula>
    </cfRule>
    <cfRule type="cellIs" dxfId="3018" priority="5132" operator="between">
      <formula>0</formula>
      <formula>0.1</formula>
    </cfRule>
    <cfRule type="cellIs" dxfId="3017" priority="7404" operator="lessThanOrEqual">
      <formula>0</formula>
    </cfRule>
    <cfRule type="cellIs" dxfId="3016" priority="7439" operator="greaterThan">
      <formula>0.5</formula>
    </cfRule>
    <cfRule type="cellIs" dxfId="3015" priority="8061" operator="between">
      <formula>0.1</formula>
      <formula>0.25</formula>
    </cfRule>
    <cfRule type="cellIs" dxfId="3014" priority="8064" operator="between">
      <formula>0.25</formula>
      <formula>0.5</formula>
    </cfRule>
  </conditionalFormatting>
  <conditionalFormatting sqref="AT3:AU61 AQ3:AR61 AW2:AX61 AO2:AO61">
    <cfRule type="cellIs" dxfId="3013" priority="1770" operator="equal">
      <formula>-1</formula>
    </cfRule>
    <cfRule type="cellIs" dxfId="3012" priority="1774" operator="equal">
      <formula>0</formula>
    </cfRule>
    <cfRule type="containsBlanks" dxfId="3011" priority="1784">
      <formula>LEN(TRIM(AO2))=0</formula>
    </cfRule>
  </conditionalFormatting>
  <conditionalFormatting sqref="M2">
    <cfRule type="cellIs" dxfId="3010" priority="1739" operator="greaterThan">
      <formula>0</formula>
    </cfRule>
  </conditionalFormatting>
  <conditionalFormatting sqref="AC2:AE61">
    <cfRule type="expression" dxfId="3009" priority="1720">
      <formula>$AB2="X"</formula>
    </cfRule>
  </conditionalFormatting>
  <conditionalFormatting sqref="AE2:AE61">
    <cfRule type="cellIs" dxfId="3008" priority="1718" operator="equal">
      <formula>43404</formula>
    </cfRule>
  </conditionalFormatting>
  <conditionalFormatting sqref="AE2:AE61">
    <cfRule type="expression" dxfId="3007" priority="1713">
      <formula>$AD2&lt;&gt;"Programmée"</formula>
    </cfRule>
  </conditionalFormatting>
  <conditionalFormatting sqref="AD2:AD61">
    <cfRule type="cellIs" dxfId="3006" priority="1615" operator="equal">
      <formula>"KO"</formula>
    </cfRule>
    <cfRule type="cellIs" dxfId="3005" priority="1616" operator="equal">
      <formula>"A faire"</formula>
    </cfRule>
    <cfRule type="cellIs" dxfId="3004" priority="1617" operator="equal">
      <formula>"Report"</formula>
    </cfRule>
    <cfRule type="cellIs" dxfId="3003" priority="1618" operator="equal">
      <formula>"Retour"</formula>
    </cfRule>
    <cfRule type="cellIs" dxfId="3002" priority="1619" operator="equal">
      <formula>"Envoyée"</formula>
    </cfRule>
    <cfRule type="cellIs" dxfId="3001" priority="1620" operator="equal">
      <formula>"Programmée"</formula>
    </cfRule>
    <cfRule type="cellIs" dxfId="3000" priority="1621" operator="equal">
      <formula>"Reçue"</formula>
    </cfRule>
    <cfRule type="cellIs" dxfId="2999" priority="1622" operator="equal">
      <formula>"OK"</formula>
    </cfRule>
  </conditionalFormatting>
  <conditionalFormatting sqref="AQ2:AR2 AT2:AU2">
    <cfRule type="cellIs" dxfId="2998" priority="1544" operator="equal">
      <formula>0</formula>
    </cfRule>
    <cfRule type="containsBlanks" dxfId="2997" priority="1545">
      <formula>LEN(TRIM(AQ2))=0</formula>
    </cfRule>
    <cfRule type="cellIs" dxfId="2996" priority="1546" operator="equal">
      <formula>-1</formula>
    </cfRule>
  </conditionalFormatting>
  <conditionalFormatting sqref="AR2 AU2">
    <cfRule type="cellIs" dxfId="2995" priority="1321" operator="equal">
      <formula>-1</formula>
    </cfRule>
    <cfRule type="cellIs" dxfId="2994" priority="1322" operator="greaterThan">
      <formula>0.5</formula>
    </cfRule>
    <cfRule type="cellIs" dxfId="2993" priority="1323" operator="between">
      <formula>0.25</formula>
      <formula>0.5</formula>
    </cfRule>
    <cfRule type="cellIs" dxfId="2992" priority="1324" operator="between">
      <formula>0.1</formula>
      <formula>0.25</formula>
    </cfRule>
    <cfRule type="cellIs" dxfId="2991" priority="1325" operator="lessThanOrEqual">
      <formula>0</formula>
    </cfRule>
    <cfRule type="cellIs" dxfId="2990" priority="1326" operator="between">
      <formula>0</formula>
      <formula>0.1</formula>
    </cfRule>
  </conditionalFormatting>
  <conditionalFormatting sqref="DN2:DN61">
    <cfRule type="containsText" dxfId="2989" priority="1024" operator="containsText" text="AJ">
      <formula>NOT(ISERROR(SEARCH("AJ",DN2)))</formula>
    </cfRule>
  </conditionalFormatting>
  <conditionalFormatting sqref="B2:B61">
    <cfRule type="expression" dxfId="2988" priority="7960">
      <formula>$DN2="AJ"</formula>
    </cfRule>
  </conditionalFormatting>
  <conditionalFormatting sqref="CR2:CS61">
    <cfRule type="expression" dxfId="2987" priority="7395">
      <formula>OR($CS2="4321A",$CS2="4322A",$CS2="4332A")</formula>
    </cfRule>
  </conditionalFormatting>
  <conditionalFormatting sqref="CR2:CS61">
    <cfRule type="expression" dxfId="2986" priority="817">
      <formula>$CS2="8690E"</formula>
    </cfRule>
    <cfRule type="expression" dxfId="2985" priority="818">
      <formula>$CS2="8690D"</formula>
    </cfRule>
    <cfRule type="expression" dxfId="2984" priority="819">
      <formula>OR($CS2="7112B",$CS2="7120B",$CS2="7410Z")</formula>
    </cfRule>
    <cfRule type="expression" dxfId="2983" priority="820">
      <formula>OR($CS2="7022Z",$CS2="7021Z")</formula>
    </cfRule>
    <cfRule type="expression" dxfId="2982" priority="821">
      <formula>$CS2="6831Z"</formula>
    </cfRule>
    <cfRule type="expression" dxfId="2981" priority="822">
      <formula>$CS2="8690F"</formula>
    </cfRule>
    <cfRule type="expression" dxfId="2980" priority="823">
      <formula>$CS2="6202A"</formula>
    </cfRule>
  </conditionalFormatting>
  <conditionalFormatting sqref="CZ2:CZ61">
    <cfRule type="expression" dxfId="2979" priority="813">
      <formula>$CZ2="NC"</formula>
    </cfRule>
    <cfRule type="expression" dxfId="2978" priority="814">
      <formula>$CZ2="Étude à Faire"</formula>
    </cfRule>
    <cfRule type="expression" dxfId="2977" priority="815">
      <formula>$CZ2="Plus Tard"</formula>
    </cfRule>
    <cfRule type="expression" dxfId="2976" priority="816">
      <formula>$CZ2="OK - Couplé"</formula>
    </cfRule>
  </conditionalFormatting>
  <conditionalFormatting sqref="CZ2:CZ61">
    <cfRule type="expression" dxfId="2975" priority="811">
      <formula>$CZ2="Étude KO"</formula>
    </cfRule>
  </conditionalFormatting>
  <conditionalFormatting sqref="CX2:CX61 DJ2:DK61">
    <cfRule type="containsText" dxfId="2974" priority="907" operator="containsText" text="Oui">
      <formula>NOT(ISERROR(SEARCH("Oui",CX2)))</formula>
    </cfRule>
  </conditionalFormatting>
  <conditionalFormatting sqref="DH2:DI61 DE2:DF61">
    <cfRule type="cellIs" dxfId="2973" priority="966" operator="greaterThan">
      <formula>0</formula>
    </cfRule>
  </conditionalFormatting>
  <conditionalFormatting sqref="DG2:DG61">
    <cfRule type="containsText" dxfId="2972" priority="809" operator="containsText" text="Barème">
      <formula>NOT(ISERROR(SEARCH("Barème",DG2)))</formula>
    </cfRule>
  </conditionalFormatting>
  <conditionalFormatting sqref="DC2:DC61">
    <cfRule type="containsText" dxfId="2971" priority="807" operator="containsText" text="Sans">
      <formula>NOT(ISERROR(SEARCH("Sans",DC2)))</formula>
    </cfRule>
  </conditionalFormatting>
  <conditionalFormatting sqref="DB2:DB61">
    <cfRule type="cellIs" dxfId="2970" priority="806" operator="greaterThan">
      <formula>0</formula>
    </cfRule>
  </conditionalFormatting>
  <conditionalFormatting sqref="DQ2:DQ61">
    <cfRule type="expression" dxfId="2969" priority="287">
      <formula>OR($C2="",$J2="",$F2="",)</formula>
    </cfRule>
  </conditionalFormatting>
  <conditionalFormatting sqref="DR2:DR61">
    <cfRule type="expression" dxfId="2968" priority="286">
      <formula>OR($C2="",$F2="",$M2="",$AS2="",$AU2="",$AS2=0,$AU2=0)</formula>
    </cfRule>
  </conditionalFormatting>
  <conditionalFormatting sqref="DO2:DP61">
    <cfRule type="containsBlanks" dxfId="2967" priority="285">
      <formula>LEN(TRIM(DO2))=0</formula>
    </cfRule>
  </conditionalFormatting>
  <conditionalFormatting sqref="DO2:DO61">
    <cfRule type="expression" dxfId="2966" priority="284">
      <formula>$C2=""</formula>
    </cfRule>
  </conditionalFormatting>
  <conditionalFormatting sqref="DP2:DP61">
    <cfRule type="expression" dxfId="2965" priority="283">
      <formula>$BB2=""</formula>
    </cfRule>
  </conditionalFormatting>
  <conditionalFormatting sqref="DO2:DR61">
    <cfRule type="expression" dxfId="2964" priority="282">
      <formula>$C2=""</formula>
    </cfRule>
  </conditionalFormatting>
  <conditionalFormatting sqref="P2:P61">
    <cfRule type="containsText" dxfId="2963" priority="410" operator="containsText" text="Résilié - ACS">
      <formula>NOT(ISERROR(SEARCH("Résilié - ACS",P2)))</formula>
    </cfRule>
    <cfRule type="containsText" dxfId="2962" priority="504" operator="containsText" text="Résilié - Groupe">
      <formula>NOT(ISERROR(SEARCH("Résilié - Groupe",P2)))</formula>
    </cfRule>
  </conditionalFormatting>
  <conditionalFormatting sqref="AJ2:AK61">
    <cfRule type="expression" dxfId="2961" priority="8214">
      <formula>$DM2="Trans."</formula>
    </cfRule>
    <cfRule type="expression" dxfId="2960" priority="8215">
      <formula>$AK2-TODAY()&gt;90</formula>
    </cfRule>
  </conditionalFormatting>
  <conditionalFormatting sqref="A2:A61">
    <cfRule type="expression" dxfId="2959" priority="5">
      <formula>$DN2=""</formula>
    </cfRule>
    <cfRule type="expression" dxfId="2958" priority="9">
      <formula>$DN2="OK"</formula>
    </cfRule>
  </conditionalFormatting>
  <conditionalFormatting sqref="A2:A61">
    <cfRule type="expression" dxfId="2957" priority="8">
      <formula>$DN2="Mini"</formula>
    </cfRule>
  </conditionalFormatting>
  <conditionalFormatting sqref="A2:A61">
    <cfRule type="expression" dxfId="2956" priority="7">
      <formula>$DN2="KO"</formula>
    </cfRule>
  </conditionalFormatting>
  <conditionalFormatting sqref="A2:A61">
    <cfRule type="expression" dxfId="2955" priority="4">
      <formula>$G2="Annulation"</formula>
    </cfRule>
  </conditionalFormatting>
  <conditionalFormatting sqref="A2:A61">
    <cfRule type="expression" dxfId="2954" priority="6">
      <formula>$DN2="AJ"</formula>
    </cfRule>
  </conditionalFormatting>
  <conditionalFormatting sqref="Q1:R1 U1:W1 BL1 BO1 BR1 BU1 BX1 CA1 CD1 CG1 CJ1 CT1 AQ1:AR1 AT1:AU1 AW1:AX1 AO1 AG1:AL1 AA1">
    <cfRule type="expression" dxfId="2953" priority="8470">
      <formula>$A1="Trans."</formula>
    </cfRule>
  </conditionalFormatting>
  <conditionalFormatting sqref="C1:H1 J1:P1 S1 AY1:BK1 BM1:BN1 BP1:BQ1 BS1:BT1 BV1:BW1 BY1:BZ1 CB1:CC1 CE1:CF1 CH1:CI1 CK1:CS1 CU1:DL1 Z1 AB1:AF1">
    <cfRule type="expression" dxfId="2952" priority="8488">
      <formula>$A1="Trans."</formula>
    </cfRule>
  </conditionalFormatting>
  <conditionalFormatting sqref="T1 CY1 AP1 AS1 AV1 X1:Y1 AM1:AN1">
    <cfRule type="expression" dxfId="2951" priority="8504">
      <formula>$A1="Trans."</formula>
    </cfRule>
  </conditionalFormatting>
  <conditionalFormatting sqref="I1">
    <cfRule type="expression" dxfId="2950" priority="8511">
      <formula>$A1="Trans."</formula>
    </cfRule>
  </conditionalFormatting>
  <dataValidations count="1">
    <dataValidation type="list" allowBlank="1" showInputMessage="1" showErrorMessage="1" sqref="DM2:DM61">
      <formula1>#REF!</formula1>
    </dataValidation>
  </dataValidations>
  <pageMargins left="0" right="0" top="0" bottom="0" header="0" footer="0"/>
  <pageSetup paperSize="9" orientation="landscape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AB2:AB61</xm:sqref>
        </x14:dataValidation>
        <x14:dataValidation type="list" allowBlank="1" showInputMessage="1" showErrorMessage="1">
          <x14:formula1>
            <xm:f>Matrice!$B$8:$K$8</xm:f>
          </x14:formula1>
          <xm:sqref>AD2:AD61</xm:sqref>
        </x14:dataValidation>
        <x14:dataValidation type="list" allowBlank="1" showInputMessage="1" showErrorMessage="1">
          <x14:formula1>
            <xm:f>Matrice!$B$2:$O$2</xm:f>
          </x14:formula1>
          <xm:sqref>K2:K61</xm:sqref>
        </x14:dataValidation>
        <x14:dataValidation type="list" allowBlank="1" showInputMessage="1" showErrorMessage="1">
          <x14:formula1>
            <xm:f>Matrice!$B$1:$J$1</xm:f>
          </x14:formula1>
          <xm:sqref>J2:J61</xm:sqref>
        </x14:dataValidation>
        <x14:dataValidation type="list" allowBlank="1" showInputMessage="1" showErrorMessage="1">
          <x14:formula1>
            <xm:f>Matrice!$B$39:$J$39</xm:f>
          </x14:formula1>
          <xm:sqref>DA2:DA61</xm:sqref>
        </x14:dataValidation>
        <x14:dataValidation type="list" allowBlank="1" showInputMessage="1" showErrorMessage="1">
          <x14:formula1>
            <xm:f>Matrice!$B$38:$I$38</xm:f>
          </x14:formula1>
          <xm:sqref>DK2:DK61</xm:sqref>
        </x14:dataValidation>
        <x14:dataValidation type="list" allowBlank="1" showInputMessage="1" showErrorMessage="1">
          <x14:formula1>
            <xm:f>Matrice!$B$37:$I$37</xm:f>
          </x14:formula1>
          <xm:sqref>DJ2:DJ61</xm:sqref>
        </x14:dataValidation>
        <x14:dataValidation type="list" allowBlank="1" showInputMessage="1" showErrorMessage="1">
          <x14:formula1>
            <xm:f>Matrice!$B$36:$O$36</xm:f>
          </x14:formula1>
          <xm:sqref>DG2:DG61</xm:sqref>
        </x14:dataValidation>
        <x14:dataValidation type="list" allowBlank="1" showInputMessage="1" showErrorMessage="1">
          <x14:formula1>
            <xm:f>Matrice!$B$28:$H$28</xm:f>
          </x14:formula1>
          <xm:sqref>DD2:DD61</xm:sqref>
        </x14:dataValidation>
        <x14:dataValidation type="list" allowBlank="1" showInputMessage="1" showErrorMessage="1">
          <x14:formula1>
            <xm:f>Matrice!$B$32:$F$32</xm:f>
          </x14:formula1>
          <xm:sqref>DC2:DC61</xm:sqref>
        </x14:dataValidation>
        <x14:dataValidation type="list" allowBlank="1" showInputMessage="1" showErrorMessage="1">
          <x14:formula1>
            <xm:f>Matrice!$B$33:$E$33</xm:f>
          </x14:formula1>
          <xm:sqref>CW2:CW61</xm:sqref>
        </x14:dataValidation>
        <x14:dataValidation type="list" allowBlank="1" showInputMessage="1" showErrorMessage="1">
          <x14:formula1>
            <xm:f>Matrice!$C$25:$N$25</xm:f>
          </x14:formula1>
          <xm:sqref>CK2:CP61</xm:sqref>
        </x14:dataValidation>
        <x14:dataValidation type="list" allowBlank="1" showInputMessage="1" showErrorMessage="1">
          <x14:formula1>
            <xm:f>Matrice!$B$9:$O$9</xm:f>
          </x14:formula1>
          <xm:sqref>G2:G61</xm:sqref>
        </x14:dataValidation>
        <x14:dataValidation type="list" allowBlank="1" showInputMessage="1" showErrorMessage="1">
          <x14:formula1>
            <xm:f>Matrice!$B$23:$I$23</xm:f>
          </x14:formula1>
          <xm:sqref>AY2:AY61</xm:sqref>
        </x14:dataValidation>
        <x14:dataValidation type="list" allowBlank="1" showInputMessage="1" showErrorMessage="1">
          <x14:formula1>
            <xm:f>Matrice!$B$12:$M$12</xm:f>
          </x14:formula1>
          <xm:sqref>BH2:BI61</xm:sqref>
        </x14:dataValidation>
        <x14:dataValidation type="list" allowBlank="1" showInputMessage="1" showErrorMessage="1">
          <x14:formula1>
            <xm:f>Matrice!$B$4:$J$4</xm:f>
          </x14:formula1>
          <xm:sqref>S2:S61</xm:sqref>
        </x14:dataValidation>
        <x14:dataValidation type="list" allowBlank="1" showInputMessage="1" showErrorMessage="1">
          <x14:formula1>
            <xm:f>Matrice!$B$11:$J$11</xm:f>
          </x14:formula1>
          <xm:sqref>CC2:CC61 BZ2:BZ61 BK2:BK61 BW2:BW61 BT2:BT61 BN2:BN61 BQ2:BQ61 CI2:CI61 CF2:CF61</xm:sqref>
        </x14:dataValidation>
        <x14:dataValidation type="list" allowBlank="1" showInputMessage="1" showErrorMessage="1">
          <x14:formula1>
            <xm:f>Matrice!$B$49:$D$49</xm:f>
          </x14:formula1>
          <xm:sqref>F2:F61</xm:sqref>
        </x14:dataValidation>
        <x14:dataValidation type="list" allowBlank="1" showInputMessage="1" showErrorMessage="1">
          <x14:formula1>
            <xm:f>Matrice!$B$34:$I$34</xm:f>
          </x14:formula1>
          <xm:sqref>CX2:CX61</xm:sqref>
        </x14:dataValidation>
        <x14:dataValidation type="list" allowBlank="1" showInputMessage="1" showErrorMessage="1">
          <x14:formula1>
            <xm:f>Matrice!$B$35:$M$35</xm:f>
          </x14:formula1>
          <xm:sqref>CZ2:CZ61</xm:sqref>
        </x14:dataValidation>
        <x14:dataValidation type="list" allowBlank="1" showInputMessage="1" showErrorMessage="1">
          <x14:formula1>
            <xm:f>Matrice!$B$31:$V$31</xm:f>
          </x14:formula1>
          <xm:sqref>CU2:CU61</xm:sqref>
        </x14:dataValidation>
        <x14:dataValidation type="list" allowBlank="1" showInputMessage="1" showErrorMessage="1">
          <x14:formula1>
            <xm:f>Matrice!$B$3:$Y$3</xm:f>
          </x14:formula1>
          <xm:sqref>P2:P61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CG82"/>
  <sheetViews>
    <sheetView zoomScale="80" zoomScaleNormal="80" workbookViewId="0">
      <selection activeCell="F20" sqref="F20"/>
    </sheetView>
  </sheetViews>
  <sheetFormatPr baseColWidth="10" defaultColWidth="9.140625" defaultRowHeight="15.75" x14ac:dyDescent="0.25"/>
  <cols>
    <col min="1" max="1" width="18" style="19" bestFit="1" customWidth="1"/>
    <col min="2" max="3" width="12.42578125" style="19" bestFit="1" customWidth="1"/>
    <col min="4" max="4" width="10.5703125" style="19" bestFit="1" customWidth="1"/>
    <col min="5" max="5" width="15.5703125" style="19" bestFit="1" customWidth="1"/>
    <col min="6" max="6" width="14.85546875" style="28" bestFit="1" customWidth="1"/>
    <col min="7" max="7" width="13.85546875" style="19" bestFit="1" customWidth="1"/>
    <col min="8" max="8" width="11.28515625" style="19" bestFit="1" customWidth="1"/>
    <col min="9" max="9" width="12.5703125" style="19" bestFit="1" customWidth="1"/>
    <col min="10" max="10" width="16.42578125" style="20" bestFit="1" customWidth="1"/>
    <col min="11" max="11" width="11" style="20" bestFit="1" customWidth="1"/>
    <col min="12" max="12" width="10.28515625" style="20" bestFit="1" customWidth="1"/>
    <col min="13" max="13" width="11.7109375" style="20" bestFit="1" customWidth="1"/>
    <col min="14" max="14" width="9.5703125" style="21" bestFit="1" customWidth="1"/>
    <col min="15" max="15" width="7.42578125" style="20" bestFit="1" customWidth="1"/>
    <col min="16" max="16" width="9" style="19" bestFit="1" customWidth="1"/>
    <col min="17" max="17" width="12.28515625" style="20" bestFit="1" customWidth="1"/>
    <col min="18" max="18" width="8.7109375" style="22" bestFit="1" customWidth="1"/>
    <col min="19" max="19" width="10.28515625" style="23" bestFit="1" customWidth="1"/>
    <col min="20" max="20" width="13.28515625" style="24" bestFit="1" customWidth="1"/>
    <col min="21" max="21" width="9.285156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42370</v>
      </c>
      <c r="B1" s="707">
        <f ca="1">TODAY()</f>
        <v>43259</v>
      </c>
      <c r="C1" s="708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SUM(Complet!V2:V61)+SUM(Complet!W2:W61)</f>
        <v>0</v>
      </c>
      <c r="G2" s="164" t="s">
        <v>1128</v>
      </c>
      <c r="H2" s="165">
        <f>SUM(Complet!X2:X61)+SUM(Complet!Y2:Y61)</f>
        <v>0</v>
      </c>
      <c r="I2" s="162" t="s">
        <v>29</v>
      </c>
      <c r="J2" s="166">
        <f>F2-H2</f>
        <v>0</v>
      </c>
      <c r="K2" s="167">
        <f>IF(F2&gt;0,(1-SUM(H2/F2)),0)</f>
        <v>0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695" t="s">
        <v>1120</v>
      </c>
      <c r="B3" s="696"/>
      <c r="C3" s="398">
        <f>TotalCA</f>
        <v>0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ht="15.75" customHeight="1" x14ac:dyDescent="0.25">
      <c r="A4" s="697" t="s">
        <v>1121</v>
      </c>
      <c r="B4" s="698"/>
      <c r="C4" s="701">
        <f>SUM(Complet!X2:X61)+SUM(Complet!Y2:Y61)</f>
        <v>0</v>
      </c>
      <c r="E4" s="703" t="s">
        <v>29</v>
      </c>
      <c r="F4" s="84">
        <v>0.11</v>
      </c>
      <c r="G4" s="84">
        <v>0.115</v>
      </c>
      <c r="H4" s="84">
        <v>5.3400000000000003E-2</v>
      </c>
      <c r="I4" s="84">
        <v>0.14599999999999999</v>
      </c>
      <c r="J4" s="84">
        <v>0.104</v>
      </c>
      <c r="K4" s="84">
        <v>0.104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customHeight="1" thickBot="1" x14ac:dyDescent="0.3">
      <c r="A5" s="699"/>
      <c r="B5" s="700"/>
      <c r="C5" s="702"/>
      <c r="E5" s="70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6.5" thickBot="1" x14ac:dyDescent="0.3">
      <c r="E6" s="157" t="s">
        <v>1120</v>
      </c>
      <c r="F6" s="78">
        <f>SUMIF(Complet!assurance,"APRIL",Complet!mens)*12</f>
        <v>0</v>
      </c>
      <c r="G6" s="63">
        <f>SUMIF(Complet!assurance,"NEOLIANE",Complet!mens)*12</f>
        <v>0</v>
      </c>
      <c r="H6" s="63">
        <f>SUMIF(Complet!assurance,"NEOLIANE Prev",Complet!mens)*12</f>
        <v>0</v>
      </c>
      <c r="I6" s="63">
        <f>SUMIF(Complet!assurance,"ASAF",Complet!mens)*12</f>
        <v>0</v>
      </c>
      <c r="J6" s="63">
        <f>SUMIF(Complet!assurance,"SWISSLIFE",Complet!mens)*12</f>
        <v>0</v>
      </c>
      <c r="K6" s="63">
        <f>SUMIF(Complet!assurance,"ALPTIS",Complet!mens)*12</f>
        <v>0</v>
      </c>
      <c r="L6" s="63">
        <f>SUMIF(Complet!assurance,"AVIVA",Complet!mens)*12</f>
        <v>0</v>
      </c>
      <c r="M6" s="63">
        <f>SUMIF(Complet!assurance,"CIPRES",Complet!mens)*12</f>
        <v>0</v>
      </c>
      <c r="N6" s="64">
        <f>SUMIF(Complet!assurance,"CEGEMA",Complet!mens)*12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719" t="s">
        <v>1124</v>
      </c>
      <c r="B7" s="720"/>
      <c r="C7" s="721"/>
      <c r="E7" s="90">
        <f>G12</f>
        <v>0</v>
      </c>
      <c r="F7" s="79" t="e">
        <f t="shared" ref="F7:N7" si="0">F6/TotalCA</f>
        <v>#DIV/0!</v>
      </c>
      <c r="G7" s="65" t="e">
        <f t="shared" si="0"/>
        <v>#DIV/0!</v>
      </c>
      <c r="H7" s="65" t="e">
        <f t="shared" si="0"/>
        <v>#DIV/0!</v>
      </c>
      <c r="I7" s="65" t="e">
        <f t="shared" si="0"/>
        <v>#DIV/0!</v>
      </c>
      <c r="J7" s="65" t="e">
        <f t="shared" si="0"/>
        <v>#DIV/0!</v>
      </c>
      <c r="K7" s="65" t="e">
        <f t="shared" si="0"/>
        <v>#DIV/0!</v>
      </c>
      <c r="L7" s="65" t="e">
        <f t="shared" si="0"/>
        <v>#DIV/0!</v>
      </c>
      <c r="M7" s="65" t="e">
        <f t="shared" si="0"/>
        <v>#DIV/0!</v>
      </c>
      <c r="N7" s="66" t="e">
        <f t="shared" si="0"/>
        <v>#DIV/0!</v>
      </c>
    </row>
    <row r="8" spans="1:85" ht="18.75" x14ac:dyDescent="0.25">
      <c r="A8" s="99" t="s">
        <v>16</v>
      </c>
      <c r="B8" s="120">
        <f>SUMIFS(Complet!M2:M61,Complet!J2:J61,"Prev. Pro")*12</f>
        <v>0</v>
      </c>
      <c r="C8" s="69">
        <f>IF(B8&gt;0,B8/G12,0)</f>
        <v>0</v>
      </c>
      <c r="E8" s="111" t="s">
        <v>1119</v>
      </c>
      <c r="F8" s="86">
        <f>SUMIF(Complet!assurance,"APRIL",Complet!Y2:Y61)+SUMIF(Complet!assurance,"APRIL",Complet!X2:X61)+SUMIF(B30:B35,"APRIL",C30:C35)+SUMIF(B37:B46,"APRIL",C37:C46)</f>
        <v>0</v>
      </c>
      <c r="G8" s="710">
        <f>SUMIF(Complet!assurance,"NEOLIANE",Complet!Y2:Y61)+SUMIF(Complet!assurance,"NEOLIANE",Complet!X2:X61)+SUMIF(Complet!assurance,"NEOLIANE Prev",Complet!Y2:Y61)+SUMIF(Complet!assurance,"NEOLIANE Prev",Complet!X2:X61)+SUMIF(B30:B35,"NEOLIANE",C30:C35)+SUMIF(B37:B46,"NEOLIANE",C37:C46)+SUMIF(B30:B35,"NEOLIANE Prev",C30:C35)+SUMIF(B37:B46,"NEOLIANE Prev",C37:C46)</f>
        <v>0</v>
      </c>
      <c r="H8" s="710"/>
      <c r="I8" s="370">
        <f>SUMIF(Complet!assurance,"ASAF",Complet!Y2:Y61)+SUMIF(Complet!assurance,"ASAF",Complet!X2:X61)+SUMIF(B30:B35,"ASAF",C30:C35)+SUMIF(B37:B46,"ASAF",C37:C46)</f>
        <v>0</v>
      </c>
      <c r="J8" s="370">
        <f>SUMIF(Complet!assurance,"SWISSLIFE",Complet!Y2:Y61)+SUMIF(Complet!assurance,"SWISSLIFE",Complet!X2:X61)+SUMIF(B30:B35,"SWISSLIFE",C30:C35)+SUMIF(B37:B46,"SWISSLIFE",C37:C46)</f>
        <v>0</v>
      </c>
      <c r="K8" s="370">
        <f>SUMIF(Complet!assurance,"ALPTIS",Complet!Y2:Y61)+SUMIF(Complet!assurance,"ALPTIS",Complet!X2:X61)+SUMIF(B30:B35,"ALPTIS",C30:C35)+SUMIF(B37:B46,"ALPTIS",C37:C46)</f>
        <v>0</v>
      </c>
      <c r="L8" s="370">
        <f>SUMIF(Complet!assurance,"AVIVA",Complet!Y2:Y61)+SUMIF(Complet!assurance,"AVIVA",Complet!X2:X61)+SUMIF(B30:B35,"AVIVA",C30:C35)+SUMIF(B37:B46,"AVIVA",C37:C46)</f>
        <v>0</v>
      </c>
      <c r="M8" s="370">
        <f>SUMIF(Complet!assurance,"CIPRES",Complet!Y2:Y61)+SUMIF(Complet!assurance,"CIPRES",Complet!X2:X61)+SUMIF(B30:B35,"CIPRES",C30:C35)+SUMIF(B37:B46,"CIPRES",C37:C46)</f>
        <v>0</v>
      </c>
      <c r="N8" s="88">
        <f>SUMIF(Complet!assurance,"CEGEMA",Complet!Y2:Y61)+SUMIF(Complet!assurance,"CEGEMA",Complet!X2:X61)+SUMIF(B30:B35,"CEGEMA",C30:C35)+SUMIF(B37:B46,"CEGEMA",C37:C46)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21" t="s">
        <v>105</v>
      </c>
      <c r="B9" s="126">
        <f>COUNTIF(Complet!J2:J61,"Prev. Pro")</f>
        <v>0</v>
      </c>
      <c r="C9" s="70">
        <f>IF(B9&gt;0,B9/(nbcontratsall),0)</f>
        <v>0</v>
      </c>
      <c r="E9" s="89">
        <f>TotalPrimes</f>
        <v>0</v>
      </c>
      <c r="F9" s="382" t="e">
        <f>F8/TotalPrimes</f>
        <v>#DIV/0!</v>
      </c>
      <c r="G9" s="711" t="e">
        <f>G8/TotalPrimes</f>
        <v>#DIV/0!</v>
      </c>
      <c r="H9" s="711"/>
      <c r="I9" s="371" t="e">
        <f t="shared" ref="I9:N9" si="1">I8/TotalPrimes</f>
        <v>#DIV/0!</v>
      </c>
      <c r="J9" s="371" t="e">
        <f t="shared" si="1"/>
        <v>#DIV/0!</v>
      </c>
      <c r="K9" s="371" t="e">
        <f t="shared" si="1"/>
        <v>#DIV/0!</v>
      </c>
      <c r="L9" s="371" t="e">
        <f t="shared" si="1"/>
        <v>#DIV/0!</v>
      </c>
      <c r="M9" s="371" t="e">
        <f t="shared" si="1"/>
        <v>#DIV/0!</v>
      </c>
      <c r="N9" s="68" t="e">
        <f t="shared" si="1"/>
        <v>#DIV/0!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0" t="s">
        <v>101</v>
      </c>
      <c r="B10" s="122">
        <f>SUMIFS(Complet!M2:M61,Complet!J2:J61,"Santé Individuelle")*12</f>
        <v>0</v>
      </c>
      <c r="C10" s="69">
        <f>IF(B10&gt;0,B10/G12,0)</f>
        <v>0</v>
      </c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1.75" thickBot="1" x14ac:dyDescent="0.3">
      <c r="A11" s="123" t="s">
        <v>103</v>
      </c>
      <c r="B11" s="127">
        <f>COUNTIF(Complet!J2:J61,"Santé Individuelle")</f>
        <v>1</v>
      </c>
      <c r="C11" s="70" t="e">
        <f>IF(B11&gt;0,B11/(nbcontratsall),0)</f>
        <v>#DIV/0!</v>
      </c>
      <c r="F11" s="729" t="s">
        <v>487</v>
      </c>
      <c r="G11" s="730"/>
      <c r="J11" s="714" t="s">
        <v>488</v>
      </c>
      <c r="K11" s="715"/>
      <c r="L11" s="716"/>
      <c r="M11" s="35"/>
      <c r="O11" s="34"/>
      <c r="P11" s="36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01" t="s">
        <v>85</v>
      </c>
      <c r="B12" s="124">
        <f>SUMIFS(Complet!M2:M61,Complet!J2:J61,"Prev. Part")*12</f>
        <v>0</v>
      </c>
      <c r="C12" s="69">
        <f>IF(B12&gt;0,B12/G12,0)</f>
        <v>0</v>
      </c>
      <c r="F12" s="169" t="s">
        <v>104</v>
      </c>
      <c r="G12" s="168">
        <f>SUM(Complet!M2:M61)*12</f>
        <v>0</v>
      </c>
      <c r="J12" s="57" t="s">
        <v>490</v>
      </c>
      <c r="K12" s="717">
        <f>H2-K25</f>
        <v>0</v>
      </c>
      <c r="L12" s="718"/>
      <c r="M12" s="21"/>
      <c r="N12" s="19"/>
      <c r="P12" s="22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25" t="s">
        <v>509</v>
      </c>
      <c r="B13" s="128">
        <f>COUNTIF(Complet!J2:J61,"Prev. Part")</f>
        <v>0</v>
      </c>
      <c r="C13" s="70">
        <f>IF(B13&gt;0,B13/(nbcontratsall),0)</f>
        <v>0</v>
      </c>
      <c r="F13" s="136" t="s">
        <v>102</v>
      </c>
      <c r="G13" s="46">
        <f>COUNT(Complet!N2:N61)</f>
        <v>0</v>
      </c>
      <c r="H13" s="19"/>
      <c r="J13" s="41" t="s">
        <v>1123</v>
      </c>
      <c r="K13" s="118" t="s">
        <v>122</v>
      </c>
      <c r="L13" s="119" t="s">
        <v>118</v>
      </c>
      <c r="M13" s="35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8" t="s">
        <v>178</v>
      </c>
      <c r="G14" s="45">
        <f>IF(G12&gt;0,G12/nbcontratsall/12,0)</f>
        <v>0</v>
      </c>
      <c r="J14" s="40" t="s">
        <v>170</v>
      </c>
      <c r="K14" s="44">
        <f>SUMIF(Complet!G2:G61,"Lead",Complet!Y2:Y61)+SUMIF(Complet!G2:G61,"Lead",Complet!X2:X61)</f>
        <v>0</v>
      </c>
      <c r="L14" s="43" t="e">
        <f t="shared" ref="L14:L21" si="2">K14/BenefMoinsAnnulat</f>
        <v>#DIV/0!</v>
      </c>
      <c r="M14" s="21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726" t="s">
        <v>1364</v>
      </c>
      <c r="B15" s="727"/>
      <c r="C15" s="727"/>
      <c r="D15" s="728"/>
      <c r="J15" s="40" t="s">
        <v>172</v>
      </c>
      <c r="K15" s="44">
        <f>SUMIF(Complet!G2:G61,"Couplage",Complet!Y2:Y61)+SUMIF(Complet!G2:G61,"Couplage",Complet!X2:X61)</f>
        <v>0</v>
      </c>
      <c r="L15" s="43" t="e">
        <f t="shared" si="2"/>
        <v>#DIV/0!</v>
      </c>
      <c r="M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722" t="s">
        <v>1365</v>
      </c>
      <c r="B16" s="723"/>
      <c r="C16" s="724">
        <f>COUNTIFS(Complet!DN2:DN61,"OK")+COUNTIFS(Complet!DN2:DN61,"KO")+COUNTIFS(Complet!DN2:DN61,"Mini")+COUNTIFS(Complet!DN2:DN61,"AJ")</f>
        <v>2</v>
      </c>
      <c r="D16" s="725"/>
      <c r="J16" s="40" t="s">
        <v>166</v>
      </c>
      <c r="K16" s="44">
        <f>SUMIF(Complet!G2:G61,"Cabinet",Complet!Y2:Y61)+SUMIF(Complet!G2:G61,"Cabinet",Complet!X2:X61)</f>
        <v>0</v>
      </c>
      <c r="L16" s="43" t="e">
        <f t="shared" si="2"/>
        <v>#DIV/0!</v>
      </c>
      <c r="M16" s="19"/>
      <c r="U16" s="19"/>
      <c r="V16" s="19"/>
      <c r="W16" s="19"/>
      <c r="X16" s="19"/>
      <c r="Y16" s="19"/>
      <c r="AQ16" s="25"/>
      <c r="AW16" s="19"/>
      <c r="AZ16" s="19"/>
    </row>
    <row r="17" spans="1:52" ht="21.75" customHeight="1" x14ac:dyDescent="0.25">
      <c r="A17" s="703" t="s">
        <v>1370</v>
      </c>
      <c r="B17" s="704"/>
      <c r="C17" s="396">
        <f>COUNTIFS(Complet!DN2:DN61,"AJ")</f>
        <v>0</v>
      </c>
      <c r="D17" s="425">
        <f>C17/C16</f>
        <v>0</v>
      </c>
      <c r="J17" s="40" t="s">
        <v>167</v>
      </c>
      <c r="K17" s="44">
        <f>SUMIF(Complet!G2:G61,"Parrainage",Complet!Y2:Y61)+SUMIF(Complet!G2:G61,"Parrainage",Complet!X2:X61)</f>
        <v>0</v>
      </c>
      <c r="L17" s="43" t="e">
        <f t="shared" si="2"/>
        <v>#DIV/0!</v>
      </c>
      <c r="M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705" t="s">
        <v>1369</v>
      </c>
      <c r="B18" s="706"/>
      <c r="C18" s="380">
        <f>COUNTIFS(Complet!DN2:DN61,"OK")</f>
        <v>1</v>
      </c>
      <c r="D18" s="426">
        <f>C18/C16</f>
        <v>0.5</v>
      </c>
      <c r="J18" s="40" t="s">
        <v>171</v>
      </c>
      <c r="K18" s="44">
        <f>SUMIF(Complet!G2:G61,"Old",Complet!Y2:Y61)+SUMIF(Complet!G2:G61,"Old",Complet!X2:X61)</f>
        <v>0</v>
      </c>
      <c r="L18" s="43" t="e">
        <f t="shared" si="2"/>
        <v>#DIV/0!</v>
      </c>
      <c r="M18" s="19"/>
      <c r="U18" s="19"/>
      <c r="V18" s="19"/>
      <c r="W18" s="19"/>
      <c r="X18" s="19"/>
      <c r="Y18" s="19"/>
      <c r="AQ18" s="25"/>
      <c r="AW18" s="19"/>
      <c r="AZ18" s="19"/>
    </row>
    <row r="19" spans="1:52" ht="18.75" x14ac:dyDescent="0.25">
      <c r="A19" s="712" t="s">
        <v>1368</v>
      </c>
      <c r="B19" s="713"/>
      <c r="C19" s="380">
        <f>COUNTIFS(Complet!DN2:DN61,"Mini")</f>
        <v>0</v>
      </c>
      <c r="D19" s="426">
        <f>C19/C16</f>
        <v>0</v>
      </c>
      <c r="J19" s="40" t="s">
        <v>169</v>
      </c>
      <c r="K19" s="44">
        <f>SUMIF(Complet!G2:G61,"Re-signature",Complet!Y2:Y61)+SUMIF(Complet!G2:G61,"Re-signature",Complet!X2:X61)</f>
        <v>0</v>
      </c>
      <c r="L19" s="43" t="e">
        <f t="shared" si="2"/>
        <v>#DIV/0!</v>
      </c>
      <c r="M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693" t="s">
        <v>1371</v>
      </c>
      <c r="B20" s="694"/>
      <c r="C20" s="381">
        <f>COUNTIFS(Complet!DN2:DN61,"KO")</f>
        <v>1</v>
      </c>
      <c r="D20" s="427">
        <f>C20/C16</f>
        <v>0.5</v>
      </c>
      <c r="J20" s="40" t="s">
        <v>173</v>
      </c>
      <c r="K20" s="44">
        <f>SUMIF(Complet!G2:G61,"Frigo",Complet!Y2:Y61)+SUMIF(Complet!G2:G61,"Frigo",Complet!X2:X61)</f>
        <v>0</v>
      </c>
      <c r="L20" s="43" t="e">
        <f t="shared" si="2"/>
        <v>#DIV/0!</v>
      </c>
      <c r="M20" s="19"/>
      <c r="U20" s="19"/>
      <c r="V20" s="19"/>
      <c r="W20" s="19"/>
      <c r="X20" s="19"/>
      <c r="Y20" s="19"/>
      <c r="AQ20" s="25"/>
      <c r="AW20" s="19"/>
      <c r="AZ20" s="19"/>
    </row>
    <row r="21" spans="1:52" ht="18.75" x14ac:dyDescent="0.25">
      <c r="J21" s="40" t="s">
        <v>168</v>
      </c>
      <c r="K21" s="44">
        <f>SUMIF(Complet!G2:G61,"Shark",Complet!Y2:Y61)+SUMIF(Complet!G2:G61,"Shark",Complet!X2:X61)</f>
        <v>0</v>
      </c>
      <c r="L21" s="43" t="e">
        <f t="shared" si="2"/>
        <v>#DIV/0!</v>
      </c>
      <c r="M21" s="19"/>
      <c r="U21" s="19"/>
      <c r="V21" s="19"/>
      <c r="W21" s="19"/>
      <c r="X21" s="19"/>
      <c r="Y21" s="19"/>
      <c r="AZ21" s="19"/>
    </row>
    <row r="22" spans="1:52" ht="18.75" x14ac:dyDescent="0.25">
      <c r="J22" s="40" t="s">
        <v>260</v>
      </c>
      <c r="K22" s="44">
        <f>SUMIF(Complet!G2:G61,"Pré 2018 OK",Complet!Y2:Y61)+SUMIF(Complet!G2:G61,"Pré 2018 OK",Complet!X2:X61)</f>
        <v>0</v>
      </c>
      <c r="L22" s="43" t="e">
        <f>K22/BenefMoinsAnnulat</f>
        <v>#DIV/0!</v>
      </c>
      <c r="U22" s="19"/>
      <c r="V22" s="19"/>
      <c r="W22" s="19"/>
      <c r="X22" s="19"/>
      <c r="Y22" s="19"/>
      <c r="AZ22" s="19"/>
    </row>
    <row r="23" spans="1:52" s="33" customFormat="1" ht="21" x14ac:dyDescent="0.25">
      <c r="D23" s="19"/>
      <c r="E23" s="19"/>
      <c r="F23" s="19"/>
      <c r="G23" s="19"/>
      <c r="H23" s="19"/>
      <c r="J23" s="40" t="s">
        <v>262</v>
      </c>
      <c r="K23" s="44">
        <f>SUMIF(Complet!G2:G61,"Pré 2018 à Voir",Complet!Y2:Y61)+SUMIF(Complet!G2:G61,"Pré 2018 à Voir",Complet!X2:X61)</f>
        <v>0</v>
      </c>
      <c r="L23" s="43" t="e">
        <f>K23/BenefMoinsAnnulat</f>
        <v>#DIV/0!</v>
      </c>
      <c r="AS23" s="39"/>
      <c r="AV23" s="39"/>
    </row>
    <row r="24" spans="1:52" ht="21.75" thickBot="1" x14ac:dyDescent="0.3">
      <c r="D24" s="33"/>
      <c r="E24" s="33"/>
      <c r="F24" s="33"/>
      <c r="G24" s="33"/>
      <c r="H24" s="33"/>
      <c r="J24" s="40" t="s">
        <v>261</v>
      </c>
      <c r="K24" s="44">
        <f>SUMIF(Complet!G2:G61,"Pré 2018 KO",Complet!Y2:Y61)+SUMIF(Complet!G2:G61,"Pré 2018 KO",Complet!X2:X61)</f>
        <v>0</v>
      </c>
      <c r="L24" s="43" t="e">
        <f>K24/BenefMoinsAnnulat</f>
        <v>#DIV/0!</v>
      </c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719" t="s">
        <v>1379</v>
      </c>
      <c r="B25" s="720"/>
      <c r="C25" s="428">
        <f>COUNTIF(Complet!J2:J61,"Prev. Pro")</f>
        <v>0</v>
      </c>
      <c r="F25" s="19"/>
      <c r="J25" s="19"/>
      <c r="M25" s="19"/>
      <c r="U25" s="19"/>
      <c r="V25" s="19"/>
      <c r="W25" s="19"/>
      <c r="X25" s="19"/>
      <c r="Y25" s="19"/>
      <c r="AQ25" s="25"/>
      <c r="AW25" s="19"/>
      <c r="AZ25" s="19"/>
    </row>
    <row r="26" spans="1:52" ht="19.5" thickBot="1" x14ac:dyDescent="0.3">
      <c r="A26" s="735" t="s">
        <v>1387</v>
      </c>
      <c r="B26" s="736"/>
      <c r="C26" s="440" t="e">
        <f>SUMIF(Complet!J2:J61,"Prev. Pro",Complet!N2:N61)/ctspro</f>
        <v>#DIV/0!</v>
      </c>
      <c r="F26" s="19"/>
      <c r="L26" s="19"/>
      <c r="M26" s="19"/>
      <c r="N26" s="19"/>
      <c r="O26" s="19"/>
      <c r="Q26" s="19"/>
      <c r="R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ht="18.75" x14ac:dyDescent="0.25">
      <c r="A27" s="99" t="s">
        <v>330</v>
      </c>
      <c r="B27" s="430" t="s">
        <v>309</v>
      </c>
      <c r="C27" s="430" t="s">
        <v>307</v>
      </c>
      <c r="D27" s="430" t="s">
        <v>349</v>
      </c>
      <c r="E27" s="430" t="s">
        <v>108</v>
      </c>
      <c r="F27" s="430" t="s">
        <v>308</v>
      </c>
      <c r="G27" s="430" t="s">
        <v>314</v>
      </c>
      <c r="H27" s="430" t="s">
        <v>315</v>
      </c>
      <c r="I27" s="430" t="s">
        <v>316</v>
      </c>
      <c r="J27" s="430" t="s">
        <v>317</v>
      </c>
      <c r="K27" s="430" t="s">
        <v>318</v>
      </c>
      <c r="L27" s="430" t="s">
        <v>319</v>
      </c>
      <c r="M27" s="430" t="s">
        <v>320</v>
      </c>
      <c r="N27" s="430" t="s">
        <v>321</v>
      </c>
      <c r="O27" s="430" t="s">
        <v>322</v>
      </c>
      <c r="P27" s="430" t="s">
        <v>323</v>
      </c>
      <c r="Q27" s="430" t="s">
        <v>326</v>
      </c>
      <c r="R27" s="430" t="s">
        <v>324</v>
      </c>
      <c r="S27" s="430" t="s">
        <v>325</v>
      </c>
      <c r="T27" s="430" t="s">
        <v>327</v>
      </c>
      <c r="U27" s="454" t="s">
        <v>1380</v>
      </c>
      <c r="V27" s="19"/>
      <c r="W27" s="19"/>
      <c r="X27" s="19"/>
      <c r="Y27" s="19"/>
      <c r="AQ27" s="25"/>
      <c r="AW27" s="19"/>
      <c r="AZ27" s="19"/>
    </row>
    <row r="28" spans="1:52" x14ac:dyDescent="0.25">
      <c r="A28" s="432">
        <f>COUNTIFS(regime,'Complet Data'!A27)</f>
        <v>0</v>
      </c>
      <c r="B28" s="429">
        <f>COUNTIFS(regime,'Complet Data'!B27)</f>
        <v>0</v>
      </c>
      <c r="C28" s="429">
        <f>COUNTIFS(regime,'Complet Data'!C27)</f>
        <v>0</v>
      </c>
      <c r="D28" s="429">
        <f>COUNTIFS(regime,'Complet Data'!D27)</f>
        <v>0</v>
      </c>
      <c r="E28" s="429">
        <f>COUNTIFS(regime,'Complet Data'!E27)</f>
        <v>0</v>
      </c>
      <c r="F28" s="429">
        <f>COUNTIFS(regime,'Complet Data'!F27)</f>
        <v>0</v>
      </c>
      <c r="G28" s="429">
        <f>COUNTIFS(regime,'Complet Data'!G27)</f>
        <v>0</v>
      </c>
      <c r="H28" s="429">
        <f>COUNTIFS(regime,'Complet Data'!H27)</f>
        <v>0</v>
      </c>
      <c r="I28" s="429">
        <f>COUNTIFS(regime,'Complet Data'!I27)</f>
        <v>0</v>
      </c>
      <c r="J28" s="429">
        <f>COUNTIFS(regime,'Complet Data'!J27)</f>
        <v>0</v>
      </c>
      <c r="K28" s="429">
        <f>COUNTIFS(regime,'Complet Data'!K27)</f>
        <v>0</v>
      </c>
      <c r="L28" s="429">
        <f>COUNTIFS(regime,'Complet Data'!L27)</f>
        <v>0</v>
      </c>
      <c r="M28" s="429">
        <f>COUNTIFS(regime,'Complet Data'!M27)</f>
        <v>0</v>
      </c>
      <c r="N28" s="429">
        <f>COUNTIFS(regime,'Complet Data'!N27)</f>
        <v>0</v>
      </c>
      <c r="O28" s="429">
        <f>COUNTIFS(regime,'Complet Data'!O27)</f>
        <v>0</v>
      </c>
      <c r="P28" s="429">
        <f>COUNTIFS(regime,'Complet Data'!P27)</f>
        <v>0</v>
      </c>
      <c r="Q28" s="429">
        <f>COUNTIFS(regime,'Complet Data'!Q27)</f>
        <v>0</v>
      </c>
      <c r="R28" s="429">
        <f>COUNTIFS(regime,'Complet Data'!R27)</f>
        <v>0</v>
      </c>
      <c r="S28" s="429">
        <f>COUNTIFS(regime,'Complet Data'!S27)</f>
        <v>0</v>
      </c>
      <c r="T28" s="429">
        <f>COUNTIFS(regime,'Complet Data'!T27)</f>
        <v>0</v>
      </c>
      <c r="U28" s="433">
        <f>ctspro-SUM(A28:T28)</f>
        <v>0</v>
      </c>
      <c r="V28" s="19"/>
      <c r="W28" s="19"/>
      <c r="X28" s="19"/>
      <c r="Y28" s="19"/>
      <c r="AQ28" s="25"/>
      <c r="AW28" s="19"/>
      <c r="AZ28" s="19"/>
    </row>
    <row r="29" spans="1:52" s="438" customFormat="1" ht="16.5" thickBot="1" x14ac:dyDescent="0.3">
      <c r="A29" s="435" t="e">
        <f t="shared" ref="A29:U29" si="3">A28/ctspro</f>
        <v>#DIV/0!</v>
      </c>
      <c r="B29" s="436" t="e">
        <f t="shared" si="3"/>
        <v>#DIV/0!</v>
      </c>
      <c r="C29" s="436" t="e">
        <f t="shared" si="3"/>
        <v>#DIV/0!</v>
      </c>
      <c r="D29" s="436" t="e">
        <f t="shared" si="3"/>
        <v>#DIV/0!</v>
      </c>
      <c r="E29" s="436" t="e">
        <f t="shared" si="3"/>
        <v>#DIV/0!</v>
      </c>
      <c r="F29" s="436" t="e">
        <f t="shared" si="3"/>
        <v>#DIV/0!</v>
      </c>
      <c r="G29" s="436" t="e">
        <f t="shared" si="3"/>
        <v>#DIV/0!</v>
      </c>
      <c r="H29" s="436" t="e">
        <f t="shared" si="3"/>
        <v>#DIV/0!</v>
      </c>
      <c r="I29" s="436" t="e">
        <f t="shared" si="3"/>
        <v>#DIV/0!</v>
      </c>
      <c r="J29" s="436" t="e">
        <f t="shared" si="3"/>
        <v>#DIV/0!</v>
      </c>
      <c r="K29" s="436" t="e">
        <f t="shared" si="3"/>
        <v>#DIV/0!</v>
      </c>
      <c r="L29" s="436" t="e">
        <f t="shared" si="3"/>
        <v>#DIV/0!</v>
      </c>
      <c r="M29" s="436" t="e">
        <f t="shared" si="3"/>
        <v>#DIV/0!</v>
      </c>
      <c r="N29" s="436" t="e">
        <f t="shared" si="3"/>
        <v>#DIV/0!</v>
      </c>
      <c r="O29" s="436" t="e">
        <f t="shared" si="3"/>
        <v>#DIV/0!</v>
      </c>
      <c r="P29" s="436" t="e">
        <f t="shared" si="3"/>
        <v>#DIV/0!</v>
      </c>
      <c r="Q29" s="436" t="e">
        <f t="shared" si="3"/>
        <v>#DIV/0!</v>
      </c>
      <c r="R29" s="436" t="e">
        <f t="shared" si="3"/>
        <v>#DIV/0!</v>
      </c>
      <c r="S29" s="436" t="e">
        <f t="shared" si="3"/>
        <v>#DIV/0!</v>
      </c>
      <c r="T29" s="436" t="e">
        <f t="shared" si="3"/>
        <v>#DIV/0!</v>
      </c>
      <c r="U29" s="437" t="e">
        <f t="shared" si="3"/>
        <v>#DIV/0!</v>
      </c>
      <c r="AQ29" s="439"/>
      <c r="AT29" s="439"/>
    </row>
    <row r="30" spans="1:52" ht="21.75" thickBot="1" x14ac:dyDescent="0.3">
      <c r="A30" s="733" t="s">
        <v>1381</v>
      </c>
      <c r="B30" s="734"/>
      <c r="C30" s="434" t="e">
        <f>AVERAGE(agepro)</f>
        <v>#DIV/0!</v>
      </c>
      <c r="D30" s="33"/>
      <c r="E30" s="33"/>
      <c r="F30" s="33"/>
      <c r="G30" s="33"/>
      <c r="H30" s="33"/>
      <c r="L30" s="19"/>
      <c r="M30" s="19"/>
      <c r="N30" s="19"/>
      <c r="O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9.5" thickBot="1" x14ac:dyDescent="0.3">
      <c r="A31" s="735" t="s">
        <v>1382</v>
      </c>
      <c r="B31" s="736"/>
      <c r="C31" s="440" t="e">
        <f>AVERAGE(salairepro)</f>
        <v>#DIV/0!</v>
      </c>
      <c r="F31" s="19"/>
      <c r="L31" s="19"/>
      <c r="M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Q31" s="25"/>
      <c r="AW31" s="19"/>
      <c r="AZ31" s="19"/>
    </row>
    <row r="32" spans="1:52" ht="21" x14ac:dyDescent="0.25">
      <c r="A32" s="430" t="s">
        <v>361</v>
      </c>
      <c r="B32" s="430" t="s">
        <v>362</v>
      </c>
      <c r="C32" s="430" t="s">
        <v>363</v>
      </c>
      <c r="D32" s="430" t="s">
        <v>364</v>
      </c>
      <c r="E32" s="430" t="s">
        <v>307</v>
      </c>
      <c r="F32" s="430" t="s">
        <v>349</v>
      </c>
      <c r="G32" s="454" t="s">
        <v>1380</v>
      </c>
      <c r="H32" s="33"/>
      <c r="N32" s="19"/>
      <c r="O32" s="19"/>
      <c r="Q32" s="19"/>
      <c r="R32" s="19"/>
      <c r="S32" s="19"/>
      <c r="T32" s="19"/>
      <c r="U32" s="19"/>
      <c r="V32" s="19"/>
      <c r="W32" s="19"/>
      <c r="X32" s="19"/>
      <c r="Y32" s="19"/>
      <c r="AQ32" s="25"/>
      <c r="AW32" s="19"/>
      <c r="AZ32" s="19"/>
    </row>
    <row r="33" spans="1:52" x14ac:dyDescent="0.25">
      <c r="A33" s="429">
        <f>COUNTIFS(franchise,'Complet Data'!A32)</f>
        <v>0</v>
      </c>
      <c r="B33" s="429">
        <f>COUNTIFS(franchise,'Complet Data'!B32)</f>
        <v>0</v>
      </c>
      <c r="C33" s="429">
        <f>COUNTIFS(franchise,'Complet Data'!C32)</f>
        <v>0</v>
      </c>
      <c r="D33" s="429">
        <f>COUNTIFS(franchise,'Complet Data'!D32)</f>
        <v>0</v>
      </c>
      <c r="E33" s="429">
        <f>COUNTIFS(franchise,'Complet Data'!E32)</f>
        <v>0</v>
      </c>
      <c r="F33" s="429">
        <f>COUNTIFS(franchise,'Complet Data'!F32)</f>
        <v>0</v>
      </c>
      <c r="G33" s="433">
        <f>ctspro-SUM(A33:F33)</f>
        <v>0</v>
      </c>
      <c r="J33" s="19"/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S33" s="25"/>
      <c r="AT33" s="19"/>
      <c r="AV33" s="25"/>
      <c r="AW33" s="19"/>
      <c r="AZ33" s="19"/>
    </row>
    <row r="34" spans="1:52" ht="18" customHeight="1" thickBot="1" x14ac:dyDescent="0.3">
      <c r="A34" s="446" t="e">
        <f t="shared" ref="A34:G34" si="4">A33/ctspro</f>
        <v>#DIV/0!</v>
      </c>
      <c r="B34" s="446" t="e">
        <f t="shared" si="4"/>
        <v>#DIV/0!</v>
      </c>
      <c r="C34" s="446" t="e">
        <f t="shared" si="4"/>
        <v>#DIV/0!</v>
      </c>
      <c r="D34" s="446" t="e">
        <f t="shared" si="4"/>
        <v>#DIV/0!</v>
      </c>
      <c r="E34" s="446" t="e">
        <f t="shared" si="4"/>
        <v>#DIV/0!</v>
      </c>
      <c r="F34" s="446" t="e">
        <f t="shared" si="4"/>
        <v>#DIV/0!</v>
      </c>
      <c r="G34" s="437" t="e">
        <f t="shared" si="4"/>
        <v>#DIV/0!</v>
      </c>
      <c r="H34" s="33"/>
      <c r="K34" s="19"/>
      <c r="N34" s="19"/>
      <c r="O34" s="19"/>
      <c r="Q34" s="19"/>
      <c r="R34" s="19"/>
      <c r="S34" s="19"/>
      <c r="T34" s="19"/>
      <c r="U34" s="19"/>
      <c r="V34" s="19"/>
      <c r="X34" s="19"/>
      <c r="Y34" s="19"/>
      <c r="AS34" s="25"/>
      <c r="AT34" s="19"/>
      <c r="AV34" s="25"/>
      <c r="AW34" s="19"/>
      <c r="AZ34" s="19"/>
    </row>
    <row r="35" spans="1:52" ht="19.5" thickBot="1" x14ac:dyDescent="0.3">
      <c r="A35" s="447" t="s">
        <v>344</v>
      </c>
      <c r="B35" s="448">
        <f>COUNTIFS(avecro,"Avec")</f>
        <v>0</v>
      </c>
      <c r="C35" s="449" t="e">
        <f>B35/ctspro</f>
        <v>#DIV/0!</v>
      </c>
      <c r="D35" s="450" t="s">
        <v>1383</v>
      </c>
      <c r="E35" s="448">
        <f>COUNTIFS(avecro,"Sans")</f>
        <v>0</v>
      </c>
      <c r="F35" s="451" t="e">
        <f>E35/ctspro</f>
        <v>#DIV/0!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ht="21" x14ac:dyDescent="0.25">
      <c r="A36" s="101" t="s">
        <v>1384</v>
      </c>
      <c r="B36" s="441" t="s">
        <v>1385</v>
      </c>
      <c r="F36" s="19"/>
      <c r="H36" s="33"/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ht="18.75" x14ac:dyDescent="0.25">
      <c r="A37" s="442">
        <f>ctspro-COUNTIFS(fraispro,0)</f>
        <v>0</v>
      </c>
      <c r="B37" s="443">
        <f>COUNTIFS(fraispro,0)</f>
        <v>0</v>
      </c>
      <c r="F37" s="19"/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ht="21.75" thickBot="1" x14ac:dyDescent="0.3">
      <c r="A38" s="452" t="e">
        <f>A37/ctspro</f>
        <v>#DIV/0!</v>
      </c>
      <c r="B38" s="453" t="e">
        <f>B37/ctspro</f>
        <v>#DIV/0!</v>
      </c>
      <c r="F38" s="19"/>
      <c r="H38" s="33"/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21.75" thickBot="1" x14ac:dyDescent="0.3">
      <c r="A39" s="731" t="s">
        <v>1386</v>
      </c>
      <c r="B39" s="732"/>
      <c r="C39" s="440" t="e">
        <f>SUM(fraispro)/A37</f>
        <v>#DIV/0!</v>
      </c>
      <c r="D39" s="33"/>
      <c r="E39" s="33"/>
      <c r="F39" s="33"/>
      <c r="G39" s="33"/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ht="21" x14ac:dyDescent="0.25">
      <c r="A40" s="101" t="s">
        <v>1388</v>
      </c>
      <c r="B40" s="441" t="s">
        <v>1389</v>
      </c>
      <c r="F40" s="19"/>
      <c r="H40" s="33"/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X40" s="19"/>
      <c r="Y40" s="19"/>
      <c r="AR40" s="25"/>
      <c r="AT40" s="19"/>
      <c r="AU40" s="25"/>
      <c r="AW40" s="19"/>
      <c r="AZ40" s="19"/>
    </row>
    <row r="41" spans="1:52" ht="18.75" x14ac:dyDescent="0.25">
      <c r="A41" s="442">
        <f>ctspro-COUNTIFS(capdec,0)</f>
        <v>0</v>
      </c>
      <c r="B41" s="443">
        <f>COUNTIFS(capdec,0)</f>
        <v>0</v>
      </c>
      <c r="F41" s="19"/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X41" s="19"/>
      <c r="Y41" s="19"/>
      <c r="AR41" s="25"/>
      <c r="AT41" s="19"/>
      <c r="AU41" s="25"/>
      <c r="AW41" s="19"/>
      <c r="AZ41" s="19"/>
    </row>
    <row r="42" spans="1:52" ht="21.75" thickBot="1" x14ac:dyDescent="0.3">
      <c r="A42" s="452" t="e">
        <f>A41/ctspro</f>
        <v>#DIV/0!</v>
      </c>
      <c r="B42" s="453" t="e">
        <f>B41/ctspro</f>
        <v>#DIV/0!</v>
      </c>
      <c r="F42" s="19"/>
      <c r="H42" s="33"/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X42" s="19"/>
      <c r="Y42" s="19"/>
      <c r="AR42" s="25"/>
      <c r="AT42" s="19"/>
      <c r="AU42" s="25"/>
      <c r="AW42" s="19"/>
      <c r="AZ42" s="19"/>
    </row>
    <row r="43" spans="1:52" ht="21.75" thickBot="1" x14ac:dyDescent="0.3">
      <c r="A43" s="731" t="s">
        <v>1390</v>
      </c>
      <c r="B43" s="732"/>
      <c r="C43" s="440" t="e">
        <f>SUM(capdec)/A41</f>
        <v>#DIV/0!</v>
      </c>
      <c r="D43" s="33"/>
      <c r="E43" s="33"/>
      <c r="F43" s="33"/>
      <c r="G43" s="33"/>
      <c r="K43" s="19"/>
      <c r="L43" s="19"/>
      <c r="M43" s="19"/>
      <c r="N43" s="19"/>
      <c r="O43" s="19"/>
      <c r="Q43" s="19"/>
      <c r="R43" s="19"/>
      <c r="S43" s="19"/>
      <c r="T43" s="19"/>
      <c r="U43" s="19"/>
      <c r="W43" s="19"/>
      <c r="X43" s="19"/>
      <c r="Y43" s="19"/>
      <c r="AR43" s="25"/>
      <c r="AT43" s="19"/>
      <c r="AU43" s="25"/>
      <c r="AW43" s="19"/>
      <c r="AZ43" s="19"/>
    </row>
    <row r="44" spans="1:52" ht="21" x14ac:dyDescent="0.25">
      <c r="A44" s="101" t="s">
        <v>1392</v>
      </c>
      <c r="B44" s="441" t="s">
        <v>1391</v>
      </c>
      <c r="F44" s="19"/>
      <c r="H44" s="33"/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ht="21" x14ac:dyDescent="0.25">
      <c r="A45" s="442">
        <f>COUNTIFS(invalidité,"Classique")</f>
        <v>0</v>
      </c>
      <c r="B45" s="443">
        <f>ctspro-A45</f>
        <v>0</v>
      </c>
      <c r="C45" s="33"/>
      <c r="D45" s="33"/>
      <c r="E45" s="33"/>
      <c r="F45" s="33"/>
      <c r="G45" s="33"/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ht="16.5" thickBot="1" x14ac:dyDescent="0.3">
      <c r="A46" s="444" t="e">
        <f>A45/ctspro</f>
        <v>#DIV/0!</v>
      </c>
      <c r="B46" s="445" t="e">
        <f>B45/ctspro</f>
        <v>#DIV/0!</v>
      </c>
      <c r="F46" s="19"/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ht="21" x14ac:dyDescent="0.25">
      <c r="A47" s="99" t="s">
        <v>345</v>
      </c>
      <c r="B47" s="430" t="s">
        <v>346</v>
      </c>
      <c r="C47" s="430" t="s">
        <v>347</v>
      </c>
      <c r="D47" s="431" t="s">
        <v>348</v>
      </c>
      <c r="E47" s="33"/>
      <c r="F47" s="33"/>
      <c r="G47" s="33"/>
      <c r="K47" s="19"/>
      <c r="L47" s="19"/>
      <c r="M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ht="21" x14ac:dyDescent="0.25">
      <c r="A48" s="432">
        <f>ctspro-COUNTIFS(renteconj,0)</f>
        <v>0</v>
      </c>
      <c r="B48" s="429">
        <f>ctspro-COUNTIFS(renteed,0)</f>
        <v>0</v>
      </c>
      <c r="C48" s="429">
        <f>COUNTIFS(optdos,"oui")</f>
        <v>0</v>
      </c>
      <c r="D48" s="433">
        <f>COUNTIFS(optpsy,"oui")</f>
        <v>0</v>
      </c>
      <c r="F48" s="19"/>
      <c r="H48" s="33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1:52" ht="16.5" thickBot="1" x14ac:dyDescent="0.3">
      <c r="A49" s="435" t="e">
        <f>A48/ctspro</f>
        <v>#DIV/0!</v>
      </c>
      <c r="B49" s="436" t="e">
        <f>B48/ctspro</f>
        <v>#DIV/0!</v>
      </c>
      <c r="C49" s="436" t="e">
        <f>C48/ctspro</f>
        <v>#DIV/0!</v>
      </c>
      <c r="D49" s="437" t="e">
        <f>D48/ctspro</f>
        <v>#DIV/0!</v>
      </c>
      <c r="F49" s="19"/>
      <c r="K49" s="19"/>
      <c r="L49" s="19"/>
      <c r="M49" s="19"/>
      <c r="N49" s="19"/>
      <c r="O49" s="19"/>
      <c r="Q49" s="19"/>
      <c r="R49" s="19"/>
      <c r="S49" s="19"/>
      <c r="T49" s="19"/>
      <c r="U49" s="19"/>
      <c r="V49" s="19"/>
      <c r="W49" s="19"/>
      <c r="Y49" s="19"/>
      <c r="AZ49" s="19"/>
    </row>
    <row r="50" spans="1:52" ht="21" x14ac:dyDescent="0.25">
      <c r="F50" s="19"/>
      <c r="H50" s="33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1:52" ht="21" x14ac:dyDescent="0.25">
      <c r="A51" s="33"/>
      <c r="B51" s="33"/>
      <c r="C51" s="33"/>
      <c r="D51" s="33"/>
      <c r="E51" s="33"/>
      <c r="F51" s="33"/>
      <c r="G51" s="33"/>
      <c r="K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1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1:52" ht="21" x14ac:dyDescent="0.25">
      <c r="A53" s="33"/>
      <c r="B53" s="33"/>
      <c r="C53" s="33"/>
      <c r="D53" s="33"/>
      <c r="E53" s="33"/>
      <c r="F53" s="33"/>
      <c r="G53" s="33"/>
      <c r="J53" s="19"/>
      <c r="L53" s="19"/>
      <c r="M53" s="19"/>
    </row>
    <row r="54" spans="1:52" x14ac:dyDescent="0.25"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1:52" x14ac:dyDescent="0.25"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1:52" x14ac:dyDescent="0.25"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1:52" x14ac:dyDescent="0.25"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1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1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1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1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1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1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1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J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F70" s="19"/>
      <c r="J70" s="19"/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F71" s="19"/>
      <c r="J71" s="19"/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F72" s="19"/>
      <c r="J72" s="19"/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F73" s="19"/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F74" s="19"/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F75" s="19"/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F76" s="19"/>
      <c r="K76" s="19"/>
      <c r="L76" s="19"/>
      <c r="M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L77" s="19"/>
      <c r="M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K78" s="19"/>
      <c r="L78" s="19"/>
      <c r="M78" s="19"/>
      <c r="N78" s="19"/>
      <c r="O78" s="19"/>
      <c r="Q78" s="19"/>
      <c r="R78" s="19"/>
      <c r="S78" s="19"/>
      <c r="T78" s="19"/>
      <c r="U78" s="19"/>
      <c r="V78" s="19"/>
      <c r="W78" s="19"/>
      <c r="Y78" s="19"/>
      <c r="AZ78" s="19"/>
    </row>
    <row r="79" spans="6:52" x14ac:dyDescent="0.25">
      <c r="K79" s="19"/>
      <c r="L79" s="19"/>
      <c r="M79" s="19"/>
      <c r="N79" s="19"/>
      <c r="O79" s="19"/>
      <c r="Q79" s="19"/>
      <c r="R79" s="19"/>
      <c r="S79" s="19"/>
      <c r="T79" s="19"/>
      <c r="U79" s="19"/>
      <c r="V79" s="19"/>
      <c r="W79" s="19"/>
      <c r="Y79" s="19"/>
      <c r="AZ79" s="19"/>
    </row>
    <row r="80" spans="6:52" x14ac:dyDescent="0.25">
      <c r="K80" s="19"/>
      <c r="N80" s="19"/>
      <c r="O80" s="19"/>
      <c r="Q80" s="19"/>
      <c r="R80" s="19"/>
      <c r="S80" s="19"/>
      <c r="T80" s="19"/>
      <c r="U80" s="19"/>
      <c r="V80" s="19"/>
      <c r="W80" s="19"/>
      <c r="Y80" s="19"/>
      <c r="AZ80" s="19"/>
    </row>
    <row r="81" spans="11:52" x14ac:dyDescent="0.25">
      <c r="K81" s="19"/>
      <c r="N81" s="19"/>
      <c r="O81" s="19"/>
      <c r="Q81" s="19"/>
      <c r="R81" s="19"/>
      <c r="S81" s="19"/>
      <c r="T81" s="19"/>
      <c r="U81" s="19"/>
      <c r="V81" s="19"/>
      <c r="W81" s="19"/>
      <c r="Y81" s="19"/>
      <c r="AZ81" s="19"/>
    </row>
    <row r="82" spans="11:52" x14ac:dyDescent="0.25">
      <c r="Q82" s="19"/>
      <c r="R82" s="19"/>
      <c r="S82" s="19"/>
      <c r="T82" s="19"/>
      <c r="U82" s="19"/>
      <c r="V82" s="19"/>
      <c r="W82" s="19"/>
      <c r="Y82" s="19"/>
      <c r="AZ82" s="19"/>
    </row>
  </sheetData>
  <mergeCells count="24">
    <mergeCell ref="A43:B43"/>
    <mergeCell ref="A25:B25"/>
    <mergeCell ref="A30:B30"/>
    <mergeCell ref="A31:B31"/>
    <mergeCell ref="A39:B39"/>
    <mergeCell ref="A26:B26"/>
    <mergeCell ref="J11:L11"/>
    <mergeCell ref="K12:L12"/>
    <mergeCell ref="A7:C7"/>
    <mergeCell ref="A16:B16"/>
    <mergeCell ref="C16:D16"/>
    <mergeCell ref="A15:D15"/>
    <mergeCell ref="F11:G11"/>
    <mergeCell ref="B1:C1"/>
    <mergeCell ref="E4:E5"/>
    <mergeCell ref="G8:H8"/>
    <mergeCell ref="G9:H9"/>
    <mergeCell ref="A19:B19"/>
    <mergeCell ref="A20:B20"/>
    <mergeCell ref="A3:B3"/>
    <mergeCell ref="A4:B5"/>
    <mergeCell ref="C4:C5"/>
    <mergeCell ref="A17:B17"/>
    <mergeCell ref="A18:B18"/>
  </mergeCells>
  <conditionalFormatting sqref="O33 P54:P1048576 P44:P52">
    <cfRule type="containsText" dxfId="2949" priority="18" operator="containsText" text="Précompte">
      <formula>NOT(ISERROR(SEARCH("Précompte",O33)))</formula>
    </cfRule>
    <cfRule type="containsText" dxfId="2948" priority="19" operator="containsText" text="Linéaire">
      <formula>NOT(ISERROR(SEARCH("Linéaire",O33)))</formula>
    </cfRule>
  </conditionalFormatting>
  <conditionalFormatting sqref="F7:N7 L14:L22">
    <cfRule type="containsErrors" dxfId="2947" priority="17">
      <formula>ISERROR(F7)</formula>
    </cfRule>
  </conditionalFormatting>
  <conditionalFormatting sqref="F8 F6:N6 I8:N8 J22:J24 K14:L24">
    <cfRule type="cellIs" dxfId="2946" priority="16" operator="equal">
      <formula>0</formula>
    </cfRule>
  </conditionalFormatting>
  <conditionalFormatting sqref="L23">
    <cfRule type="containsErrors" dxfId="2945" priority="15">
      <formula>ISERROR(L23)</formula>
    </cfRule>
  </conditionalFormatting>
  <conditionalFormatting sqref="L24">
    <cfRule type="containsErrors" dxfId="2944" priority="14">
      <formula>ISERROR(L24)</formula>
    </cfRule>
  </conditionalFormatting>
  <conditionalFormatting sqref="L22:L24">
    <cfRule type="containsText" dxfId="2943" priority="12" operator="containsText" text="Précompte">
      <formula>NOT(ISERROR(SEARCH("Précompte",L22)))</formula>
    </cfRule>
    <cfRule type="containsText" dxfId="2942" priority="13" operator="containsText" text="Linéaire">
      <formula>NOT(ISERROR(SEARCH("Linéaire",L22)))</formula>
    </cfRule>
  </conditionalFormatting>
  <conditionalFormatting sqref="I9:N9">
    <cfRule type="containsErrors" dxfId="2941" priority="11">
      <formula>ISERROR(I9)</formula>
    </cfRule>
  </conditionalFormatting>
  <conditionalFormatting sqref="G9">
    <cfRule type="containsErrors" dxfId="2940" priority="10">
      <formula>ISERROR(G9)</formula>
    </cfRule>
  </conditionalFormatting>
  <conditionalFormatting sqref="G8">
    <cfRule type="cellIs" dxfId="2939" priority="9" stopIfTrue="1" operator="equal">
      <formula>0</formula>
    </cfRule>
  </conditionalFormatting>
  <conditionalFormatting sqref="J7 J9">
    <cfRule type="expression" dxfId="2938" priority="20">
      <formula>$J6=0</formula>
    </cfRule>
  </conditionalFormatting>
  <conditionalFormatting sqref="I7 I9:N9">
    <cfRule type="expression" dxfId="2937" priority="21">
      <formula>$I6=0</formula>
    </cfRule>
  </conditionalFormatting>
  <conditionalFormatting sqref="H7">
    <cfRule type="expression" dxfId="2936" priority="22">
      <formula>$H6=0</formula>
    </cfRule>
  </conditionalFormatting>
  <conditionalFormatting sqref="G7 G9">
    <cfRule type="expression" dxfId="2935" priority="23">
      <formula>$G6=0</formula>
    </cfRule>
  </conditionalFormatting>
  <conditionalFormatting sqref="F7">
    <cfRule type="expression" dxfId="2934" priority="24">
      <formula>$F6=0</formula>
    </cfRule>
  </conditionalFormatting>
  <conditionalFormatting sqref="P2">
    <cfRule type="containsText" dxfId="2933" priority="5" operator="containsText" text="Précompte">
      <formula>NOT(ISERROR(SEARCH("Précompte",P2)))</formula>
    </cfRule>
    <cfRule type="containsText" dxfId="2932" priority="6" operator="containsText" text="Linéaire">
      <formula>NOT(ISERROR(SEARCH("Linéaire",P2)))</formula>
    </cfRule>
  </conditionalFormatting>
  <conditionalFormatting sqref="N7 N9">
    <cfRule type="expression" dxfId="2931" priority="26">
      <formula>$N6=0</formula>
    </cfRule>
  </conditionalFormatting>
  <conditionalFormatting sqref="M7 M9">
    <cfRule type="expression" dxfId="2930" priority="27">
      <formula>$M6=0</formula>
    </cfRule>
  </conditionalFormatting>
  <conditionalFormatting sqref="L7 L9">
    <cfRule type="expression" dxfId="2929" priority="28">
      <formula>$L6=0</formula>
    </cfRule>
  </conditionalFormatting>
  <conditionalFormatting sqref="K7 K9">
    <cfRule type="expression" dxfId="2928" priority="29">
      <formula>$K6=0</formula>
    </cfRule>
  </conditionalFormatting>
  <conditionalFormatting sqref="F9">
    <cfRule type="containsErrors" dxfId="2927" priority="1">
      <formula>ISERROR(F9)</formula>
    </cfRule>
  </conditionalFormatting>
  <conditionalFormatting sqref="F9">
    <cfRule type="expression" dxfId="2926" priority="2">
      <formula>$F8=0</formula>
    </cfRule>
  </conditionalFormatting>
  <pageMargins left="0" right="0" top="0" bottom="0" header="0" footer="0"/>
  <pageSetup paperSize="9" orientation="landscape" verticalDpi="360" r:id="rId1"/>
  <ignoredErrors>
    <ignoredError sqref="C12 C10 B48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99FF"/>
  </sheetPr>
  <dimension ref="A1:DN5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V22" sqref="V22"/>
    </sheetView>
  </sheetViews>
  <sheetFormatPr baseColWidth="10" defaultColWidth="9.140625" defaultRowHeight="15" x14ac:dyDescent="0.25"/>
  <cols>
    <col min="1" max="1" width="2.42578125" style="600" customWidth="1"/>
    <col min="2" max="2" width="2" style="228" customWidth="1"/>
    <col min="3" max="3" width="11" style="226" bestFit="1" customWidth="1"/>
    <col min="4" max="4" width="9.85546875" style="226" bestFit="1" customWidth="1"/>
    <col min="5" max="5" width="12.28515625" style="226" bestFit="1" customWidth="1"/>
    <col min="6" max="7" width="10.5703125" style="226" bestFit="1" customWidth="1"/>
    <col min="8" max="8" width="11.5703125" style="232" bestFit="1" customWidth="1"/>
    <col min="9" max="9" width="3.42578125" style="310" bestFit="1" customWidth="1"/>
    <col min="10" max="10" width="9.28515625" style="226" bestFit="1" customWidth="1"/>
    <col min="11" max="11" width="10.8554687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5.85546875" style="233" bestFit="1" customWidth="1"/>
    <col min="16" max="16" width="21.425781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3.42578125" style="233" bestFit="1" customWidth="1"/>
    <col min="28" max="28" width="10.85546875" style="226" bestFit="1" customWidth="1"/>
    <col min="29" max="29" width="13.5703125" style="226" bestFit="1" customWidth="1"/>
    <col min="30" max="30" width="5.5703125" style="226" bestFit="1" customWidth="1"/>
    <col min="31" max="31" width="15.5703125" style="226" bestFit="1" customWidth="1"/>
    <col min="32" max="32" width="10.855468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570312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0.85546875" style="226" bestFit="1" customWidth="1"/>
    <col min="55" max="55" width="14.140625" style="226" bestFit="1" customWidth="1"/>
    <col min="56" max="56" width="5.85546875" style="226" bestFit="1" customWidth="1"/>
    <col min="57" max="57" width="34.28515625" style="226" bestFit="1" customWidth="1"/>
    <col min="58" max="59" width="10.28515625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6.28515625" style="226" bestFit="1" customWidth="1"/>
    <col min="66" max="66" width="5.7109375" style="226" bestFit="1" customWidth="1"/>
    <col min="67" max="67" width="5.85546875" style="226" bestFit="1" customWidth="1"/>
    <col min="68" max="68" width="7.42578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18.42578125" style="226" bestFit="1" customWidth="1"/>
    <col min="97" max="97" width="6.5703125" style="226" bestFit="1" customWidth="1"/>
    <col min="98" max="98" width="4.5703125" style="226" bestFit="1" customWidth="1"/>
    <col min="99" max="99" width="10" style="226" bestFit="1" customWidth="1"/>
    <col min="100" max="100" width="13.42578125" style="226" bestFit="1" customWidth="1"/>
    <col min="101" max="101" width="8" style="226" bestFit="1" customWidth="1"/>
    <col min="102" max="102" width="17" style="226" bestFit="1" customWidth="1"/>
    <col min="103" max="103" width="7.85546875" style="226" bestFit="1" customWidth="1"/>
    <col min="104" max="104" width="12.28515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8.7109375" style="226" bestFit="1" customWidth="1"/>
    <col min="111" max="111" width="14.8554687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6.42578125" style="230" bestFit="1" customWidth="1"/>
    <col min="117" max="117" width="6.42578125" style="226" bestFit="1" customWidth="1"/>
    <col min="118" max="118" width="5.7109375" style="226" bestFit="1" customWidth="1"/>
    <col min="119" max="133" width="9.140625" style="226"/>
    <col min="134" max="136" width="6.140625" style="226" bestFit="1" customWidth="1"/>
    <col min="137" max="137" width="10.85546875" style="226" bestFit="1" customWidth="1"/>
    <col min="138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>
        <f>IF(COUNT(I2:I58)=0,"+J",SUM(I2:I58)/COUNT(I2:I58))</f>
        <v>32.75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IF(COUNT(AA2:AA58)=0,"+J",SUM(AA2:AA58)/COUNT(AA2:AA58))</f>
        <v>27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AIT TAYEB Samir - ALPTIS - Prev. Pro</v>
      </c>
      <c r="B2" s="306"/>
      <c r="C2" s="305" t="s">
        <v>63</v>
      </c>
      <c r="D2" s="301" t="s">
        <v>1114</v>
      </c>
      <c r="E2" s="276">
        <v>43180</v>
      </c>
      <c r="F2" s="278" t="s">
        <v>546</v>
      </c>
      <c r="G2" s="311" t="s">
        <v>170</v>
      </c>
      <c r="H2" s="276">
        <v>43140</v>
      </c>
      <c r="I2" s="313">
        <f>IF(G2="Annulation","",IF(H2=0,"",E2-H2))</f>
        <v>40</v>
      </c>
      <c r="J2" s="312" t="s">
        <v>16</v>
      </c>
      <c r="K2" s="268" t="s">
        <v>17</v>
      </c>
      <c r="L2" s="277" t="s">
        <v>26</v>
      </c>
      <c r="M2" s="279">
        <v>550.05999999999995</v>
      </c>
      <c r="N2" s="280">
        <v>550.05999999999995</v>
      </c>
      <c r="O2" s="280"/>
      <c r="P2" s="455" t="s">
        <v>94</v>
      </c>
      <c r="Q2" s="281" t="str">
        <f>IF(COUNT(AD2)=0,"",AD2)</f>
        <v/>
      </c>
      <c r="R2" s="282">
        <f>SUM(M2*12)</f>
        <v>6600.7199999999993</v>
      </c>
      <c r="S2" s="268" t="s">
        <v>18</v>
      </c>
      <c r="T2" s="283">
        <f t="shared" ref="T2:T33" si="1">IF(G2="Annulation","",IF(assurance="ALPTIS",IF(L2="SO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2" s="284">
        <f>IF(M2=0,0,IF(G2="Annulation","",IF(assurance="ALPTIS",M2*12*T2/100*'1805 Data'!$K$4,IF(assurance="APRIL",M2*12*T2/100*'1805 Data'!$F$4,IF(assurance="ASAF",M2*12*T2/100*'1805 Data'!$I$4,IF(assurance="NEOLIANE",('1805 Data'!$G$5+M2*12*'1805 Data'!$G$4)*T2/100,IF(assurance="NEOLIANE Prev",('1805 Data'!$H$5+M2*12*'1805 Data'!$H$4)*T2/100,IF(assurance="SWISSLIFE",M2*12*T2/100*'1805 Data'!$J$4,IF(assurance="AVIVA",M2*12*T2/100*'1805 Data'!$L$4,IF(assurance="CIPRES",M2*12*T2/100*'1805 Data'!$M$4,IF(assurance="CEGEMA",M2*12*T2/100*'1805 Data'!$N$4,IF(assurance=0,0))))))))))))</f>
        <v>176.56925999999996</v>
      </c>
      <c r="V2" s="298">
        <f>IF(M2="","",IF(G2="Annulation","",IF(typecomm="Précompte",SUM((M2-O2)*T2/100*12)+O2*12*0.15,IF(typecomm="Précompte 1",SUM((M2-O2)*T2/100*12)+O2*12*0.15,IF(typecomm="Linéaire",0,IF(typecomm=0,0))))))</f>
        <v>1650.1799999999998</v>
      </c>
      <c r="W2" s="298">
        <f>IF(M2="","",IF(G2="Annulation","",IF(typecomm="Linéaire",SUM((M2-O2)*T2/100)+O2*0.15,IF(typecomm="Précompte 1",0,IF(typecomm="Précompte",0,IF(typecomm=0,0))))))</f>
        <v>0</v>
      </c>
      <c r="X2" s="299">
        <f>IF(G2="Annulation",0,IF(typecomm="Linéaire",0,IF(typecomm="Précompte 1",V2-U2,IF(mens=0,0,IF(typecomm="Précompte",V2-U2,IF(typecomm=0,0))))))</f>
        <v>1473.6107399999999</v>
      </c>
      <c r="Y2" s="368">
        <f>IF(G2="Annulation",0,IF(M2="",0,IF(typecomm="Linéaire",SUM(W2-U2/12),IF(typecomm="Précompte 1",0,IF(typecomm="Précompte",0,IF(typecomm=0,0))))))</f>
        <v>0</v>
      </c>
      <c r="Z2" s="314">
        <v>43191</v>
      </c>
      <c r="AA2" s="313">
        <f>IF(Z2="","",IF(G2="Annulation","",IF(E2="",0,Z2-E2)))</f>
        <v>11</v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43466</v>
      </c>
      <c r="AH2" s="287">
        <f ca="1">(IF(COUNT(Z2)=0,"",IF(G2="Annulation","",IF(Z2&gt;0,(Z2-TODAY())/(-365),0))))</f>
        <v>0.18630136986301371</v>
      </c>
      <c r="AI2" s="373">
        <f ca="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275">
        <f ca="1">IF(G2="Annulation","",IF(Z2="","",AI2-62))</f>
        <v>43404</v>
      </c>
      <c r="AK2" s="296">
        <f ca="1">IF(G2="Annulation","",IF(Z2="","",AI2-92))</f>
        <v>43374</v>
      </c>
      <c r="AL2" s="287">
        <f ca="1">(IF(COUNT(Z2)=0,"",IF(G2="Annulation","",IF(Z2&gt;0,(Z2-AI2)/(-365),0))))</f>
        <v>0.75342465753424659</v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550.05999999999995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-1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-1</v>
      </c>
      <c r="AY2" s="290" t="s">
        <v>276</v>
      </c>
      <c r="AZ2" s="291">
        <v>1839226</v>
      </c>
      <c r="BA2" s="292">
        <v>95500</v>
      </c>
      <c r="BB2" s="303" t="s">
        <v>1351</v>
      </c>
      <c r="BC2" s="293">
        <v>698534310</v>
      </c>
      <c r="BD2" s="293"/>
      <c r="BE2" s="304" t="s">
        <v>1352</v>
      </c>
      <c r="BF2" s="274"/>
      <c r="BG2" s="270"/>
      <c r="BH2" s="268">
        <v>1</v>
      </c>
      <c r="BI2" s="273">
        <v>2</v>
      </c>
      <c r="BJ2" s="276">
        <v>26793</v>
      </c>
      <c r="BK2" s="294" t="s">
        <v>203</v>
      </c>
      <c r="BL2" s="269">
        <f ca="1">IF(DATEDIF(BJ2,TODAY(),"Y")=118,"",DATEDIF(BJ2,TODAY(),"Y"))</f>
        <v>45</v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 t="s">
        <v>1348</v>
      </c>
      <c r="CS2" s="263" t="s">
        <v>1349</v>
      </c>
      <c r="CT2" s="297">
        <f t="shared" ref="CT2:CT33" ca="1" si="2">IF(J2="Prev. Pro",IF(BL2=118,"",BL2),"")</f>
        <v>45</v>
      </c>
      <c r="CU2" s="264" t="s">
        <v>317</v>
      </c>
      <c r="CV2" s="265">
        <v>42161</v>
      </c>
      <c r="CW2" s="264" t="s">
        <v>351</v>
      </c>
      <c r="CX2" s="264" t="s">
        <v>376</v>
      </c>
      <c r="CY2" s="264" t="str">
        <f t="shared" ref="CY2:CY33" si="3">IF(J2&lt;&gt;"Prev. Pro","",IF(AC2="","Non",IF(J2="Prev. Pro","Oui","Non")))</f>
        <v>Non</v>
      </c>
      <c r="CZ2" s="264" t="s">
        <v>353</v>
      </c>
      <c r="DA2" s="264" t="s">
        <v>351</v>
      </c>
      <c r="DB2" s="266"/>
      <c r="DC2" s="264" t="s">
        <v>343</v>
      </c>
      <c r="DD2" s="264" t="s">
        <v>363</v>
      </c>
      <c r="DE2" s="266"/>
      <c r="DF2" s="266"/>
      <c r="DG2" s="264" t="s">
        <v>371</v>
      </c>
      <c r="DH2" s="266">
        <v>0</v>
      </c>
      <c r="DI2" s="266">
        <v>0</v>
      </c>
      <c r="DJ2" s="264" t="s">
        <v>351</v>
      </c>
      <c r="DK2" s="264" t="s">
        <v>351</v>
      </c>
      <c r="DL2" s="267"/>
      <c r="DM2" s="261">
        <f>Infoman</f>
        <v>0</v>
      </c>
      <c r="DN2" s="295" t="str">
        <f t="shared" ref="DN2:DN33" si="4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</row>
    <row r="3" spans="1:118" x14ac:dyDescent="0.25">
      <c r="A3" s="599" t="str">
        <f t="shared" ref="A3:A58" si="5">CONCATENATE(C3," ",D3," - ",K3," - ",J3)</f>
        <v>BOUCHET Sébastien - APRIL - Prev. Pro</v>
      </c>
      <c r="B3" s="306"/>
      <c r="C3" s="305" t="s">
        <v>143</v>
      </c>
      <c r="D3" s="301" t="s">
        <v>1117</v>
      </c>
      <c r="E3" s="276">
        <v>43189</v>
      </c>
      <c r="F3" s="278" t="s">
        <v>546</v>
      </c>
      <c r="G3" s="311" t="s">
        <v>170</v>
      </c>
      <c r="H3" s="276">
        <v>43152</v>
      </c>
      <c r="I3" s="313">
        <f>IF(G3="Annulation","",IF(H3=0,"",E3-H3))</f>
        <v>37</v>
      </c>
      <c r="J3" s="312" t="s">
        <v>16</v>
      </c>
      <c r="K3" s="268" t="s">
        <v>33</v>
      </c>
      <c r="L3" s="277" t="s">
        <v>34</v>
      </c>
      <c r="M3" s="279">
        <v>36.68</v>
      </c>
      <c r="N3" s="280">
        <v>36.68</v>
      </c>
      <c r="O3" s="280"/>
      <c r="P3" s="455" t="s">
        <v>57</v>
      </c>
      <c r="Q3" s="281" t="str">
        <f>IF(COUNT(AD3)=0,"",AD3)</f>
        <v/>
      </c>
      <c r="R3" s="282">
        <f>SUM(M3*12)</f>
        <v>440.15999999999997</v>
      </c>
      <c r="S3" s="268" t="s">
        <v>18</v>
      </c>
      <c r="T3" s="283">
        <f t="shared" si="1"/>
        <v>25</v>
      </c>
      <c r="U3" s="284">
        <f>IF(M3=0,0,IF(G3="Annulation","",IF(assurance="ALPTIS",M3*12*T3/100*'1805 Data'!$K$4,IF(assurance="APRIL",M3*12*T3/100*'1805 Data'!$F$4,IF(assurance="ASAF",M3*12*T3/100*'1805 Data'!$I$4,IF(assurance="NEOLIANE",('1805 Data'!$G$5+M3*12*'1805 Data'!$G$4)*T3/100,IF(assurance="NEOLIANE Prev",('1805 Data'!$H$5+M3*12*'1805 Data'!$H$4)*T3/100,IF(assurance="SWISSLIFE",M3*12*T3/100*'1805 Data'!$J$4,IF(assurance="AVIVA",M3*12*T3/100*'1805 Data'!$L$4,IF(assurance="CIPRES",M3*12*T3/100*'1805 Data'!$M$4,IF(assurance="CEGEMA",M3*12*T3/100*'1805 Data'!$N$4,IF(assurance=0,0))))))))))))</f>
        <v>12.1044</v>
      </c>
      <c r="V3" s="298">
        <f>IF(M3="","",IF(G3="Annulation","",IF(typecomm="Précompte",SUM((M3-O3)*T3/100*12)+O3*12*0.15,IF(typecomm="Précompte 1",SUM((M3-O3)*T3/100*12)+O3*12*0.15,IF(typecomm="Linéaire",0,IF(typecomm=0,0))))))</f>
        <v>110.03999999999999</v>
      </c>
      <c r="W3" s="298">
        <f>IF(M3="","",IF(G3="Annulation","",IF(typecomm="Linéaire",SUM((M3-O3)*T3/100)+O3*0.15,IF(typecomm="Précompte 1",0,IF(typecomm="Précompte",0,IF(typecomm=0,0))))))</f>
        <v>0</v>
      </c>
      <c r="X3" s="299">
        <f>IF(G3="Annulation",0,IF(typecomm="Linéaire",0,IF(typecomm="Précompte 1",V3-U3,IF(mens=0,0,IF(typecomm="Précompte",V3-U3,IF(typecomm=0,0))))))</f>
        <v>97.935599999999994</v>
      </c>
      <c r="Y3" s="368">
        <f>IF(G3="Annulation",0,IF(M3="",0,IF(typecomm="Linéaire",SUM(W3-U3/12),IF(typecomm="Précompte 1",0,IF(typecomm="Précompte",0,IF(typecomm=0,0))))))</f>
        <v>0</v>
      </c>
      <c r="Z3" s="314">
        <v>43285</v>
      </c>
      <c r="AA3" s="313">
        <f>IF(Z3="","",IF(G3="Annulation","",IF(E3="",0,Z3-E3)))</f>
        <v>96</v>
      </c>
      <c r="AB3" s="268" t="s">
        <v>35</v>
      </c>
      <c r="AC3" s="277" t="s">
        <v>1361</v>
      </c>
      <c r="AD3" s="309" t="s">
        <v>78</v>
      </c>
      <c r="AE3" s="286" t="str">
        <f>IF(Z3=43466,43404,"")</f>
        <v/>
      </c>
      <c r="AF3" s="277"/>
      <c r="AG3" s="275">
        <f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>43466</v>
      </c>
      <c r="AH3" s="287">
        <f ca="1">(IF(COUNT(Z3)=0,"",IF(G3="Annulation","",IF(Z3&gt;0,(Z3-TODAY())/(-365),0))))</f>
        <v>-7.1232876712328766E-2</v>
      </c>
      <c r="AI3" s="373">
        <f ca="1">(IF(COUNT(Z3)=0,"",IF(G3="Annulation","",IF(K3="SWISSLIFE",Z3+365+IF(Z3&gt;TODAY(),0,365*(DATEDIF(Z3,TODAY(),"Y"))),IF(K3="AVIVA",Z3+365+IF(Z3&gt;TODAY(),0,365*(DATEDIF(Z3,TODAY(),"Y"))),IF(K3="NEOLIANE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+IF(((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Prev",Z3+365+IF(Z3&gt;TODAY(),0,365*(DATEDIF(Z3,TODAY(),"Y"))),IF(Z3&lt;=43252,43466,43831))))+365*(année-2018)+IF(année&gt;=2020,1))-62)&lt;TODAY(),365))))</f>
        <v>43831</v>
      </c>
      <c r="AJ3" s="275">
        <f ca="1">IF(G3="Annulation","",IF(Z3="","",AI3-62))</f>
        <v>43769</v>
      </c>
      <c r="AK3" s="296">
        <f ca="1">IF(G3="Annulation","",IF(Z3="","",AI3-92))</f>
        <v>43739</v>
      </c>
      <c r="AL3" s="287">
        <f ca="1">(IF(COUNT(Z3)=0,"",IF(G3="Annulation","",IF(Z3&gt;0,(Z3-AI3)/(-365),0))))</f>
        <v>1.4958904109589042</v>
      </c>
      <c r="AM3" s="279">
        <f>IF(G3="Annulation","",IF(Z3&lt;42736,M3,0))</f>
        <v>0</v>
      </c>
      <c r="AN3" s="279">
        <f>IF(G3="Annulation","",IF(Z3&gt;=42736,IF(Z3&lt;43101,M3,0),0))</f>
        <v>0</v>
      </c>
      <c r="AO3" s="288">
        <f>IF(G3="Annulation","",IF(AM3&gt;0,IF(AM3&gt;0,(AM3-AN3)/AM3*(-1),),0))</f>
        <v>0</v>
      </c>
      <c r="AP3" s="279">
        <f>IF(G3="Annulation","",IF(Z3&gt;=43101,IF(Z3&lt;43466,M3,0),0))</f>
        <v>36.68</v>
      </c>
      <c r="AQ3" s="288">
        <f>IF(G3="Annulation","",IF(AN3&gt;0,(AN3-AP3)/AN3*(-1),))</f>
        <v>0</v>
      </c>
      <c r="AR3" s="289">
        <f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>IF(G3="Annulation","",IF(Z3&gt;=43466,IF(Z3&lt;43831,M3,0),0))</f>
        <v>0</v>
      </c>
      <c r="AT3" s="288">
        <f>IF(G3="Annulation","",IF(AP3&gt;0,(AP3-AS3)/AP3*(-1),0))</f>
        <v>-1</v>
      </c>
      <c r="AU3" s="289">
        <f>IF(G3="Annulation","",IF(AS3&gt;0,IF(AM3&gt;0,(AM3-AS3)/(-AM3),IF(AN3&gt;0,(AN3-AS3)/(-AN3),IF(AP3&gt;0,(AP3-AS3)/(-AP3),0))),0))</f>
        <v>0</v>
      </c>
      <c r="AV3" s="279">
        <f>IF(G3="Annulation","",IF(Z3&gt;=43831,IF(Z3&lt;44197,M3,0),0))</f>
        <v>0</v>
      </c>
      <c r="AW3" s="288">
        <f>IF(G3="Annulation","",IF(AS3&gt;0,(AS3-AV3)/AS3*(-1),0))</f>
        <v>0</v>
      </c>
      <c r="AX3" s="289">
        <f>IF(G3="Annulation","",(IF(AM3&gt;0,(AM3-AV3)/(-AM3),IF(AN3&gt;0,(AN3-AV3)/(-AN3),IF(AP3&gt;0,(AP3-AV3)/(-AP3),IF(AS3&gt;0,(AS3-AV3)/(-AS3),0))))))</f>
        <v>-1</v>
      </c>
      <c r="AY3" s="290" t="s">
        <v>277</v>
      </c>
      <c r="AZ3" s="291">
        <v>680616300</v>
      </c>
      <c r="BA3" s="292">
        <v>13008</v>
      </c>
      <c r="BB3" s="303" t="s">
        <v>1300</v>
      </c>
      <c r="BC3" s="293">
        <v>661958963</v>
      </c>
      <c r="BD3" s="293"/>
      <c r="BE3" s="304" t="s">
        <v>1302</v>
      </c>
      <c r="BF3" s="274"/>
      <c r="BG3" s="270"/>
      <c r="BH3" s="268">
        <v>1</v>
      </c>
      <c r="BI3" s="273">
        <v>2</v>
      </c>
      <c r="BJ3" s="276">
        <v>28047</v>
      </c>
      <c r="BK3" s="294" t="s">
        <v>202</v>
      </c>
      <c r="BL3" s="269">
        <f ca="1">IF(DATEDIF(BJ3,TODAY(),"Y")=118,"",DATEDIF(BJ3,TODAY(),"Y"))</f>
        <v>41</v>
      </c>
      <c r="BM3" s="270"/>
      <c r="BN3" s="271"/>
      <c r="BO3" s="272" t="str">
        <f ca="1">IF(DATEDIF(BM3,TODAY(),"Y")=118,"",DATEDIF(BM3,TODAY(),"Y"))</f>
        <v/>
      </c>
      <c r="BP3" s="270"/>
      <c r="BQ3" s="271"/>
      <c r="BR3" s="272" t="str">
        <f ca="1">IF(DATEDIF(BP3,TODAY(),"Y")=118,"",DATEDIF(BP3,TODAY(),"Y"))</f>
        <v/>
      </c>
      <c r="BS3" s="270"/>
      <c r="BT3" s="271"/>
      <c r="BU3" s="272" t="str">
        <f ca="1">IF(DATEDIF(BS3,TODAY(),"Y")=118,"",DATEDIF(BS3,TODAY(),"Y"))</f>
        <v/>
      </c>
      <c r="BV3" s="270"/>
      <c r="BW3" s="271"/>
      <c r="BX3" s="272" t="str">
        <f ca="1">IF(DATEDIF(BV3,TODAY(),"Y")=118,"",DATEDIF(BV3,TODAY(),"Y"))</f>
        <v/>
      </c>
      <c r="BY3" s="270"/>
      <c r="BZ3" s="271"/>
      <c r="CA3" s="272" t="str">
        <f ca="1">IF(DATEDIF(BY3,TODAY(),"Y")=118,"",DATEDIF(BY3,TODAY(),"Y"))</f>
        <v/>
      </c>
      <c r="CB3" s="270"/>
      <c r="CC3" s="271"/>
      <c r="CD3" s="272" t="str">
        <f ca="1">IF(DATEDIF(CB3,TODAY(),"Y")=118,"",DATEDIF(CB3,TODAY(),"Y"))</f>
        <v/>
      </c>
      <c r="CE3" s="270"/>
      <c r="CF3" s="271"/>
      <c r="CG3" s="272" t="str">
        <f ca="1">IF(DATEDIF(CE3,TODAY(),"Y")=118,"",DATEDIF(CE3,TODAY(),"Y"))</f>
        <v/>
      </c>
      <c r="CH3" s="270"/>
      <c r="CI3" s="271"/>
      <c r="CJ3" s="272" t="str">
        <f ca="1">IF(DATEDIF(CH3,TODAY(),"Y")=118,"",DATEDIF(CH3,TODAY(),"Y"))</f>
        <v/>
      </c>
      <c r="CK3" s="262"/>
      <c r="CL3" s="264"/>
      <c r="CM3" s="264"/>
      <c r="CN3" s="264"/>
      <c r="CO3" s="264"/>
      <c r="CP3" s="264"/>
      <c r="CQ3" s="264"/>
      <c r="CR3" s="262" t="s">
        <v>1346</v>
      </c>
      <c r="CS3" s="263" t="s">
        <v>1347</v>
      </c>
      <c r="CT3" s="297">
        <f t="shared" ca="1" si="2"/>
        <v>41</v>
      </c>
      <c r="CU3" s="264" t="s">
        <v>108</v>
      </c>
      <c r="CV3" s="265">
        <v>41031</v>
      </c>
      <c r="CW3" s="264" t="s">
        <v>351</v>
      </c>
      <c r="CX3" s="264" t="s">
        <v>483</v>
      </c>
      <c r="CY3" s="264" t="str">
        <f t="shared" si="3"/>
        <v>Oui</v>
      </c>
      <c r="CZ3" s="264" t="s">
        <v>356</v>
      </c>
      <c r="DA3" s="264" t="s">
        <v>351</v>
      </c>
      <c r="DB3" s="266">
        <v>1666</v>
      </c>
      <c r="DC3" s="264" t="s">
        <v>343</v>
      </c>
      <c r="DD3" s="264" t="s">
        <v>363</v>
      </c>
      <c r="DE3" s="266">
        <v>0</v>
      </c>
      <c r="DF3" s="266">
        <v>40000</v>
      </c>
      <c r="DG3" s="264" t="s">
        <v>35</v>
      </c>
      <c r="DH3" s="266">
        <v>0</v>
      </c>
      <c r="DI3" s="266">
        <v>0</v>
      </c>
      <c r="DJ3" s="264" t="s">
        <v>351</v>
      </c>
      <c r="DK3" s="264" t="s">
        <v>350</v>
      </c>
      <c r="DL3" s="267"/>
      <c r="DM3" s="261">
        <f>Infoman</f>
        <v>0</v>
      </c>
      <c r="DN3" s="295" t="str">
        <f t="shared" si="4"/>
        <v>OK</v>
      </c>
    </row>
    <row r="4" spans="1:118" x14ac:dyDescent="0.25">
      <c r="A4" s="599" t="str">
        <f t="shared" si="5"/>
        <v>PEZAT Yannick - APRIL - Prev. Pro</v>
      </c>
      <c r="B4" s="306"/>
      <c r="C4" s="305" t="s">
        <v>161</v>
      </c>
      <c r="D4" s="301" t="s">
        <v>1115</v>
      </c>
      <c r="E4" s="276">
        <v>43190</v>
      </c>
      <c r="F4" s="278" t="s">
        <v>546</v>
      </c>
      <c r="G4" s="311" t="s">
        <v>170</v>
      </c>
      <c r="H4" s="276">
        <v>43190</v>
      </c>
      <c r="I4" s="313">
        <f>IF(G4="Annulation","",IF(H4=0,"",E4-H4))</f>
        <v>0</v>
      </c>
      <c r="J4" s="312" t="s">
        <v>16</v>
      </c>
      <c r="K4" s="268" t="s">
        <v>33</v>
      </c>
      <c r="L4" s="277" t="s">
        <v>133</v>
      </c>
      <c r="M4" s="279">
        <v>50.46</v>
      </c>
      <c r="N4" s="280">
        <v>50.46</v>
      </c>
      <c r="O4" s="280"/>
      <c r="P4" s="455" t="s">
        <v>94</v>
      </c>
      <c r="Q4" s="281" t="str">
        <f>IF(COUNT(AD4)=0,"",AD4)</f>
        <v/>
      </c>
      <c r="R4" s="282">
        <f>SUM(M4*12)</f>
        <v>605.52</v>
      </c>
      <c r="S4" s="268" t="s">
        <v>18</v>
      </c>
      <c r="T4" s="283">
        <f t="shared" si="1"/>
        <v>25</v>
      </c>
      <c r="U4" s="284">
        <f>IF(M4=0,0,IF(G4="Annulation","",IF(assurance="ALPTIS",M4*12*T4/100*'1805 Data'!$K$4,IF(assurance="APRIL",M4*12*T4/100*'1805 Data'!$F$4,IF(assurance="ASAF",M4*12*T4/100*'1805 Data'!$I$4,IF(assurance="NEOLIANE",('1805 Data'!$G$5+M4*12*'1805 Data'!$G$4)*T4/100,IF(assurance="NEOLIANE Prev",('1805 Data'!$H$5+M4*12*'1805 Data'!$H$4)*T4/100,IF(assurance="SWISSLIFE",M4*12*T4/100*'1805 Data'!$J$4,IF(assurance="AVIVA",M4*12*T4/100*'1805 Data'!$L$4,IF(assurance="CIPRES",M4*12*T4/100*'1805 Data'!$M$4,IF(assurance="CEGEMA",M4*12*T4/100*'1805 Data'!$N$4,IF(assurance=0,0))))))))))))</f>
        <v>16.651799999999998</v>
      </c>
      <c r="V4" s="298">
        <f>IF(M4="","",IF(G4="Annulation","",IF(typecomm="Précompte",SUM((M4-O4)*T4/100*12)+O4*12*0.15,IF(typecomm="Précompte 1",SUM((M4-O4)*T4/100*12)+O4*12*0.15,IF(typecomm="Linéaire",0,IF(typecomm=0,0))))))</f>
        <v>151.38</v>
      </c>
      <c r="W4" s="298">
        <f>IF(M4="","",IF(G4="Annulation","",IF(typecomm="Linéaire",SUM((M4-O4)*T4/100)+O4*0.15,IF(typecomm="Précompte 1",0,IF(typecomm="Précompte",0,IF(typecomm=0,0))))))</f>
        <v>0</v>
      </c>
      <c r="X4" s="299">
        <f>IF(G4="Annulation",0,IF(typecomm="Linéaire",0,IF(typecomm="Précompte 1",V4-U4,IF(mens=0,0,IF(typecomm="Précompte",V4-U4,IF(typecomm=0,0))))))</f>
        <v>134.72819999999999</v>
      </c>
      <c r="Y4" s="368">
        <f>IF(G4="Annulation",0,IF(M4="",0,IF(typecomm="Linéaire",SUM(W4-U4/12),IF(typecomm="Précompte 1",0,IF(typecomm="Précompte",0,IF(typecomm=0,0))))))</f>
        <v>0</v>
      </c>
      <c r="Z4" s="314">
        <v>43191</v>
      </c>
      <c r="AA4" s="313">
        <f>IF(Z4="","",IF(G4="Annulation","",IF(E4="",0,Z4-E4)))</f>
        <v>1</v>
      </c>
      <c r="AB4" s="268" t="s">
        <v>13</v>
      </c>
      <c r="AC4" s="277"/>
      <c r="AD4" s="309" t="str">
        <f>IF(Z4=43466,"Programmée","")</f>
        <v/>
      </c>
      <c r="AE4" s="286" t="str">
        <f>IF(Z4=43466,43404,"")</f>
        <v/>
      </c>
      <c r="AF4" s="277"/>
      <c r="AG4" s="275">
        <f>(IF(COUNT(Z4)=0,"",IF(G4="Annulation","",IF(K4="SWISSLIFE",Z4+365,IF(K4="AVIVA",Z4+365,IF(K4="NEOLIANE Prev",Z4+365,IF(Z4&lt;42370,42370,IF(Z4&lt;42736,42736,IF(Z4&lt;43101,43101,IF(Z4&lt;43466,43466,IF(Z4&lt;43831,43831,IF(Z4&lt;44197,44197,IF(Z4&lt;44562,44562,IF(Z4&lt;44927,44927))))))))))))))</f>
        <v>43466</v>
      </c>
      <c r="AH4" s="287">
        <f ca="1">(IF(COUNT(Z4)=0,"",IF(G4="Annulation","",IF(Z4&gt;0,(Z4-TODAY())/(-365),0))))</f>
        <v>0.18630136986301371</v>
      </c>
      <c r="AI4" s="373">
        <f ca="1">(IF(COUNT(Z4)=0,"",IF(G4="Annulation","",IF(K4="SWISSLIFE",Z4+365+IF(Z4&gt;TODAY(),0,365*(DATEDIF(Z4,TODAY(),"Y"))),IF(K4="AVIVA",Z4+365+IF(Z4&gt;TODAY(),0,365*(DATEDIF(Z4,TODAY(),"Y"))),IF(K4="NEOLIANE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+IF(((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Prev",Z4+365+IF(Z4&gt;TODAY(),0,365*(DATEDIF(Z4,TODAY(),"Y"))),IF(Z4&lt;=43252,43466,43831))))+365*(année-2018)+IF(année&gt;=2020,1))-62)&lt;TODAY(),365))))</f>
        <v>43466</v>
      </c>
      <c r="AJ4" s="275">
        <f ca="1">IF(G4="Annulation","",IF(Z4="","",AI4-62))</f>
        <v>43404</v>
      </c>
      <c r="AK4" s="296">
        <f ca="1">IF(G4="Annulation","",IF(Z4="","",AI4-92))</f>
        <v>43374</v>
      </c>
      <c r="AL4" s="287">
        <f ca="1">(IF(COUNT(Z4)=0,"",IF(G4="Annulation","",IF(Z4&gt;0,(Z4-AI4)/(-365),0))))</f>
        <v>0.75342465753424659</v>
      </c>
      <c r="AM4" s="279">
        <f>IF(G4="Annulation","",IF(Z4&lt;42736,M4,0))</f>
        <v>0</v>
      </c>
      <c r="AN4" s="279">
        <f>IF(G4="Annulation","",IF(Z4&gt;=42736,IF(Z4&lt;43101,M4,0),0))</f>
        <v>0</v>
      </c>
      <c r="AO4" s="288">
        <f>IF(G4="Annulation","",IF(AM4&gt;0,IF(AM4&gt;0,(AM4-AN4)/AM4*(-1),),0))</f>
        <v>0</v>
      </c>
      <c r="AP4" s="279">
        <f>IF(G4="Annulation","",IF(Z4&gt;=43101,IF(Z4&lt;43466,M4,0),0))</f>
        <v>50.46</v>
      </c>
      <c r="AQ4" s="288">
        <f>IF(G4="Annulation","",IF(AN4&gt;0,(AN4-AP4)/AN4*(-1),))</f>
        <v>0</v>
      </c>
      <c r="AR4" s="289">
        <f>IF(G4="Annulation","",IF(AND(AM4&lt;=0,AN4&lt;=0,AO4&lt;=0),0,IF(AND(AM4&lt;=0,AN4&lt;=0,AO4&gt;0),(AP4-AO4)/AO4,0+IF(AND(AM4&lt;=0,AN4&gt;0,AO4&lt;=0),(AP4-AN4)/AN4,0+IF(AND(AM4&gt;0,AN4&lt;=0,AO4&lt;=0),(AP4-AM4)/AM4,0+IF(AND(AM4&lt;=0,AN4&gt;0,AO4&gt;0),(AP4-AN4)/AN4,0+IF(AND(AM4&gt;0,AN4&lt;=0,AO4&gt;0),(AP4-AM4)/AM4,0+IF(AND(AM4&lt;=0,AN4&gt;0,AO4&gt;0),(AP4-AN4)/AN4,0+IF(AND(AM4&gt;0,AN4&gt;0,AO4&lt;=0),(AP4-AM4)/AM4,0+IF(AND(AM4&gt;0,AN4&gt;0,AO4&gt;0),(AP4-AM4)/AM4,0))))))))))</f>
        <v>0</v>
      </c>
      <c r="AS4" s="279">
        <f>IF(G4="Annulation","",IF(Z4&gt;=43466,IF(Z4&lt;43831,M4,0),0))</f>
        <v>0</v>
      </c>
      <c r="AT4" s="288">
        <f>IF(G4="Annulation","",IF(AP4&gt;0,(AP4-AS4)/AP4*(-1),0))</f>
        <v>-1</v>
      </c>
      <c r="AU4" s="289">
        <f>IF(G4="Annulation","",IF(AS4&gt;0,IF(AM4&gt;0,(AM4-AS4)/(-AM4),IF(AN4&gt;0,(AN4-AS4)/(-AN4),IF(AP4&gt;0,(AP4-AS4)/(-AP4),0))),0))</f>
        <v>0</v>
      </c>
      <c r="AV4" s="279">
        <f>IF(G4="Annulation","",IF(Z4&gt;=43831,IF(Z4&lt;44197,M4,0),0))</f>
        <v>0</v>
      </c>
      <c r="AW4" s="288">
        <f>IF(G4="Annulation","",IF(AS4&gt;0,(AS4-AV4)/AS4*(-1),0))</f>
        <v>0</v>
      </c>
      <c r="AX4" s="289">
        <f>IF(G4="Annulation","",(IF(AM4&gt;0,(AM4-AV4)/(-AM4),IF(AN4&gt;0,(AN4-AV4)/(-AN4),IF(AP4&gt;0,(AP4-AV4)/(-AP4),IF(AS4&gt;0,(AS4-AV4)/(-AS4),0))))))</f>
        <v>-1</v>
      </c>
      <c r="AY4" s="290" t="s">
        <v>278</v>
      </c>
      <c r="AZ4" s="291">
        <v>680634600</v>
      </c>
      <c r="BA4" s="292">
        <v>31530</v>
      </c>
      <c r="BB4" s="303" t="s">
        <v>1305</v>
      </c>
      <c r="BC4" s="293">
        <v>633335041</v>
      </c>
      <c r="BD4" s="293"/>
      <c r="BE4" s="304" t="s">
        <v>1306</v>
      </c>
      <c r="BF4" s="274"/>
      <c r="BG4" s="270"/>
      <c r="BH4" s="268">
        <v>1</v>
      </c>
      <c r="BI4" s="273">
        <v>2</v>
      </c>
      <c r="BJ4" s="276">
        <v>26030</v>
      </c>
      <c r="BK4" s="294" t="s">
        <v>202</v>
      </c>
      <c r="BL4" s="269">
        <f ca="1">IF(DATEDIF(BJ4,TODAY(),"Y")=118,"",DATEDIF(BJ4,TODAY(),"Y"))</f>
        <v>47</v>
      </c>
      <c r="BM4" s="270"/>
      <c r="BN4" s="271"/>
      <c r="BO4" s="272" t="str">
        <f ca="1">IF(DATEDIF(BM4,TODAY(),"Y")=118,"",DATEDIF(BM4,TODAY(),"Y"))</f>
        <v/>
      </c>
      <c r="BP4" s="270"/>
      <c r="BQ4" s="271"/>
      <c r="BR4" s="272" t="str">
        <f ca="1">IF(DATEDIF(BP4,TODAY(),"Y")=118,"",DATEDIF(BP4,TODAY(),"Y"))</f>
        <v/>
      </c>
      <c r="BS4" s="270"/>
      <c r="BT4" s="271"/>
      <c r="BU4" s="272" t="str">
        <f ca="1">IF(DATEDIF(BS4,TODAY(),"Y")=118,"",DATEDIF(BS4,TODAY(),"Y"))</f>
        <v/>
      </c>
      <c r="BV4" s="270"/>
      <c r="BW4" s="271"/>
      <c r="BX4" s="272" t="str">
        <f ca="1">IF(DATEDIF(BV4,TODAY(),"Y")=118,"",DATEDIF(BV4,TODAY(),"Y"))</f>
        <v/>
      </c>
      <c r="BY4" s="270"/>
      <c r="BZ4" s="271"/>
      <c r="CA4" s="272" t="str">
        <f ca="1">IF(DATEDIF(BY4,TODAY(),"Y")=118,"",DATEDIF(BY4,TODAY(),"Y"))</f>
        <v/>
      </c>
      <c r="CB4" s="270"/>
      <c r="CC4" s="271"/>
      <c r="CD4" s="272" t="str">
        <f ca="1">IF(DATEDIF(CB4,TODAY(),"Y")=118,"",DATEDIF(CB4,TODAY(),"Y"))</f>
        <v/>
      </c>
      <c r="CE4" s="270"/>
      <c r="CF4" s="271"/>
      <c r="CG4" s="272" t="str">
        <f ca="1">IF(DATEDIF(CE4,TODAY(),"Y")=118,"",DATEDIF(CE4,TODAY(),"Y"))</f>
        <v/>
      </c>
      <c r="CH4" s="270"/>
      <c r="CI4" s="271"/>
      <c r="CJ4" s="272" t="str">
        <f ca="1">IF(DATEDIF(CH4,TODAY(),"Y")=118,"",DATEDIF(CH4,TODAY(),"Y"))</f>
        <v/>
      </c>
      <c r="CK4" s="262"/>
      <c r="CL4" s="264"/>
      <c r="CM4" s="264"/>
      <c r="CN4" s="264"/>
      <c r="CO4" s="264"/>
      <c r="CP4" s="264"/>
      <c r="CQ4" s="264"/>
      <c r="CR4" s="262" t="s">
        <v>1312</v>
      </c>
      <c r="CS4" s="263" t="s">
        <v>1313</v>
      </c>
      <c r="CT4" s="297">
        <f t="shared" ca="1" si="2"/>
        <v>47</v>
      </c>
      <c r="CU4" s="264" t="s">
        <v>108</v>
      </c>
      <c r="CV4" s="265">
        <v>43136</v>
      </c>
      <c r="CW4" s="264" t="s">
        <v>350</v>
      </c>
      <c r="CX4" s="264" t="s">
        <v>350</v>
      </c>
      <c r="CY4" s="264" t="str">
        <f t="shared" si="3"/>
        <v>Non</v>
      </c>
      <c r="CZ4" s="264" t="s">
        <v>356</v>
      </c>
      <c r="DA4" s="264" t="s">
        <v>387</v>
      </c>
      <c r="DB4" s="266">
        <v>1500</v>
      </c>
      <c r="DC4" s="264" t="s">
        <v>343</v>
      </c>
      <c r="DD4" s="264" t="s">
        <v>362</v>
      </c>
      <c r="DE4" s="266">
        <v>0</v>
      </c>
      <c r="DF4" s="266">
        <v>50000</v>
      </c>
      <c r="DG4" s="264" t="s">
        <v>35</v>
      </c>
      <c r="DH4" s="266">
        <v>0</v>
      </c>
      <c r="DI4" s="266">
        <v>0</v>
      </c>
      <c r="DJ4" s="264" t="s">
        <v>351</v>
      </c>
      <c r="DK4" s="264" t="s">
        <v>351</v>
      </c>
      <c r="DL4" s="267"/>
      <c r="DM4" s="261">
        <f>Infoman</f>
        <v>0</v>
      </c>
      <c r="DN4" s="295" t="str">
        <f t="shared" si="4"/>
        <v>OK</v>
      </c>
    </row>
    <row r="5" spans="1:118" x14ac:dyDescent="0.25">
      <c r="A5" s="599" t="str">
        <f t="shared" si="5"/>
        <v>LAGARDE Sylvia - SWISSLIFE - Prev. Pro</v>
      </c>
      <c r="B5" s="306"/>
      <c r="C5" s="305" t="s">
        <v>1344</v>
      </c>
      <c r="D5" s="301" t="s">
        <v>1353</v>
      </c>
      <c r="E5" s="276">
        <v>43248</v>
      </c>
      <c r="F5" s="278" t="s">
        <v>547</v>
      </c>
      <c r="G5" s="311" t="s">
        <v>170</v>
      </c>
      <c r="H5" s="276">
        <v>43194</v>
      </c>
      <c r="I5" s="313">
        <f>IF(G5="Annulation","",IF(H5=0,"",E5-H5))</f>
        <v>54</v>
      </c>
      <c r="J5" s="312" t="s">
        <v>16</v>
      </c>
      <c r="K5" s="268" t="s">
        <v>12</v>
      </c>
      <c r="L5" s="277" t="s">
        <v>26</v>
      </c>
      <c r="M5" s="279">
        <v>83.54</v>
      </c>
      <c r="N5" s="280">
        <v>83.54</v>
      </c>
      <c r="O5" s="280"/>
      <c r="P5" s="455" t="s">
        <v>94</v>
      </c>
      <c r="Q5" s="281" t="str">
        <f>IF(COUNT(AD5)=0,"",AD5)</f>
        <v/>
      </c>
      <c r="R5" s="282">
        <f>SUM(M5*12)</f>
        <v>1002.48</v>
      </c>
      <c r="S5" s="268" t="s">
        <v>18</v>
      </c>
      <c r="T5" s="283">
        <f t="shared" si="1"/>
        <v>25</v>
      </c>
      <c r="U5" s="284">
        <f>IF(M5=0,0,IF(G5="Annulation","",IF(assurance="ALPTIS",M5*12*T5/100*'1805 Data'!$K$4,IF(assurance="APRIL",M5*12*T5/100*'1805 Data'!$F$4,IF(assurance="ASAF",M5*12*T5/100*'1805 Data'!$I$4,IF(assurance="NEOLIANE",('1805 Data'!$G$5+M5*12*'1805 Data'!$G$4)*T5/100,IF(assurance="NEOLIANE Prev",('1805 Data'!$H$5+M5*12*'1805 Data'!$H$4)*T5/100,IF(assurance="SWISSLIFE",M5*12*T5/100*'1805 Data'!$J$4,IF(assurance="AVIVA",M5*12*T5/100*'1805 Data'!$L$4,IF(assurance="CIPRES",M5*12*T5/100*'1805 Data'!$M$4,IF(assurance="CEGEMA",M5*12*T5/100*'1805 Data'!$N$4,IF(assurance=0,0))))))))))))</f>
        <v>26.06448</v>
      </c>
      <c r="V5" s="298">
        <f>IF(M5="","",IF(G5="Annulation","",IF(typecomm="Précompte",SUM((M5-O5)*T5/100*12)+O5*12*0.15,IF(typecomm="Précompte 1",SUM((M5-O5)*T5/100*12)+O5*12*0.15,IF(typecomm="Linéaire",0,IF(typecomm=0,0))))))</f>
        <v>250.62</v>
      </c>
      <c r="W5" s="298">
        <f>IF(M5="","",IF(G5="Annulation","",IF(typecomm="Linéaire",SUM((M5-O5)*T5/100)+O5*0.15,IF(typecomm="Précompte 1",0,IF(typecomm="Précompte",0,IF(typecomm=0,0))))))</f>
        <v>0</v>
      </c>
      <c r="X5" s="299">
        <f>IF(G5="Annulation",0,IF(typecomm="Linéaire",0,IF(typecomm="Précompte 1",V5-U5,IF(mens=0,0,IF(typecomm="Précompte",V5-U5,IF(typecomm=0,0))))))</f>
        <v>224.55552</v>
      </c>
      <c r="Y5" s="368">
        <f>IF(G5="Annulation",0,IF(M5="",0,IF(typecomm="Linéaire",SUM(W5-U5/12),IF(typecomm="Précompte 1",0,IF(typecomm="Précompte",0,IF(typecomm=0,0))))))</f>
        <v>0</v>
      </c>
      <c r="Z5" s="314">
        <v>43248</v>
      </c>
      <c r="AA5" s="313">
        <f>IF(Z5="","",IF(G5="Annulation","",IF(E5="",0,Z5-E5)))</f>
        <v>0</v>
      </c>
      <c r="AB5" s="268" t="s">
        <v>13</v>
      </c>
      <c r="AC5" s="277"/>
      <c r="AD5" s="309" t="str">
        <f>IF(Z5=43466,"Programmée","")</f>
        <v/>
      </c>
      <c r="AE5" s="286" t="str">
        <f>IF(Z5=43466,43404,"")</f>
        <v/>
      </c>
      <c r="AF5" s="277"/>
      <c r="AG5" s="275">
        <f>(IF(COUNT(Z5)=0,"",IF(G5="Annulation","",IF(K5="SWISSLIFE",Z5+365,IF(K5="AVIVA",Z5+365,IF(K5="NEOLIANE Prev",Z5+365,IF(Z5&lt;42370,42370,IF(Z5&lt;42736,42736,IF(Z5&lt;43101,43101,IF(Z5&lt;43466,43466,IF(Z5&lt;43831,43831,IF(Z5&lt;44197,44197,IF(Z5&lt;44562,44562,IF(Z5&lt;44927,44927))))))))))))))</f>
        <v>43613</v>
      </c>
      <c r="AH5" s="287">
        <f ca="1">(IF(COUNT(Z5)=0,"",IF(G5="Annulation","",IF(Z5&gt;0,(Z5-TODAY())/(-365),0))))</f>
        <v>3.0136986301369864E-2</v>
      </c>
      <c r="AI5" s="373">
        <f ca="1">(IF(COUNT(Z5)=0,"",IF(G5="Annulation","",IF(K5="SWISSLIFE",Z5+365+IF(Z5&gt;TODAY(),0,365*(DATEDIF(Z5,TODAY(),"Y"))),IF(K5="AVIVA",Z5+365+IF(Z5&gt;TODAY(),0,365*(DATEDIF(Z5,TODAY(),"Y"))),IF(K5="NEOLIANE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+IF(((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Prev",Z5+365+IF(Z5&gt;TODAY(),0,365*(DATEDIF(Z5,TODAY(),"Y"))),IF(Z5&lt;=43252,43466,43831))))+365*(année-2018)+IF(année&gt;=2020,1))-62)&lt;TODAY(),365))))</f>
        <v>43613</v>
      </c>
      <c r="AJ5" s="275">
        <f ca="1">IF(G5="Annulation","",IF(Z5="","",AI5-62))</f>
        <v>43551</v>
      </c>
      <c r="AK5" s="296">
        <f ca="1">IF(G5="Annulation","",IF(Z5="","",AI5-92))</f>
        <v>43521</v>
      </c>
      <c r="AL5" s="287">
        <f ca="1">(IF(COUNT(Z5)=0,"",IF(G5="Annulation","",IF(Z5&gt;0,(Z5-AI5)/(-365),0))))</f>
        <v>1</v>
      </c>
      <c r="AM5" s="279">
        <f>IF(G5="Annulation","",IF(Z5&lt;42736,M5,0))</f>
        <v>0</v>
      </c>
      <c r="AN5" s="279">
        <f>IF(G5="Annulation","",IF(Z5&gt;=42736,IF(Z5&lt;43101,M5,0),0))</f>
        <v>0</v>
      </c>
      <c r="AO5" s="288">
        <f>IF(G5="Annulation","",IF(AM5&gt;0,IF(AM5&gt;0,(AM5-AN5)/AM5*(-1),),0))</f>
        <v>0</v>
      </c>
      <c r="AP5" s="279">
        <f>IF(G5="Annulation","",IF(Z5&gt;=43101,IF(Z5&lt;43466,M5,0),0))</f>
        <v>83.54</v>
      </c>
      <c r="AQ5" s="288">
        <f>IF(G5="Annulation","",IF(AN5&gt;0,(AN5-AP5)/AN5*(-1),))</f>
        <v>0</v>
      </c>
      <c r="AR5" s="289">
        <f>IF(G5="Annulation","",IF(AND(AM5&lt;=0,AN5&lt;=0,AO5&lt;=0),0,IF(AND(AM5&lt;=0,AN5&lt;=0,AO5&gt;0),(AP5-AO5)/AO5,0+IF(AND(AM5&lt;=0,AN5&gt;0,AO5&lt;=0),(AP5-AN5)/AN5,0+IF(AND(AM5&gt;0,AN5&lt;=0,AO5&lt;=0),(AP5-AM5)/AM5,0+IF(AND(AM5&lt;=0,AN5&gt;0,AO5&gt;0),(AP5-AN5)/AN5,0+IF(AND(AM5&gt;0,AN5&lt;=0,AO5&gt;0),(AP5-AM5)/AM5,0+IF(AND(AM5&lt;=0,AN5&gt;0,AO5&gt;0),(AP5-AN5)/AN5,0+IF(AND(AM5&gt;0,AN5&gt;0,AO5&lt;=0),(AP5-AM5)/AM5,0+IF(AND(AM5&gt;0,AN5&gt;0,AO5&gt;0),(AP5-AM5)/AM5,0))))))))))</f>
        <v>0</v>
      </c>
      <c r="AS5" s="279">
        <f>IF(G5="Annulation","",IF(Z5&gt;=43466,IF(Z5&lt;43831,M5,0),0))</f>
        <v>0</v>
      </c>
      <c r="AT5" s="288">
        <f>IF(G5="Annulation","",IF(AP5&gt;0,(AP5-AS5)/AP5*(-1),0))</f>
        <v>-1</v>
      </c>
      <c r="AU5" s="289">
        <f>IF(G5="Annulation","",IF(AS5&gt;0,IF(AM5&gt;0,(AM5-AS5)/(-AM5),IF(AN5&gt;0,(AN5-AS5)/(-AN5),IF(AP5&gt;0,(AP5-AS5)/(-AP5),0))),0))</f>
        <v>0</v>
      </c>
      <c r="AV5" s="279">
        <f>IF(G5="Annulation","",IF(Z5&gt;=43831,IF(Z5&lt;44197,M5,0),0))</f>
        <v>0</v>
      </c>
      <c r="AW5" s="288">
        <f>IF(G5="Annulation","",IF(AS5&gt;0,(AS5-AV5)/AS5*(-1),0))</f>
        <v>0</v>
      </c>
      <c r="AX5" s="289">
        <f>IF(G5="Annulation","",(IF(AM5&gt;0,(AM5-AV5)/(-AM5),IF(AN5&gt;0,(AN5-AV5)/(-AN5),IF(AP5&gt;0,(AP5-AV5)/(-AP5),IF(AS5&gt;0,(AS5-AV5)/(-AS5),0))))))</f>
        <v>-1</v>
      </c>
      <c r="AY5" s="290" t="s">
        <v>278</v>
      </c>
      <c r="AZ5" s="291"/>
      <c r="BA5" s="292">
        <v>26700</v>
      </c>
      <c r="BB5" s="303" t="s">
        <v>1350</v>
      </c>
      <c r="BC5" s="293">
        <v>664102113</v>
      </c>
      <c r="BD5" s="293"/>
      <c r="BE5" s="304" t="s">
        <v>1354</v>
      </c>
      <c r="BF5" s="274"/>
      <c r="BG5" s="270"/>
      <c r="BH5" s="268">
        <v>1</v>
      </c>
      <c r="BI5" s="273"/>
      <c r="BJ5" s="276">
        <v>30792</v>
      </c>
      <c r="BK5" s="294" t="s">
        <v>203</v>
      </c>
      <c r="BL5" s="269">
        <f ca="1">IF(DATEDIF(BJ5,TODAY(),"Y")=118,"",DATEDIF(BJ5,TODAY(),"Y"))</f>
        <v>34</v>
      </c>
      <c r="BM5" s="270"/>
      <c r="BN5" s="271"/>
      <c r="BO5" s="272" t="str">
        <f ca="1">IF(DATEDIF(BM5,TODAY(),"Y")=118,"",DATEDIF(BM5,TODAY(),"Y"))</f>
        <v/>
      </c>
      <c r="BP5" s="270"/>
      <c r="BQ5" s="271"/>
      <c r="BR5" s="272" t="str">
        <f ca="1">IF(DATEDIF(BP5,TODAY(),"Y")=118,"",DATEDIF(BP5,TODAY(),"Y"))</f>
        <v/>
      </c>
      <c r="BS5" s="270"/>
      <c r="BT5" s="271"/>
      <c r="BU5" s="272" t="str">
        <f ca="1">IF(DATEDIF(BS5,TODAY(),"Y")=118,"",DATEDIF(BS5,TODAY(),"Y"))</f>
        <v/>
      </c>
      <c r="BV5" s="270"/>
      <c r="BW5" s="271"/>
      <c r="BX5" s="272" t="str">
        <f ca="1">IF(DATEDIF(BV5,TODAY(),"Y")=118,"",DATEDIF(BV5,TODAY(),"Y"))</f>
        <v/>
      </c>
      <c r="BY5" s="270"/>
      <c r="BZ5" s="271"/>
      <c r="CA5" s="272" t="str">
        <f ca="1">IF(DATEDIF(BY5,TODAY(),"Y")=118,"",DATEDIF(BY5,TODAY(),"Y"))</f>
        <v/>
      </c>
      <c r="CB5" s="270"/>
      <c r="CC5" s="271"/>
      <c r="CD5" s="272" t="str">
        <f ca="1">IF(DATEDIF(CB5,TODAY(),"Y")=118,"",DATEDIF(CB5,TODAY(),"Y"))</f>
        <v/>
      </c>
      <c r="CE5" s="270"/>
      <c r="CF5" s="271"/>
      <c r="CG5" s="272" t="str">
        <f ca="1">IF(DATEDIF(CE5,TODAY(),"Y")=118,"",DATEDIF(CE5,TODAY(),"Y"))</f>
        <v/>
      </c>
      <c r="CH5" s="270"/>
      <c r="CI5" s="271"/>
      <c r="CJ5" s="272" t="str">
        <f ca="1">IF(DATEDIF(CH5,TODAY(),"Y")=118,"",DATEDIF(CH5,TODAY(),"Y"))</f>
        <v/>
      </c>
      <c r="CK5" s="262"/>
      <c r="CL5" s="264"/>
      <c r="CM5" s="264"/>
      <c r="CN5" s="264"/>
      <c r="CO5" s="264"/>
      <c r="CP5" s="264"/>
      <c r="CQ5" s="264"/>
      <c r="CR5" s="262" t="s">
        <v>1355</v>
      </c>
      <c r="CS5" s="263" t="s">
        <v>1281</v>
      </c>
      <c r="CT5" s="297">
        <f t="shared" ca="1" si="2"/>
        <v>34</v>
      </c>
      <c r="CU5" s="264" t="s">
        <v>316</v>
      </c>
      <c r="CV5" s="265">
        <v>42037</v>
      </c>
      <c r="CW5" s="264" t="s">
        <v>351</v>
      </c>
      <c r="CX5" s="264" t="s">
        <v>350</v>
      </c>
      <c r="CY5" s="264" t="str">
        <f t="shared" si="3"/>
        <v>Non</v>
      </c>
      <c r="CZ5" s="264" t="s">
        <v>353</v>
      </c>
      <c r="DA5" s="264" t="s">
        <v>351</v>
      </c>
      <c r="DB5" s="266">
        <v>4500</v>
      </c>
      <c r="DC5" s="264" t="s">
        <v>343</v>
      </c>
      <c r="DD5" s="264" t="s">
        <v>363</v>
      </c>
      <c r="DE5" s="266">
        <v>4500</v>
      </c>
      <c r="DF5" s="266">
        <v>0</v>
      </c>
      <c r="DG5" s="264" t="s">
        <v>35</v>
      </c>
      <c r="DH5" s="266">
        <v>0</v>
      </c>
      <c r="DI5" s="266">
        <v>0</v>
      </c>
      <c r="DJ5" s="264" t="s">
        <v>351</v>
      </c>
      <c r="DK5" s="264" t="s">
        <v>351</v>
      </c>
      <c r="DL5" s="267"/>
      <c r="DM5" s="261">
        <f>Infoman</f>
        <v>0</v>
      </c>
      <c r="DN5" s="295" t="str">
        <f t="shared" si="4"/>
        <v>Mini</v>
      </c>
    </row>
    <row r="6" spans="1:118" x14ac:dyDescent="0.25">
      <c r="A6" s="599" t="str">
        <f t="shared" si="5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>IF(G6="Annulation","",IF(H6=0,"",E6-H6))</f>
        <v/>
      </c>
      <c r="J6" s="312"/>
      <c r="K6" s="268"/>
      <c r="L6" s="277"/>
      <c r="M6" s="279"/>
      <c r="N6" s="280"/>
      <c r="O6" s="280"/>
      <c r="P6" s="455"/>
      <c r="Q6" s="281" t="str">
        <f>IF(COUNT(AD6)=0,"",AD6)</f>
        <v/>
      </c>
      <c r="R6" s="282">
        <f>SUM(M6*12)</f>
        <v>0</v>
      </c>
      <c r="S6" s="268"/>
      <c r="T6" s="283">
        <f t="shared" si="1"/>
        <v>0</v>
      </c>
      <c r="U6" s="284">
        <f>IF(M6=0,0,IF(G6="Annulation","",IF(assurance="ALPTIS",M6*12*T6/100*'1805 Data'!$K$4,IF(assurance="APRIL",M6*12*T6/100*'1805 Data'!$F$4,IF(assurance="ASAF",M6*12*T6/100*'1805 Data'!$I$4,IF(assurance="NEOLIANE",('1805 Data'!$G$5+M6*12*'1805 Data'!$G$4)*T6/100,IF(assurance="NEOLIANE Prev",('1805 Data'!$H$5+M6*12*'1805 Data'!$H$4)*T6/100,IF(assurance="SWISSLIFE",M6*12*T6/100*'1805 Data'!$J$4,IF(assurance="AVIVA",M6*12*T6/100*'1805 Data'!$L$4,IF(assurance="CIPRES",M6*12*T6/100*'1805 Data'!$M$4,IF(assurance="CEGEMA",M6*12*T6/100*'1805 Data'!$N$4,IF(assurance=0,0))))))))))))</f>
        <v>0</v>
      </c>
      <c r="V6" s="298" t="str">
        <f>IF(M6="","",IF(G6="Annulation","",IF(typecomm="Précompte",SUM((M6-O6)*T6/100*12)+O6*12*0.15,IF(typecomm="Précompte 1",SUM((M6-O6)*T6/100*12)+O6*12*0.15,IF(typecomm="Linéaire",0,IF(typecomm=0,0))))))</f>
        <v/>
      </c>
      <c r="W6" s="298" t="str">
        <f>IF(M6="","",IF(G6="Annulation","",IF(typecomm="Linéaire",SUM((M6-O6)*T6/100)+O6*0.15,IF(typecomm="Précompte 1",0,IF(typecomm="Précompte",0,IF(typecomm=0,0))))))</f>
        <v/>
      </c>
      <c r="X6" s="299">
        <f>IF(G6="Annulation",0,IF(typecomm="Linéaire",0,IF(typecomm="Précompte 1",V6-U6,IF(mens=0,0,IF(typecomm="Précompte",V6-U6,IF(typecomm=0,0))))))</f>
        <v>0</v>
      </c>
      <c r="Y6" s="368">
        <f>IF(G6="Annulation",0,IF(M6="",0,IF(typecomm="Linéaire",SUM(W6-U6/12),IF(typecomm="Précompte 1",0,IF(typecomm="Précompte",0,IF(typecomm=0,0))))))</f>
        <v>0</v>
      </c>
      <c r="Z6" s="314"/>
      <c r="AA6" s="313" t="str">
        <f>IF(Z6="","",IF(G6="Annulation","",IF(E6="",0,Z6-E6)))</f>
        <v/>
      </c>
      <c r="AB6" s="268" t="s">
        <v>13</v>
      </c>
      <c r="AC6" s="277"/>
      <c r="AD6" s="309" t="str">
        <f>IF(Z6=43466,"Programmée","")</f>
        <v/>
      </c>
      <c r="AE6" s="286" t="str">
        <f>IF(Z6=43466,43404,"")</f>
        <v/>
      </c>
      <c r="AF6" s="277"/>
      <c r="AG6" s="275" t="str">
        <f>(IF(COUNT(Z6)=0,"",IF(G6="Annulation","",IF(K6="SWISSLIFE",Z6+365,IF(K6="AVIVA",Z6+365,IF(K6="NEOLIANE Prev",Z6+365,IF(Z6&lt;42370,42370,IF(Z6&lt;42736,42736,IF(Z6&lt;43101,43101,IF(Z6&lt;43466,43466,IF(Z6&lt;43831,43831,IF(Z6&lt;44197,44197,IF(Z6&lt;44562,44562,IF(Z6&lt;44927,44927))))))))))))))</f>
        <v/>
      </c>
      <c r="AH6" s="287" t="str">
        <f ca="1">(IF(COUNT(Z6)=0,"",IF(G6="Annulation","",IF(Z6&gt;0,(Z6-TODAY())/(-365),0))))</f>
        <v/>
      </c>
      <c r="AI6" s="373" t="str">
        <f ca="1">(IF(COUNT(Z6)=0,"",IF(G6="Annulation","",IF(K6="SWISSLIFE",Z6+365+IF(Z6&gt;TODAY(),0,365*(DATEDIF(Z6,TODAY(),"Y"))),IF(K6="AVIVA",Z6+365+IF(Z6&gt;TODAY(),0,365*(DATEDIF(Z6,TODAY(),"Y"))),IF(K6="NEOLIANE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+IF(((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Prev",Z6+365+IF(Z6&gt;TODAY(),0,365*(DATEDIF(Z6,TODAY(),"Y"))),IF(Z6&lt;=43252,43466,43831))))+365*(année-2018)+IF(année&gt;=2020,1))-62)&lt;TODAY(),365))))</f>
        <v/>
      </c>
      <c r="AJ6" s="296" t="str">
        <f>IF(G6="Annulation","",IF(Z6="","",AI6-62))</f>
        <v/>
      </c>
      <c r="AK6" s="296" t="str">
        <f>IF(G6="Annulation","",IF(Z6="","",AI6-92))</f>
        <v/>
      </c>
      <c r="AL6" s="287" t="str">
        <f>(IF(COUNT(Z6)=0,"",IF(G6="Annulation","",IF(Z6&gt;0,(Z6-AI6)/(-365),0))))</f>
        <v/>
      </c>
      <c r="AM6" s="279">
        <f>IF(G6="Annulation","",IF(Z6&lt;42736,M6,0))</f>
        <v>0</v>
      </c>
      <c r="AN6" s="279">
        <f>IF(G6="Annulation","",IF(Z6&gt;=42736,IF(Z6&lt;43101,M6,0),0))</f>
        <v>0</v>
      </c>
      <c r="AO6" s="288">
        <f>IF(G6="Annulation","",IF(AM6&gt;0,IF(AM6&gt;0,(AM6-AN6)/AM6*(-1),),0))</f>
        <v>0</v>
      </c>
      <c r="AP6" s="279">
        <f>IF(G6="Annulation","",IF(Z6&gt;=43101,IF(Z6&lt;43466,M6,0),0))</f>
        <v>0</v>
      </c>
      <c r="AQ6" s="288">
        <f>IF(G6="Annulation","",IF(AN6&gt;0,(AN6-AP6)/AN6*(-1),))</f>
        <v>0</v>
      </c>
      <c r="AR6" s="289">
        <f>IF(G6="Annulation","",IF(AND(AM6&lt;=0,AN6&lt;=0,AO6&lt;=0),0,IF(AND(AM6&lt;=0,AN6&lt;=0,AO6&gt;0),(AP6-AO6)/AO6,0+IF(AND(AM6&lt;=0,AN6&gt;0,AO6&lt;=0),(AP6-AN6)/AN6,0+IF(AND(AM6&gt;0,AN6&lt;=0,AO6&lt;=0),(AP6-AM6)/AM6,0+IF(AND(AM6&lt;=0,AN6&gt;0,AO6&gt;0),(AP6-AN6)/AN6,0+IF(AND(AM6&gt;0,AN6&lt;=0,AO6&gt;0),(AP6-AM6)/AM6,0+IF(AND(AM6&lt;=0,AN6&gt;0,AO6&gt;0),(AP6-AN6)/AN6,0+IF(AND(AM6&gt;0,AN6&gt;0,AO6&lt;=0),(AP6-AM6)/AM6,0+IF(AND(AM6&gt;0,AN6&gt;0,AO6&gt;0),(AP6-AM6)/AM6,0))))))))))</f>
        <v>0</v>
      </c>
      <c r="AS6" s="279">
        <f>IF(G6="Annulation","",IF(Z6&gt;=43466,IF(Z6&lt;43831,M6,0),0))</f>
        <v>0</v>
      </c>
      <c r="AT6" s="288">
        <f>IF(G6="Annulation","",IF(AP6&gt;0,(AP6-AS6)/AP6*(-1),0))</f>
        <v>0</v>
      </c>
      <c r="AU6" s="289">
        <f>IF(G6="Annulation","",IF(AS6&gt;0,IF(AM6&gt;0,(AM6-AS6)/(-AM6),IF(AN6&gt;0,(AN6-AS6)/(-AN6),IF(AP6&gt;0,(AP6-AS6)/(-AP6),0))),0))</f>
        <v>0</v>
      </c>
      <c r="AV6" s="279">
        <f>IF(G6="Annulation","",IF(Z6&gt;=43831,IF(Z6&lt;44197,M6,0),0))</f>
        <v>0</v>
      </c>
      <c r="AW6" s="288">
        <f>IF(G6="Annulation","",IF(AS6&gt;0,(AS6-AV6)/AS6*(-1),0))</f>
        <v>0</v>
      </c>
      <c r="AX6" s="289">
        <f>IF(G6="Annulation","",(IF(AM6&gt;0,(AM6-AV6)/(-AM6),IF(AN6&gt;0,(AN6-AV6)/(-AN6),IF(AP6&gt;0,(AP6-AV6)/(-AP6),IF(AS6&gt;0,(AS6-AV6)/(-AS6),0))))))</f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ca="1">IF(DATEDIF(BJ6,TODAY(),"Y")=118,"",DATEDIF(BJ6,TODAY(),"Y"))</f>
        <v/>
      </c>
      <c r="BM6" s="270"/>
      <c r="BN6" s="271"/>
      <c r="BO6" s="272" t="str">
        <f ca="1">IF(DATEDIF(BM6,TODAY(),"Y")=118,"",DATEDIF(BM6,TODAY(),"Y"))</f>
        <v/>
      </c>
      <c r="BP6" s="270"/>
      <c r="BQ6" s="271"/>
      <c r="BR6" s="272" t="str">
        <f ca="1">IF(DATEDIF(BP6,TODAY(),"Y")=118,"",DATEDIF(BP6,TODAY(),"Y"))</f>
        <v/>
      </c>
      <c r="BS6" s="270"/>
      <c r="BT6" s="271"/>
      <c r="BU6" s="272" t="str">
        <f ca="1">IF(DATEDIF(BS6,TODAY(),"Y")=118,"",DATEDIF(BS6,TODAY(),"Y"))</f>
        <v/>
      </c>
      <c r="BV6" s="270"/>
      <c r="BW6" s="271"/>
      <c r="BX6" s="272" t="str">
        <f ca="1">IF(DATEDIF(BV6,TODAY(),"Y")=118,"",DATEDIF(BV6,TODAY(),"Y"))</f>
        <v/>
      </c>
      <c r="BY6" s="270"/>
      <c r="BZ6" s="271"/>
      <c r="CA6" s="272" t="str">
        <f ca="1">IF(DATEDIF(BY6,TODAY(),"Y")=118,"",DATEDIF(BY6,TODAY(),"Y"))</f>
        <v/>
      </c>
      <c r="CB6" s="270"/>
      <c r="CC6" s="271"/>
      <c r="CD6" s="272" t="str">
        <f ca="1">IF(DATEDIF(CB6,TODAY(),"Y")=118,"",DATEDIF(CB6,TODAY(),"Y"))</f>
        <v/>
      </c>
      <c r="CE6" s="270"/>
      <c r="CF6" s="271"/>
      <c r="CG6" s="272" t="str">
        <f ca="1">IF(DATEDIF(CE6,TODAY(),"Y")=118,"",DATEDIF(CE6,TODAY(),"Y"))</f>
        <v/>
      </c>
      <c r="CH6" s="270"/>
      <c r="CI6" s="271"/>
      <c r="CJ6" s="272" t="str">
        <f ca="1">IF(DATEDIF(CH6,TODAY(),"Y")=118,"",DATEDIF(CH6,TODAY(),"Y"))</f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2"/>
        <v/>
      </c>
      <c r="CU6" s="264"/>
      <c r="CV6" s="265"/>
      <c r="CW6" s="264"/>
      <c r="CX6" s="264"/>
      <c r="CY6" s="264" t="str">
        <f t="shared" si="3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ref="DM6:DM58" si="6">Infoman</f>
        <v>0</v>
      </c>
      <c r="DN6" s="295" t="str">
        <f t="shared" si="4"/>
        <v/>
      </c>
    </row>
    <row r="7" spans="1:118" x14ac:dyDescent="0.25">
      <c r="A7" s="599" t="str">
        <f t="shared" si="5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ref="I7:I58" si="7">IF(G7="Annulation","",IF(H7=0,"",E7-H7))</f>
        <v/>
      </c>
      <c r="J7" s="312"/>
      <c r="K7" s="268"/>
      <c r="L7" s="277"/>
      <c r="M7" s="279"/>
      <c r="N7" s="280"/>
      <c r="O7" s="280"/>
      <c r="P7" s="455"/>
      <c r="Q7" s="281" t="str">
        <f t="shared" ref="Q7:Q58" si="8">IF(COUNT(AD7)=0,"",AD7)</f>
        <v/>
      </c>
      <c r="R7" s="282">
        <f t="shared" ref="R7:R58" si="9">SUM(M7*12)</f>
        <v>0</v>
      </c>
      <c r="S7" s="268"/>
      <c r="T7" s="283">
        <f t="shared" si="1"/>
        <v>0</v>
      </c>
      <c r="U7" s="284">
        <f>IF(M7=0,0,IF(G7="Annulation","",IF(assurance="ALPTIS",M7*12*T7/100*'1805 Data'!$K$4,IF(assurance="APRIL",M7*12*T7/100*'1805 Data'!$F$4,IF(assurance="ASAF",M7*12*T7/100*'1805 Data'!$I$4,IF(assurance="NEOLIANE",('1805 Data'!$G$5+M7*12*'1805 Data'!$G$4)*T7/100,IF(assurance="NEOLIANE Prev",('1805 Data'!$H$5+M7*12*'1805 Data'!$H$4)*T7/100,IF(assurance="SWISSLIFE",M7*12*T7/100*'1805 Data'!$J$4,IF(assurance="AVIVA",M7*12*T7/100*'1805 Data'!$L$4,IF(assurance="CIPRES",M7*12*T7/100*'1805 Data'!$M$4,IF(assurance="CEGEMA",M7*12*T7/100*'1805 Data'!$N$4,IF(assurance=0,0))))))))))))</f>
        <v>0</v>
      </c>
      <c r="V7" s="298" t="str">
        <f t="shared" ref="V7:V58" si="10">IF(M7="","",IF(G7="Annulation","",IF(typecomm="Précompte",SUM((M7-O7)*T7/100*12)+O7*12*0.15,IF(typecomm="Précompte 1",SUM((M7-O7)*T7/100*12)+O7*12*0.15,IF(typecomm="Linéaire",0,IF(typecomm=0,0))))))</f>
        <v/>
      </c>
      <c r="W7" s="298" t="str">
        <f t="shared" ref="W7:W58" si="11">IF(M7="","",IF(G7="Annulation","",IF(typecomm="Linéaire",SUM((M7-O7)*T7/100)+O7*0.15,IF(typecomm="Précompte 1",0,IF(typecomm="Précompte",0,IF(typecomm=0,0))))))</f>
        <v/>
      </c>
      <c r="X7" s="299">
        <f t="shared" ref="X7:X58" si="12">IF(G7="Annulation",0,IF(typecomm="Linéaire",0,IF(typecomm="Précompte 1",V7-U7,IF(mens=0,0,IF(typecomm="Précompte",V7-U7,IF(typecomm=0,0))))))</f>
        <v>0</v>
      </c>
      <c r="Y7" s="368">
        <f t="shared" ref="Y7:Y58" si="13">IF(G7="Annulation",0,IF(M7="",0,IF(typecomm="Linéaire",SUM(W7-U7/12),IF(typecomm="Précompte 1",0,IF(typecomm="Précompte",0,IF(typecomm=0,0))))))</f>
        <v>0</v>
      </c>
      <c r="Z7" s="314"/>
      <c r="AA7" s="313" t="str">
        <f t="shared" ref="AA7:AA58" si="14">IF(Z7="","",IF(G7="Annulation","",IF(E7="",0,Z7-E7)))</f>
        <v/>
      </c>
      <c r="AB7" s="268" t="s">
        <v>13</v>
      </c>
      <c r="AC7" s="277"/>
      <c r="AD7" s="309" t="str">
        <f t="shared" ref="AD7:AD58" si="15">IF(Z7=43466,"Programmée","")</f>
        <v/>
      </c>
      <c r="AE7" s="286" t="str">
        <f t="shared" ref="AE7:AE58" si="16">IF(Z7=43466,43404,"")</f>
        <v/>
      </c>
      <c r="AF7" s="277"/>
      <c r="AG7" s="275" t="str">
        <f t="shared" ref="AG7:AG58" si="17">(IF(COUNT(Z7)=0,"",IF(G7="Annulation","",IF(K7="SWISSLIFE",Z7+365,IF(K7="AVIVA",Z7+365,IF(K7="NEOLIANE Prev",Z7+365,IF(Z7&lt;42370,42370,IF(Z7&lt;42736,42736,IF(Z7&lt;43101,43101,IF(Z7&lt;43466,43466,IF(Z7&lt;43831,43831,IF(Z7&lt;44197,44197,IF(Z7&lt;44562,44562,IF(Z7&lt;44927,44927))))))))))))))</f>
        <v/>
      </c>
      <c r="AH7" s="287" t="str">
        <f t="shared" ref="AH7:AH58" ca="1" si="18">(IF(COUNT(Z7)=0,"",IF(G7="Annulation","",IF(Z7&gt;0,(Z7-TODAY())/(-365),0))))</f>
        <v/>
      </c>
      <c r="AI7" s="373" t="str">
        <f t="shared" ref="AI7:AI58" ca="1" si="19">(IF(COUNT(Z7)=0,"",IF(G7="Annulation","",IF(K7="SWISSLIFE",Z7+365+IF(Z7&gt;TODAY(),0,365*(DATEDIF(Z7,TODAY(),"Y"))),IF(K7="AVIVA",Z7+365+IF(Z7&gt;TODAY(),0,365*(DATEDIF(Z7,TODAY(),"Y"))),IF(K7="NEOLIANE Prev",Z7+365+IF(Z7&gt;TODAY(),0,365*(DATEDIF(Z7,TODAY(),"Y"))),IF(Z7&lt;=43252,43466,43831))))+365*(année-2018)+IF(année&gt;=2020,1)+IF(((IF(K7="SWISSLIFE",Z7+365+IF(Z7&gt;TODAY(),0,365*(DATEDIF(Z7,TODAY(),"Y"))),IF(K7="AVIVA",Z7+365+IF(Z7&gt;TODAY(),0,365*(DATEDIF(Z7,TODAY(),"Y"))),IF(K7="NEOLIANE Prev",Z7+365+IF(Z7&gt;TODAY(),0,365*(DATEDIF(Z7,TODAY(),"Y"))),IF(Z7&lt;=43252,43466,43831))))+365*(année-2018)+IF(année&gt;=2020,1))-62)&lt;TODAY(),365))))</f>
        <v/>
      </c>
      <c r="AJ7" s="296" t="str">
        <f t="shared" ref="AJ7:AJ58" si="20">IF(G7="Annulation","",IF(Z7="","",AI7-62))</f>
        <v/>
      </c>
      <c r="AK7" s="296" t="str">
        <f t="shared" ref="AK7:AK58" si="21">IF(G7="Annulation","",IF(Z7="","",AI7-92))</f>
        <v/>
      </c>
      <c r="AL7" s="287" t="str">
        <f t="shared" ref="AL7:AL58" si="22">(IF(COUNT(Z7)=0,"",IF(G7="Annulation","",IF(Z7&gt;0,(Z7-AI7)/(-365),0))))</f>
        <v/>
      </c>
      <c r="AM7" s="279">
        <f t="shared" ref="AM7:AM58" si="23">IF(G7="Annulation","",IF(Z7&lt;42736,M7,0))</f>
        <v>0</v>
      </c>
      <c r="AN7" s="279">
        <f t="shared" ref="AN7:AN58" si="24">IF(G7="Annulation","",IF(Z7&gt;=42736,IF(Z7&lt;43101,M7,0),0))</f>
        <v>0</v>
      </c>
      <c r="AO7" s="288">
        <f t="shared" ref="AO7:AO58" si="25">IF(G7="Annulation","",IF(AM7&gt;0,IF(AM7&gt;0,(AM7-AN7)/AM7*(-1),),0))</f>
        <v>0</v>
      </c>
      <c r="AP7" s="279">
        <f t="shared" ref="AP7:AP58" si="26">IF(G7="Annulation","",IF(Z7&gt;=43101,IF(Z7&lt;43466,M7,0),0))</f>
        <v>0</v>
      </c>
      <c r="AQ7" s="288">
        <f t="shared" ref="AQ7:AQ58" si="27">IF(G7="Annulation","",IF(AN7&gt;0,(AN7-AP7)/AN7*(-1),))</f>
        <v>0</v>
      </c>
      <c r="AR7" s="289">
        <f t="shared" ref="AR7:AR58" si="28">IF(G7="Annulation","",IF(AND(AM7&lt;=0,AN7&lt;=0,AO7&lt;=0),0,IF(AND(AM7&lt;=0,AN7&lt;=0,AO7&gt;0),(AP7-AO7)/AO7,0+IF(AND(AM7&lt;=0,AN7&gt;0,AO7&lt;=0),(AP7-AN7)/AN7,0+IF(AND(AM7&gt;0,AN7&lt;=0,AO7&lt;=0),(AP7-AM7)/AM7,0+IF(AND(AM7&lt;=0,AN7&gt;0,AO7&gt;0),(AP7-AN7)/AN7,0+IF(AND(AM7&gt;0,AN7&lt;=0,AO7&gt;0),(AP7-AM7)/AM7,0+IF(AND(AM7&lt;=0,AN7&gt;0,AO7&gt;0),(AP7-AN7)/AN7,0+IF(AND(AM7&gt;0,AN7&gt;0,AO7&lt;=0),(AP7-AM7)/AM7,0+IF(AND(AM7&gt;0,AN7&gt;0,AO7&gt;0),(AP7-AM7)/AM7,0))))))))))</f>
        <v>0</v>
      </c>
      <c r="AS7" s="279">
        <f t="shared" ref="AS7:AS58" si="29">IF(G7="Annulation","",IF(Z7&gt;=43466,IF(Z7&lt;43831,M7,0),0))</f>
        <v>0</v>
      </c>
      <c r="AT7" s="288">
        <f t="shared" ref="AT7:AT58" si="30">IF(G7="Annulation","",IF(AP7&gt;0,(AP7-AS7)/AP7*(-1),0))</f>
        <v>0</v>
      </c>
      <c r="AU7" s="289">
        <f t="shared" ref="AU7:AU58" si="31">IF(G7="Annulation","",IF(AS7&gt;0,IF(AM7&gt;0,(AM7-AS7)/(-AM7),IF(AN7&gt;0,(AN7-AS7)/(-AN7),IF(AP7&gt;0,(AP7-AS7)/(-AP7),0))),0))</f>
        <v>0</v>
      </c>
      <c r="AV7" s="279">
        <f t="shared" ref="AV7:AV58" si="32">IF(G7="Annulation","",IF(Z7&gt;=43831,IF(Z7&lt;44197,M7,0),0))</f>
        <v>0</v>
      </c>
      <c r="AW7" s="288">
        <f t="shared" ref="AW7:AW58" si="33">IF(G7="Annulation","",IF(AS7&gt;0,(AS7-AV7)/AS7*(-1),0))</f>
        <v>0</v>
      </c>
      <c r="AX7" s="289">
        <f t="shared" ref="AX7:AX58" si="34">IF(G7="Annulation","",(IF(AM7&gt;0,(AM7-AV7)/(-AM7),IF(AN7&gt;0,(AN7-AV7)/(-AN7),IF(AP7&gt;0,(AP7-AV7)/(-AP7),IF(AS7&gt;0,(AS7-AV7)/(-AS7),0))))))</f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ref="BL7:BL58" ca="1" si="35">IF(DATEDIF(BJ7,TODAY(),"Y")=118,"",DATEDIF(BJ7,TODAY(),"Y"))</f>
        <v/>
      </c>
      <c r="BM7" s="270"/>
      <c r="BN7" s="271"/>
      <c r="BO7" s="272" t="str">
        <f t="shared" ref="BO7:BO58" ca="1" si="36">IF(DATEDIF(BM7,TODAY(),"Y")=118,"",DATEDIF(BM7,TODAY(),"Y"))</f>
        <v/>
      </c>
      <c r="BP7" s="270"/>
      <c r="BQ7" s="271"/>
      <c r="BR7" s="272" t="str">
        <f t="shared" ref="BR7:BR58" ca="1" si="37">IF(DATEDIF(BP7,TODAY(),"Y")=118,"",DATEDIF(BP7,TODAY(),"Y"))</f>
        <v/>
      </c>
      <c r="BS7" s="270"/>
      <c r="BT7" s="271"/>
      <c r="BU7" s="272" t="str">
        <f t="shared" ref="BU7:BU58" ca="1" si="38">IF(DATEDIF(BS7,TODAY(),"Y")=118,"",DATEDIF(BS7,TODAY(),"Y"))</f>
        <v/>
      </c>
      <c r="BV7" s="270"/>
      <c r="BW7" s="271"/>
      <c r="BX7" s="272" t="str">
        <f t="shared" ref="BX7:BX58" ca="1" si="39">IF(DATEDIF(BV7,TODAY(),"Y")=118,"",DATEDIF(BV7,TODAY(),"Y"))</f>
        <v/>
      </c>
      <c r="BY7" s="270"/>
      <c r="BZ7" s="271"/>
      <c r="CA7" s="272" t="str">
        <f t="shared" ref="CA7:CA58" ca="1" si="40">IF(DATEDIF(BY7,TODAY(),"Y")=118,"",DATEDIF(BY7,TODAY(),"Y"))</f>
        <v/>
      </c>
      <c r="CB7" s="270"/>
      <c r="CC7" s="271"/>
      <c r="CD7" s="272" t="str">
        <f t="shared" ref="CD7:CD58" ca="1" si="41">IF(DATEDIF(CB7,TODAY(),"Y")=118,"",DATEDIF(CB7,TODAY(),"Y"))</f>
        <v/>
      </c>
      <c r="CE7" s="270"/>
      <c r="CF7" s="271"/>
      <c r="CG7" s="272" t="str">
        <f t="shared" ref="CG7:CG58" ca="1" si="42">IF(DATEDIF(CE7,TODAY(),"Y")=118,"",DATEDIF(CE7,TODAY(),"Y"))</f>
        <v/>
      </c>
      <c r="CH7" s="270"/>
      <c r="CI7" s="271"/>
      <c r="CJ7" s="272" t="str">
        <f t="shared" ref="CJ7:CJ58" ca="1" si="43">IF(DATEDIF(CH7,TODAY(),"Y")=118,"",DATEDIF(CH7,TODAY(),"Y"))</f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2"/>
        <v/>
      </c>
      <c r="CU7" s="264"/>
      <c r="CV7" s="265"/>
      <c r="CW7" s="264"/>
      <c r="CX7" s="264"/>
      <c r="CY7" s="264" t="str">
        <f t="shared" si="3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6"/>
        <v>0</v>
      </c>
      <c r="DN7" s="295" t="str">
        <f t="shared" si="4"/>
        <v/>
      </c>
    </row>
    <row r="8" spans="1:118" x14ac:dyDescent="0.25">
      <c r="A8" s="599" t="str">
        <f t="shared" si="5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7"/>
        <v/>
      </c>
      <c r="J8" s="312"/>
      <c r="K8" s="268"/>
      <c r="L8" s="277"/>
      <c r="M8" s="279"/>
      <c r="N8" s="280"/>
      <c r="O8" s="280"/>
      <c r="P8" s="455"/>
      <c r="Q8" s="281" t="str">
        <f t="shared" si="8"/>
        <v/>
      </c>
      <c r="R8" s="282">
        <f t="shared" si="9"/>
        <v>0</v>
      </c>
      <c r="S8" s="268"/>
      <c r="T8" s="283">
        <f t="shared" si="1"/>
        <v>0</v>
      </c>
      <c r="U8" s="284">
        <f>IF(M8=0,0,IF(G8="Annulation","",IF(assurance="ALPTIS",M8*12*T8/100*'1805 Data'!$K$4,IF(assurance="APRIL",M8*12*T8/100*'1805 Data'!$F$4,IF(assurance="ASAF",M8*12*T8/100*'1805 Data'!$I$4,IF(assurance="NEOLIANE",('1805 Data'!$G$5+M8*12*'1805 Data'!$G$4)*T8/100,IF(assurance="NEOLIANE Prev",('1805 Data'!$H$5+M8*12*'1805 Data'!$H$4)*T8/100,IF(assurance="SWISSLIFE",M8*12*T8/100*'1805 Data'!$J$4,IF(assurance="AVIVA",M8*12*T8/100*'1805 Data'!$L$4,IF(assurance="CIPRES",M8*12*T8/100*'1805 Data'!$M$4,IF(assurance="CEGEMA",M8*12*T8/100*'1805 Data'!$N$4,IF(assurance=0,0))))))))))))</f>
        <v>0</v>
      </c>
      <c r="V8" s="298" t="str">
        <f t="shared" si="10"/>
        <v/>
      </c>
      <c r="W8" s="298" t="str">
        <f t="shared" si="11"/>
        <v/>
      </c>
      <c r="X8" s="299">
        <f t="shared" si="12"/>
        <v>0</v>
      </c>
      <c r="Y8" s="368">
        <f t="shared" si="13"/>
        <v>0</v>
      </c>
      <c r="Z8" s="314"/>
      <c r="AA8" s="313" t="str">
        <f t="shared" si="14"/>
        <v/>
      </c>
      <c r="AB8" s="268" t="s">
        <v>13</v>
      </c>
      <c r="AC8" s="277"/>
      <c r="AD8" s="309" t="str">
        <f t="shared" si="15"/>
        <v/>
      </c>
      <c r="AE8" s="286" t="str">
        <f t="shared" si="16"/>
        <v/>
      </c>
      <c r="AF8" s="277"/>
      <c r="AG8" s="275" t="str">
        <f t="shared" si="17"/>
        <v/>
      </c>
      <c r="AH8" s="287" t="str">
        <f t="shared" ca="1" si="18"/>
        <v/>
      </c>
      <c r="AI8" s="373" t="str">
        <f t="shared" ca="1" si="19"/>
        <v/>
      </c>
      <c r="AJ8" s="296" t="str">
        <f t="shared" si="20"/>
        <v/>
      </c>
      <c r="AK8" s="296" t="str">
        <f t="shared" si="21"/>
        <v/>
      </c>
      <c r="AL8" s="287" t="str">
        <f t="shared" si="22"/>
        <v/>
      </c>
      <c r="AM8" s="279">
        <f t="shared" si="23"/>
        <v>0</v>
      </c>
      <c r="AN8" s="279">
        <f t="shared" si="24"/>
        <v>0</v>
      </c>
      <c r="AO8" s="288">
        <f t="shared" si="25"/>
        <v>0</v>
      </c>
      <c r="AP8" s="279">
        <f t="shared" si="26"/>
        <v>0</v>
      </c>
      <c r="AQ8" s="288">
        <f t="shared" si="27"/>
        <v>0</v>
      </c>
      <c r="AR8" s="289">
        <f t="shared" si="28"/>
        <v>0</v>
      </c>
      <c r="AS8" s="279">
        <f t="shared" si="29"/>
        <v>0</v>
      </c>
      <c r="AT8" s="288">
        <f t="shared" si="30"/>
        <v>0</v>
      </c>
      <c r="AU8" s="289">
        <f t="shared" si="31"/>
        <v>0</v>
      </c>
      <c r="AV8" s="279">
        <f t="shared" si="32"/>
        <v>0</v>
      </c>
      <c r="AW8" s="288">
        <f t="shared" si="33"/>
        <v>0</v>
      </c>
      <c r="AX8" s="289">
        <f t="shared" si="34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35"/>
        <v/>
      </c>
      <c r="BM8" s="270"/>
      <c r="BN8" s="271"/>
      <c r="BO8" s="272" t="str">
        <f t="shared" ca="1" si="36"/>
        <v/>
      </c>
      <c r="BP8" s="270"/>
      <c r="BQ8" s="271"/>
      <c r="BR8" s="272" t="str">
        <f t="shared" ca="1" si="37"/>
        <v/>
      </c>
      <c r="BS8" s="270"/>
      <c r="BT8" s="271"/>
      <c r="BU8" s="272" t="str">
        <f t="shared" ca="1" si="38"/>
        <v/>
      </c>
      <c r="BV8" s="270"/>
      <c r="BW8" s="271"/>
      <c r="BX8" s="272" t="str">
        <f t="shared" ca="1" si="39"/>
        <v/>
      </c>
      <c r="BY8" s="270"/>
      <c r="BZ8" s="271"/>
      <c r="CA8" s="272" t="str">
        <f t="shared" ca="1" si="40"/>
        <v/>
      </c>
      <c r="CB8" s="270"/>
      <c r="CC8" s="271"/>
      <c r="CD8" s="272" t="str">
        <f t="shared" ca="1" si="41"/>
        <v/>
      </c>
      <c r="CE8" s="270"/>
      <c r="CF8" s="271"/>
      <c r="CG8" s="272" t="str">
        <f t="shared" ca="1" si="42"/>
        <v/>
      </c>
      <c r="CH8" s="270"/>
      <c r="CI8" s="271"/>
      <c r="CJ8" s="272" t="str">
        <f t="shared" ca="1" si="43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2"/>
        <v/>
      </c>
      <c r="CU8" s="264"/>
      <c r="CV8" s="265"/>
      <c r="CW8" s="264"/>
      <c r="CX8" s="264"/>
      <c r="CY8" s="264" t="str">
        <f t="shared" si="3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6"/>
        <v>0</v>
      </c>
      <c r="DN8" s="295" t="str">
        <f t="shared" si="4"/>
        <v/>
      </c>
    </row>
    <row r="9" spans="1:118" x14ac:dyDescent="0.25">
      <c r="A9" s="599" t="str">
        <f t="shared" si="5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7"/>
        <v/>
      </c>
      <c r="J9" s="312"/>
      <c r="K9" s="268"/>
      <c r="L9" s="277"/>
      <c r="M9" s="279"/>
      <c r="N9" s="280"/>
      <c r="O9" s="280"/>
      <c r="P9" s="455"/>
      <c r="Q9" s="281" t="str">
        <f t="shared" si="8"/>
        <v/>
      </c>
      <c r="R9" s="282">
        <f t="shared" si="9"/>
        <v>0</v>
      </c>
      <c r="S9" s="268"/>
      <c r="T9" s="283">
        <f t="shared" si="1"/>
        <v>0</v>
      </c>
      <c r="U9" s="284">
        <f>IF(M9=0,0,IF(G9="Annulation","",IF(assurance="ALPTIS",M9*12*T9/100*'1805 Data'!$K$4,IF(assurance="APRIL",M9*12*T9/100*'1805 Data'!$F$4,IF(assurance="ASAF",M9*12*T9/100*'1805 Data'!$I$4,IF(assurance="NEOLIANE",('1805 Data'!$G$5+M9*12*'1805 Data'!$G$4)*T9/100,IF(assurance="NEOLIANE Prev",('1805 Data'!$H$5+M9*12*'1805 Data'!$H$4)*T9/100,IF(assurance="SWISSLIFE",M9*12*T9/100*'1805 Data'!$J$4,IF(assurance="AVIVA",M9*12*T9/100*'1805 Data'!$L$4,IF(assurance="CIPRES",M9*12*T9/100*'1805 Data'!$M$4,IF(assurance="CEGEMA",M9*12*T9/100*'1805 Data'!$N$4,IF(assurance=0,0))))))))))))</f>
        <v>0</v>
      </c>
      <c r="V9" s="298" t="str">
        <f t="shared" si="10"/>
        <v/>
      </c>
      <c r="W9" s="298" t="str">
        <f t="shared" si="11"/>
        <v/>
      </c>
      <c r="X9" s="299">
        <f t="shared" si="12"/>
        <v>0</v>
      </c>
      <c r="Y9" s="368">
        <f t="shared" si="13"/>
        <v>0</v>
      </c>
      <c r="Z9" s="314"/>
      <c r="AA9" s="313" t="str">
        <f t="shared" si="14"/>
        <v/>
      </c>
      <c r="AB9" s="268" t="s">
        <v>13</v>
      </c>
      <c r="AC9" s="277"/>
      <c r="AD9" s="309" t="str">
        <f t="shared" si="15"/>
        <v/>
      </c>
      <c r="AE9" s="286" t="str">
        <f t="shared" si="16"/>
        <v/>
      </c>
      <c r="AF9" s="277"/>
      <c r="AG9" s="275" t="str">
        <f t="shared" si="17"/>
        <v/>
      </c>
      <c r="AH9" s="287" t="str">
        <f t="shared" ca="1" si="18"/>
        <v/>
      </c>
      <c r="AI9" s="373" t="str">
        <f t="shared" ca="1" si="19"/>
        <v/>
      </c>
      <c r="AJ9" s="296" t="str">
        <f t="shared" si="20"/>
        <v/>
      </c>
      <c r="AK9" s="296" t="str">
        <f t="shared" si="21"/>
        <v/>
      </c>
      <c r="AL9" s="287" t="str">
        <f t="shared" si="22"/>
        <v/>
      </c>
      <c r="AM9" s="279">
        <f t="shared" si="23"/>
        <v>0</v>
      </c>
      <c r="AN9" s="279">
        <f t="shared" si="24"/>
        <v>0</v>
      </c>
      <c r="AO9" s="288">
        <f t="shared" si="25"/>
        <v>0</v>
      </c>
      <c r="AP9" s="279">
        <f t="shared" si="26"/>
        <v>0</v>
      </c>
      <c r="AQ9" s="288">
        <f t="shared" si="27"/>
        <v>0</v>
      </c>
      <c r="AR9" s="289">
        <f t="shared" si="28"/>
        <v>0</v>
      </c>
      <c r="AS9" s="279">
        <f t="shared" si="29"/>
        <v>0</v>
      </c>
      <c r="AT9" s="288">
        <f t="shared" si="30"/>
        <v>0</v>
      </c>
      <c r="AU9" s="289">
        <f t="shared" si="31"/>
        <v>0</v>
      </c>
      <c r="AV9" s="279">
        <f t="shared" si="32"/>
        <v>0</v>
      </c>
      <c r="AW9" s="288">
        <f t="shared" si="33"/>
        <v>0</v>
      </c>
      <c r="AX9" s="289">
        <f t="shared" si="34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35"/>
        <v/>
      </c>
      <c r="BM9" s="270"/>
      <c r="BN9" s="271"/>
      <c r="BO9" s="272" t="str">
        <f t="shared" ca="1" si="36"/>
        <v/>
      </c>
      <c r="BP9" s="270"/>
      <c r="BQ9" s="271"/>
      <c r="BR9" s="272" t="str">
        <f t="shared" ca="1" si="37"/>
        <v/>
      </c>
      <c r="BS9" s="270"/>
      <c r="BT9" s="271"/>
      <c r="BU9" s="272" t="str">
        <f t="shared" ca="1" si="38"/>
        <v/>
      </c>
      <c r="BV9" s="270"/>
      <c r="BW9" s="271"/>
      <c r="BX9" s="272" t="str">
        <f t="shared" ca="1" si="39"/>
        <v/>
      </c>
      <c r="BY9" s="270"/>
      <c r="BZ9" s="271"/>
      <c r="CA9" s="272" t="str">
        <f t="shared" ca="1" si="40"/>
        <v/>
      </c>
      <c r="CB9" s="270"/>
      <c r="CC9" s="271"/>
      <c r="CD9" s="272" t="str">
        <f t="shared" ca="1" si="41"/>
        <v/>
      </c>
      <c r="CE9" s="270"/>
      <c r="CF9" s="271"/>
      <c r="CG9" s="272" t="str">
        <f t="shared" ca="1" si="42"/>
        <v/>
      </c>
      <c r="CH9" s="270"/>
      <c r="CI9" s="271"/>
      <c r="CJ9" s="272" t="str">
        <f t="shared" ca="1" si="43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2"/>
        <v/>
      </c>
      <c r="CU9" s="264"/>
      <c r="CV9" s="265"/>
      <c r="CW9" s="264"/>
      <c r="CX9" s="264"/>
      <c r="CY9" s="264" t="str">
        <f t="shared" si="3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6"/>
        <v>0</v>
      </c>
      <c r="DN9" s="295" t="str">
        <f t="shared" si="4"/>
        <v/>
      </c>
    </row>
    <row r="10" spans="1:118" x14ac:dyDescent="0.25">
      <c r="A10" s="599" t="str">
        <f t="shared" si="5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7"/>
        <v/>
      </c>
      <c r="J10" s="312"/>
      <c r="K10" s="268"/>
      <c r="L10" s="277"/>
      <c r="M10" s="279"/>
      <c r="N10" s="280"/>
      <c r="O10" s="280"/>
      <c r="P10" s="455"/>
      <c r="Q10" s="281" t="str">
        <f t="shared" si="8"/>
        <v/>
      </c>
      <c r="R10" s="282">
        <f t="shared" si="9"/>
        <v>0</v>
      </c>
      <c r="S10" s="268"/>
      <c r="T10" s="283">
        <f t="shared" si="1"/>
        <v>0</v>
      </c>
      <c r="U10" s="284">
        <f>IF(M10=0,0,IF(G10="Annulation","",IF(assurance="ALPTIS",M10*12*T10/100*'1805 Data'!$K$4,IF(assurance="APRIL",M10*12*T10/100*'1805 Data'!$F$4,IF(assurance="ASAF",M10*12*T10/100*'1805 Data'!$I$4,IF(assurance="NEOLIANE",('1805 Data'!$G$5+M10*12*'1805 Data'!$G$4)*T10/100,IF(assurance="NEOLIANE Prev",('1805 Data'!$H$5+M10*12*'1805 Data'!$H$4)*T10/100,IF(assurance="SWISSLIFE",M10*12*T10/100*'1805 Data'!$J$4,IF(assurance="AVIVA",M10*12*T10/100*'1805 Data'!$L$4,IF(assurance="CIPRES",M10*12*T10/100*'1805 Data'!$M$4,IF(assurance="CEGEMA",M10*12*T10/100*'1805 Data'!$N$4,IF(assurance=0,0))))))))))))</f>
        <v>0</v>
      </c>
      <c r="V10" s="298" t="str">
        <f t="shared" si="10"/>
        <v/>
      </c>
      <c r="W10" s="298" t="str">
        <f t="shared" si="11"/>
        <v/>
      </c>
      <c r="X10" s="299">
        <f t="shared" si="12"/>
        <v>0</v>
      </c>
      <c r="Y10" s="368">
        <f t="shared" si="13"/>
        <v>0</v>
      </c>
      <c r="Z10" s="314"/>
      <c r="AA10" s="313" t="str">
        <f t="shared" si="14"/>
        <v/>
      </c>
      <c r="AB10" s="268" t="s">
        <v>13</v>
      </c>
      <c r="AC10" s="277"/>
      <c r="AD10" s="309" t="str">
        <f t="shared" si="15"/>
        <v/>
      </c>
      <c r="AE10" s="286" t="str">
        <f t="shared" si="16"/>
        <v/>
      </c>
      <c r="AF10" s="277"/>
      <c r="AG10" s="275" t="str">
        <f t="shared" si="17"/>
        <v/>
      </c>
      <c r="AH10" s="287" t="str">
        <f t="shared" ca="1" si="18"/>
        <v/>
      </c>
      <c r="AI10" s="373" t="str">
        <f t="shared" ca="1" si="19"/>
        <v/>
      </c>
      <c r="AJ10" s="296" t="str">
        <f t="shared" si="20"/>
        <v/>
      </c>
      <c r="AK10" s="296" t="str">
        <f t="shared" si="21"/>
        <v/>
      </c>
      <c r="AL10" s="287" t="str">
        <f t="shared" si="22"/>
        <v/>
      </c>
      <c r="AM10" s="279">
        <f t="shared" si="23"/>
        <v>0</v>
      </c>
      <c r="AN10" s="279">
        <f t="shared" si="24"/>
        <v>0</v>
      </c>
      <c r="AO10" s="288">
        <f t="shared" si="25"/>
        <v>0</v>
      </c>
      <c r="AP10" s="279">
        <f t="shared" si="26"/>
        <v>0</v>
      </c>
      <c r="AQ10" s="288">
        <f t="shared" si="27"/>
        <v>0</v>
      </c>
      <c r="AR10" s="289">
        <f t="shared" si="28"/>
        <v>0</v>
      </c>
      <c r="AS10" s="279">
        <f t="shared" si="29"/>
        <v>0</v>
      </c>
      <c r="AT10" s="288">
        <f t="shared" si="30"/>
        <v>0</v>
      </c>
      <c r="AU10" s="289">
        <f t="shared" si="31"/>
        <v>0</v>
      </c>
      <c r="AV10" s="279">
        <f t="shared" si="32"/>
        <v>0</v>
      </c>
      <c r="AW10" s="288">
        <f t="shared" si="33"/>
        <v>0</v>
      </c>
      <c r="AX10" s="289">
        <f t="shared" si="34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35"/>
        <v/>
      </c>
      <c r="BM10" s="270"/>
      <c r="BN10" s="271"/>
      <c r="BO10" s="272" t="str">
        <f t="shared" ca="1" si="36"/>
        <v/>
      </c>
      <c r="BP10" s="270"/>
      <c r="BQ10" s="271"/>
      <c r="BR10" s="272" t="str">
        <f t="shared" ca="1" si="37"/>
        <v/>
      </c>
      <c r="BS10" s="270"/>
      <c r="BT10" s="271"/>
      <c r="BU10" s="272" t="str">
        <f t="shared" ca="1" si="38"/>
        <v/>
      </c>
      <c r="BV10" s="270"/>
      <c r="BW10" s="271"/>
      <c r="BX10" s="272" t="str">
        <f t="shared" ca="1" si="39"/>
        <v/>
      </c>
      <c r="BY10" s="270"/>
      <c r="BZ10" s="271"/>
      <c r="CA10" s="272" t="str">
        <f t="shared" ca="1" si="40"/>
        <v/>
      </c>
      <c r="CB10" s="270"/>
      <c r="CC10" s="271"/>
      <c r="CD10" s="272" t="str">
        <f t="shared" ca="1" si="41"/>
        <v/>
      </c>
      <c r="CE10" s="270"/>
      <c r="CF10" s="271"/>
      <c r="CG10" s="272" t="str">
        <f t="shared" ca="1" si="42"/>
        <v/>
      </c>
      <c r="CH10" s="270"/>
      <c r="CI10" s="271"/>
      <c r="CJ10" s="272" t="str">
        <f t="shared" ca="1" si="43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2"/>
        <v/>
      </c>
      <c r="CU10" s="264"/>
      <c r="CV10" s="265"/>
      <c r="CW10" s="264"/>
      <c r="CX10" s="264"/>
      <c r="CY10" s="264" t="str">
        <f t="shared" si="3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6"/>
        <v>0</v>
      </c>
      <c r="DN10" s="295" t="str">
        <f t="shared" si="4"/>
        <v/>
      </c>
    </row>
    <row r="11" spans="1:118" x14ac:dyDescent="0.25">
      <c r="A11" s="599" t="str">
        <f t="shared" si="5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7"/>
        <v/>
      </c>
      <c r="J11" s="312"/>
      <c r="K11" s="268"/>
      <c r="L11" s="277"/>
      <c r="M11" s="279"/>
      <c r="N11" s="280"/>
      <c r="O11" s="280"/>
      <c r="P11" s="455"/>
      <c r="Q11" s="281" t="str">
        <f t="shared" si="8"/>
        <v/>
      </c>
      <c r="R11" s="282">
        <f t="shared" si="9"/>
        <v>0</v>
      </c>
      <c r="S11" s="268"/>
      <c r="T11" s="283">
        <f t="shared" si="1"/>
        <v>0</v>
      </c>
      <c r="U11" s="284">
        <f>IF(M11=0,0,IF(G11="Annulation","",IF(assurance="ALPTIS",M11*12*T11/100*'1805 Data'!$K$4,IF(assurance="APRIL",M11*12*T11/100*'1805 Data'!$F$4,IF(assurance="ASAF",M11*12*T11/100*'1805 Data'!$I$4,IF(assurance="NEOLIANE",('1805 Data'!$G$5+M11*12*'1805 Data'!$G$4)*T11/100,IF(assurance="NEOLIANE Prev",('1805 Data'!$H$5+M11*12*'1805 Data'!$H$4)*T11/100,IF(assurance="SWISSLIFE",M11*12*T11/100*'1805 Data'!$J$4,IF(assurance="AVIVA",M11*12*T11/100*'1805 Data'!$L$4,IF(assurance="CIPRES",M11*12*T11/100*'1805 Data'!$M$4,IF(assurance="CEGEMA",M11*12*T11/100*'1805 Data'!$N$4,IF(assurance=0,0))))))))))))</f>
        <v>0</v>
      </c>
      <c r="V11" s="298" t="str">
        <f t="shared" si="10"/>
        <v/>
      </c>
      <c r="W11" s="298" t="str">
        <f t="shared" si="11"/>
        <v/>
      </c>
      <c r="X11" s="299">
        <f t="shared" si="12"/>
        <v>0</v>
      </c>
      <c r="Y11" s="368">
        <f t="shared" si="13"/>
        <v>0</v>
      </c>
      <c r="Z11" s="314"/>
      <c r="AA11" s="313" t="str">
        <f t="shared" si="14"/>
        <v/>
      </c>
      <c r="AB11" s="268" t="s">
        <v>13</v>
      </c>
      <c r="AC11" s="277"/>
      <c r="AD11" s="309" t="str">
        <f t="shared" si="15"/>
        <v/>
      </c>
      <c r="AE11" s="286" t="str">
        <f t="shared" si="16"/>
        <v/>
      </c>
      <c r="AF11" s="277"/>
      <c r="AG11" s="275" t="str">
        <f t="shared" si="17"/>
        <v/>
      </c>
      <c r="AH11" s="287" t="str">
        <f t="shared" ca="1" si="18"/>
        <v/>
      </c>
      <c r="AI11" s="373" t="str">
        <f t="shared" ca="1" si="19"/>
        <v/>
      </c>
      <c r="AJ11" s="296" t="str">
        <f t="shared" si="20"/>
        <v/>
      </c>
      <c r="AK11" s="296" t="str">
        <f t="shared" si="21"/>
        <v/>
      </c>
      <c r="AL11" s="287" t="str">
        <f t="shared" si="22"/>
        <v/>
      </c>
      <c r="AM11" s="279">
        <f t="shared" si="23"/>
        <v>0</v>
      </c>
      <c r="AN11" s="279">
        <f t="shared" si="24"/>
        <v>0</v>
      </c>
      <c r="AO11" s="288">
        <f t="shared" si="25"/>
        <v>0</v>
      </c>
      <c r="AP11" s="279">
        <f t="shared" si="26"/>
        <v>0</v>
      </c>
      <c r="AQ11" s="288">
        <f t="shared" si="27"/>
        <v>0</v>
      </c>
      <c r="AR11" s="289">
        <f t="shared" si="28"/>
        <v>0</v>
      </c>
      <c r="AS11" s="279">
        <f t="shared" si="29"/>
        <v>0</v>
      </c>
      <c r="AT11" s="288">
        <f t="shared" si="30"/>
        <v>0</v>
      </c>
      <c r="AU11" s="289">
        <f t="shared" si="31"/>
        <v>0</v>
      </c>
      <c r="AV11" s="279">
        <f t="shared" si="32"/>
        <v>0</v>
      </c>
      <c r="AW11" s="288">
        <f t="shared" si="33"/>
        <v>0</v>
      </c>
      <c r="AX11" s="289">
        <f t="shared" si="34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35"/>
        <v/>
      </c>
      <c r="BM11" s="270"/>
      <c r="BN11" s="271"/>
      <c r="BO11" s="272" t="str">
        <f t="shared" ca="1" si="36"/>
        <v/>
      </c>
      <c r="BP11" s="270"/>
      <c r="BQ11" s="271"/>
      <c r="BR11" s="272" t="str">
        <f t="shared" ca="1" si="37"/>
        <v/>
      </c>
      <c r="BS11" s="270"/>
      <c r="BT11" s="271"/>
      <c r="BU11" s="272" t="str">
        <f t="shared" ca="1" si="38"/>
        <v/>
      </c>
      <c r="BV11" s="270"/>
      <c r="BW11" s="271"/>
      <c r="BX11" s="272" t="str">
        <f t="shared" ca="1" si="39"/>
        <v/>
      </c>
      <c r="BY11" s="270"/>
      <c r="BZ11" s="271"/>
      <c r="CA11" s="272" t="str">
        <f t="shared" ca="1" si="40"/>
        <v/>
      </c>
      <c r="CB11" s="270"/>
      <c r="CC11" s="271"/>
      <c r="CD11" s="272" t="str">
        <f t="shared" ca="1" si="41"/>
        <v/>
      </c>
      <c r="CE11" s="270"/>
      <c r="CF11" s="271"/>
      <c r="CG11" s="272" t="str">
        <f t="shared" ca="1" si="42"/>
        <v/>
      </c>
      <c r="CH11" s="270"/>
      <c r="CI11" s="271"/>
      <c r="CJ11" s="272" t="str">
        <f t="shared" ca="1" si="43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2"/>
        <v/>
      </c>
      <c r="CU11" s="264"/>
      <c r="CV11" s="265"/>
      <c r="CW11" s="264"/>
      <c r="CX11" s="264"/>
      <c r="CY11" s="264" t="str">
        <f t="shared" si="3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6"/>
        <v>0</v>
      </c>
      <c r="DN11" s="295" t="str">
        <f t="shared" si="4"/>
        <v/>
      </c>
    </row>
    <row r="12" spans="1:118" x14ac:dyDescent="0.25">
      <c r="A12" s="599" t="str">
        <f t="shared" si="5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si="7"/>
        <v/>
      </c>
      <c r="J12" s="312"/>
      <c r="K12" s="268"/>
      <c r="L12" s="277"/>
      <c r="M12" s="279"/>
      <c r="N12" s="280"/>
      <c r="O12" s="280"/>
      <c r="P12" s="455"/>
      <c r="Q12" s="281" t="str">
        <f t="shared" si="8"/>
        <v/>
      </c>
      <c r="R12" s="282">
        <f t="shared" si="9"/>
        <v>0</v>
      </c>
      <c r="S12" s="268"/>
      <c r="T12" s="283">
        <f t="shared" si="1"/>
        <v>0</v>
      </c>
      <c r="U12" s="284">
        <f>IF(M12=0,0,IF(G12="Annulation","",IF(assurance="ALPTIS",M12*12*T12/100*'1805 Data'!$K$4,IF(assurance="APRIL",M12*12*T12/100*'1805 Data'!$F$4,IF(assurance="ASAF",M12*12*T12/100*'1805 Data'!$I$4,IF(assurance="NEOLIANE",('1805 Data'!$G$5+M12*12*'1805 Data'!$G$4)*T12/100,IF(assurance="NEOLIANE Prev",('1805 Data'!$H$5+M12*12*'1805 Data'!$H$4)*T12/100,IF(assurance="SWISSLIFE",M12*12*T12/100*'1805 Data'!$J$4,IF(assurance="AVIVA",M12*12*T12/100*'1805 Data'!$L$4,IF(assurance="CIPRES",M12*12*T12/100*'1805 Data'!$M$4,IF(assurance="CEGEMA",M12*12*T12/100*'1805 Data'!$N$4,IF(assurance=0,0))))))))))))</f>
        <v>0</v>
      </c>
      <c r="V12" s="298" t="str">
        <f t="shared" si="10"/>
        <v/>
      </c>
      <c r="W12" s="298" t="str">
        <f t="shared" si="11"/>
        <v/>
      </c>
      <c r="X12" s="299">
        <f t="shared" si="12"/>
        <v>0</v>
      </c>
      <c r="Y12" s="368">
        <f t="shared" si="13"/>
        <v>0</v>
      </c>
      <c r="Z12" s="314"/>
      <c r="AA12" s="313" t="str">
        <f t="shared" si="14"/>
        <v/>
      </c>
      <c r="AB12" s="268" t="s">
        <v>13</v>
      </c>
      <c r="AC12" s="277"/>
      <c r="AD12" s="309" t="str">
        <f t="shared" si="15"/>
        <v/>
      </c>
      <c r="AE12" s="286" t="str">
        <f t="shared" si="16"/>
        <v/>
      </c>
      <c r="AF12" s="277"/>
      <c r="AG12" s="275" t="str">
        <f t="shared" si="17"/>
        <v/>
      </c>
      <c r="AH12" s="287" t="str">
        <f t="shared" ca="1" si="18"/>
        <v/>
      </c>
      <c r="AI12" s="373" t="str">
        <f t="shared" ca="1" si="19"/>
        <v/>
      </c>
      <c r="AJ12" s="296" t="str">
        <f t="shared" si="20"/>
        <v/>
      </c>
      <c r="AK12" s="296" t="str">
        <f t="shared" si="21"/>
        <v/>
      </c>
      <c r="AL12" s="287" t="str">
        <f t="shared" si="22"/>
        <v/>
      </c>
      <c r="AM12" s="279">
        <f t="shared" si="23"/>
        <v>0</v>
      </c>
      <c r="AN12" s="279">
        <f t="shared" si="24"/>
        <v>0</v>
      </c>
      <c r="AO12" s="288">
        <f t="shared" si="25"/>
        <v>0</v>
      </c>
      <c r="AP12" s="279">
        <f t="shared" si="26"/>
        <v>0</v>
      </c>
      <c r="AQ12" s="288">
        <f t="shared" si="27"/>
        <v>0</v>
      </c>
      <c r="AR12" s="289">
        <f t="shared" si="28"/>
        <v>0</v>
      </c>
      <c r="AS12" s="279">
        <f t="shared" si="29"/>
        <v>0</v>
      </c>
      <c r="AT12" s="288">
        <f t="shared" si="30"/>
        <v>0</v>
      </c>
      <c r="AU12" s="289">
        <f t="shared" si="31"/>
        <v>0</v>
      </c>
      <c r="AV12" s="279">
        <f t="shared" si="32"/>
        <v>0</v>
      </c>
      <c r="AW12" s="288">
        <f t="shared" si="33"/>
        <v>0</v>
      </c>
      <c r="AX12" s="289">
        <f t="shared" si="34"/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ca="1" si="35"/>
        <v/>
      </c>
      <c r="BM12" s="270"/>
      <c r="BN12" s="271"/>
      <c r="BO12" s="272" t="str">
        <f t="shared" ca="1" si="36"/>
        <v/>
      </c>
      <c r="BP12" s="270"/>
      <c r="BQ12" s="271"/>
      <c r="BR12" s="272" t="str">
        <f t="shared" ca="1" si="37"/>
        <v/>
      </c>
      <c r="BS12" s="270"/>
      <c r="BT12" s="271"/>
      <c r="BU12" s="272" t="str">
        <f t="shared" ca="1" si="38"/>
        <v/>
      </c>
      <c r="BV12" s="270"/>
      <c r="BW12" s="271"/>
      <c r="BX12" s="272" t="str">
        <f t="shared" ca="1" si="39"/>
        <v/>
      </c>
      <c r="BY12" s="270"/>
      <c r="BZ12" s="271"/>
      <c r="CA12" s="272" t="str">
        <f t="shared" ca="1" si="40"/>
        <v/>
      </c>
      <c r="CB12" s="270"/>
      <c r="CC12" s="271"/>
      <c r="CD12" s="272" t="str">
        <f t="shared" ca="1" si="41"/>
        <v/>
      </c>
      <c r="CE12" s="270"/>
      <c r="CF12" s="271"/>
      <c r="CG12" s="272" t="str">
        <f t="shared" ca="1" si="42"/>
        <v/>
      </c>
      <c r="CH12" s="270"/>
      <c r="CI12" s="271"/>
      <c r="CJ12" s="272" t="str">
        <f t="shared" ca="1" si="43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2"/>
        <v/>
      </c>
      <c r="CU12" s="264"/>
      <c r="CV12" s="265"/>
      <c r="CW12" s="264"/>
      <c r="CX12" s="264"/>
      <c r="CY12" s="264" t="str">
        <f t="shared" si="3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si="6"/>
        <v>0</v>
      </c>
      <c r="DN12" s="295" t="str">
        <f t="shared" si="4"/>
        <v/>
      </c>
    </row>
    <row r="13" spans="1:118" x14ac:dyDescent="0.25">
      <c r="A13" s="599" t="str">
        <f t="shared" si="5"/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si="7"/>
        <v/>
      </c>
      <c r="J13" s="312"/>
      <c r="K13" s="268"/>
      <c r="L13" s="277"/>
      <c r="M13" s="279"/>
      <c r="N13" s="280"/>
      <c r="O13" s="280"/>
      <c r="P13" s="455"/>
      <c r="Q13" s="281" t="str">
        <f t="shared" si="8"/>
        <v/>
      </c>
      <c r="R13" s="282">
        <f t="shared" si="9"/>
        <v>0</v>
      </c>
      <c r="S13" s="268"/>
      <c r="T13" s="283">
        <f t="shared" si="1"/>
        <v>0</v>
      </c>
      <c r="U13" s="284">
        <f>IF(M13=0,0,IF(G13="Annulation","",IF(assurance="ALPTIS",M13*12*T13/100*'1805 Data'!$K$4,IF(assurance="APRIL",M13*12*T13/100*'1805 Data'!$F$4,IF(assurance="ASAF",M13*12*T13/100*'1805 Data'!$I$4,IF(assurance="NEOLIANE",('1805 Data'!$G$5+M13*12*'1805 Data'!$G$4)*T13/100,IF(assurance="NEOLIANE Prev",('1805 Data'!$H$5+M13*12*'1805 Data'!$H$4)*T13/100,IF(assurance="SWISSLIFE",M13*12*T13/100*'1805 Data'!$J$4,IF(assurance="AVIVA",M13*12*T13/100*'1805 Data'!$L$4,IF(assurance="CIPRES",M13*12*T13/100*'1805 Data'!$M$4,IF(assurance="CEGEMA",M13*12*T13/100*'1805 Data'!$N$4,IF(assurance=0,0))))))))))))</f>
        <v>0</v>
      </c>
      <c r="V13" s="298" t="str">
        <f t="shared" si="10"/>
        <v/>
      </c>
      <c r="W13" s="298" t="str">
        <f t="shared" si="11"/>
        <v/>
      </c>
      <c r="X13" s="299">
        <f t="shared" si="12"/>
        <v>0</v>
      </c>
      <c r="Y13" s="368">
        <f t="shared" si="13"/>
        <v>0</v>
      </c>
      <c r="Z13" s="314"/>
      <c r="AA13" s="313" t="str">
        <f t="shared" si="14"/>
        <v/>
      </c>
      <c r="AB13" s="268" t="s">
        <v>13</v>
      </c>
      <c r="AC13" s="277"/>
      <c r="AD13" s="309" t="str">
        <f t="shared" si="15"/>
        <v/>
      </c>
      <c r="AE13" s="286" t="str">
        <f t="shared" si="16"/>
        <v/>
      </c>
      <c r="AF13" s="277"/>
      <c r="AG13" s="275" t="str">
        <f t="shared" si="17"/>
        <v/>
      </c>
      <c r="AH13" s="287" t="str">
        <f t="shared" ca="1" si="18"/>
        <v/>
      </c>
      <c r="AI13" s="373" t="str">
        <f t="shared" ca="1" si="19"/>
        <v/>
      </c>
      <c r="AJ13" s="296" t="str">
        <f t="shared" si="20"/>
        <v/>
      </c>
      <c r="AK13" s="296" t="str">
        <f t="shared" si="21"/>
        <v/>
      </c>
      <c r="AL13" s="287" t="str">
        <f t="shared" si="22"/>
        <v/>
      </c>
      <c r="AM13" s="279">
        <f t="shared" si="23"/>
        <v>0</v>
      </c>
      <c r="AN13" s="279">
        <f t="shared" si="24"/>
        <v>0</v>
      </c>
      <c r="AO13" s="288">
        <f t="shared" si="25"/>
        <v>0</v>
      </c>
      <c r="AP13" s="279">
        <f t="shared" si="26"/>
        <v>0</v>
      </c>
      <c r="AQ13" s="288">
        <f t="shared" si="27"/>
        <v>0</v>
      </c>
      <c r="AR13" s="289">
        <f t="shared" si="28"/>
        <v>0</v>
      </c>
      <c r="AS13" s="279">
        <f t="shared" si="29"/>
        <v>0</v>
      </c>
      <c r="AT13" s="288">
        <f t="shared" si="30"/>
        <v>0</v>
      </c>
      <c r="AU13" s="289">
        <f t="shared" si="31"/>
        <v>0</v>
      </c>
      <c r="AV13" s="279">
        <f t="shared" si="32"/>
        <v>0</v>
      </c>
      <c r="AW13" s="288">
        <f t="shared" si="33"/>
        <v>0</v>
      </c>
      <c r="AX13" s="289">
        <f t="shared" si="34"/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ca="1" si="35"/>
        <v/>
      </c>
      <c r="BM13" s="270"/>
      <c r="BN13" s="271"/>
      <c r="BO13" s="272" t="str">
        <f t="shared" ca="1" si="36"/>
        <v/>
      </c>
      <c r="BP13" s="270"/>
      <c r="BQ13" s="271"/>
      <c r="BR13" s="272" t="str">
        <f t="shared" ca="1" si="37"/>
        <v/>
      </c>
      <c r="BS13" s="270"/>
      <c r="BT13" s="271"/>
      <c r="BU13" s="272" t="str">
        <f t="shared" ca="1" si="38"/>
        <v/>
      </c>
      <c r="BV13" s="270"/>
      <c r="BW13" s="271"/>
      <c r="BX13" s="272" t="str">
        <f t="shared" ca="1" si="39"/>
        <v/>
      </c>
      <c r="BY13" s="270"/>
      <c r="BZ13" s="271"/>
      <c r="CA13" s="272" t="str">
        <f t="shared" ca="1" si="40"/>
        <v/>
      </c>
      <c r="CB13" s="270"/>
      <c r="CC13" s="271"/>
      <c r="CD13" s="272" t="str">
        <f t="shared" ca="1" si="41"/>
        <v/>
      </c>
      <c r="CE13" s="270"/>
      <c r="CF13" s="271"/>
      <c r="CG13" s="272" t="str">
        <f t="shared" ca="1" si="42"/>
        <v/>
      </c>
      <c r="CH13" s="270"/>
      <c r="CI13" s="271"/>
      <c r="CJ13" s="272" t="str">
        <f t="shared" ca="1" si="43"/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2"/>
        <v/>
      </c>
      <c r="CU13" s="264"/>
      <c r="CV13" s="265"/>
      <c r="CW13" s="264"/>
      <c r="CX13" s="264"/>
      <c r="CY13" s="264" t="str">
        <f t="shared" si="3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si="6"/>
        <v>0</v>
      </c>
      <c r="DN13" s="295" t="str">
        <f t="shared" si="4"/>
        <v/>
      </c>
    </row>
    <row r="14" spans="1:118" x14ac:dyDescent="0.25">
      <c r="A14" s="599" t="str">
        <f t="shared" si="5"/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7"/>
        <v/>
      </c>
      <c r="J14" s="312"/>
      <c r="K14" s="268"/>
      <c r="L14" s="277"/>
      <c r="M14" s="279"/>
      <c r="N14" s="280"/>
      <c r="O14" s="280"/>
      <c r="P14" s="455"/>
      <c r="Q14" s="281" t="str">
        <f t="shared" si="8"/>
        <v/>
      </c>
      <c r="R14" s="282">
        <f t="shared" si="9"/>
        <v>0</v>
      </c>
      <c r="S14" s="268"/>
      <c r="T14" s="283">
        <f t="shared" si="1"/>
        <v>0</v>
      </c>
      <c r="U14" s="284">
        <f>IF(M14=0,0,IF(G14="Annulation","",IF(assurance="ALPTIS",M14*12*T14/100*'1805 Data'!$K$4,IF(assurance="APRIL",M14*12*T14/100*'1805 Data'!$F$4,IF(assurance="ASAF",M14*12*T14/100*'1805 Data'!$I$4,IF(assurance="NEOLIANE",('1805 Data'!$G$5+M14*12*'1805 Data'!$G$4)*T14/100,IF(assurance="NEOLIANE Prev",('1805 Data'!$H$5+M14*12*'1805 Data'!$H$4)*T14/100,IF(assurance="SWISSLIFE",M14*12*T14/100*'1805 Data'!$J$4,IF(assurance="AVIVA",M14*12*T14/100*'1805 Data'!$L$4,IF(assurance="CIPRES",M14*12*T14/100*'1805 Data'!$M$4,IF(assurance="CEGEMA",M14*12*T14/100*'1805 Data'!$N$4,IF(assurance=0,0))))))))))))</f>
        <v>0</v>
      </c>
      <c r="V14" s="298" t="str">
        <f t="shared" si="10"/>
        <v/>
      </c>
      <c r="W14" s="298" t="str">
        <f t="shared" si="11"/>
        <v/>
      </c>
      <c r="X14" s="299">
        <f t="shared" si="12"/>
        <v>0</v>
      </c>
      <c r="Y14" s="368">
        <f t="shared" si="13"/>
        <v>0</v>
      </c>
      <c r="Z14" s="314"/>
      <c r="AA14" s="313" t="str">
        <f t="shared" si="14"/>
        <v/>
      </c>
      <c r="AB14" s="268" t="s">
        <v>13</v>
      </c>
      <c r="AC14" s="277"/>
      <c r="AD14" s="309" t="str">
        <f t="shared" si="15"/>
        <v/>
      </c>
      <c r="AE14" s="286" t="str">
        <f t="shared" si="16"/>
        <v/>
      </c>
      <c r="AF14" s="277"/>
      <c r="AG14" s="275" t="str">
        <f t="shared" si="17"/>
        <v/>
      </c>
      <c r="AH14" s="287" t="str">
        <f t="shared" ca="1" si="18"/>
        <v/>
      </c>
      <c r="AI14" s="373" t="str">
        <f t="shared" ca="1" si="19"/>
        <v/>
      </c>
      <c r="AJ14" s="296" t="str">
        <f t="shared" si="20"/>
        <v/>
      </c>
      <c r="AK14" s="296" t="str">
        <f t="shared" si="21"/>
        <v/>
      </c>
      <c r="AL14" s="287" t="str">
        <f t="shared" si="22"/>
        <v/>
      </c>
      <c r="AM14" s="279">
        <f t="shared" si="23"/>
        <v>0</v>
      </c>
      <c r="AN14" s="279">
        <f t="shared" si="24"/>
        <v>0</v>
      </c>
      <c r="AO14" s="288">
        <f t="shared" si="25"/>
        <v>0</v>
      </c>
      <c r="AP14" s="279">
        <f t="shared" si="26"/>
        <v>0</v>
      </c>
      <c r="AQ14" s="288">
        <f t="shared" si="27"/>
        <v>0</v>
      </c>
      <c r="AR14" s="289">
        <f t="shared" si="28"/>
        <v>0</v>
      </c>
      <c r="AS14" s="279">
        <f t="shared" si="29"/>
        <v>0</v>
      </c>
      <c r="AT14" s="288">
        <f t="shared" si="30"/>
        <v>0</v>
      </c>
      <c r="AU14" s="289">
        <f t="shared" si="31"/>
        <v>0</v>
      </c>
      <c r="AV14" s="279">
        <f t="shared" si="32"/>
        <v>0</v>
      </c>
      <c r="AW14" s="288">
        <f t="shared" si="33"/>
        <v>0</v>
      </c>
      <c r="AX14" s="289">
        <f t="shared" si="34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35"/>
        <v/>
      </c>
      <c r="BM14" s="270"/>
      <c r="BN14" s="271"/>
      <c r="BO14" s="272" t="str">
        <f t="shared" ca="1" si="36"/>
        <v/>
      </c>
      <c r="BP14" s="270"/>
      <c r="BQ14" s="271"/>
      <c r="BR14" s="272" t="str">
        <f t="shared" ca="1" si="37"/>
        <v/>
      </c>
      <c r="BS14" s="270"/>
      <c r="BT14" s="271"/>
      <c r="BU14" s="272" t="str">
        <f t="shared" ca="1" si="38"/>
        <v/>
      </c>
      <c r="BV14" s="270"/>
      <c r="BW14" s="271"/>
      <c r="BX14" s="272" t="str">
        <f t="shared" ca="1" si="39"/>
        <v/>
      </c>
      <c r="BY14" s="270"/>
      <c r="BZ14" s="271"/>
      <c r="CA14" s="272" t="str">
        <f t="shared" ca="1" si="40"/>
        <v/>
      </c>
      <c r="CB14" s="270"/>
      <c r="CC14" s="271"/>
      <c r="CD14" s="272" t="str">
        <f t="shared" ca="1" si="41"/>
        <v/>
      </c>
      <c r="CE14" s="270"/>
      <c r="CF14" s="271"/>
      <c r="CG14" s="272" t="str">
        <f t="shared" ca="1" si="42"/>
        <v/>
      </c>
      <c r="CH14" s="270"/>
      <c r="CI14" s="271"/>
      <c r="CJ14" s="272" t="str">
        <f t="shared" ca="1" si="43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2"/>
        <v/>
      </c>
      <c r="CU14" s="264"/>
      <c r="CV14" s="265"/>
      <c r="CW14" s="264"/>
      <c r="CX14" s="264"/>
      <c r="CY14" s="264" t="str">
        <f t="shared" si="3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6"/>
        <v>0</v>
      </c>
      <c r="DN14" s="295" t="str">
        <f t="shared" si="4"/>
        <v/>
      </c>
    </row>
    <row r="15" spans="1:118" x14ac:dyDescent="0.25">
      <c r="A15" s="599" t="str">
        <f t="shared" si="5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7"/>
        <v/>
      </c>
      <c r="J15" s="312"/>
      <c r="K15" s="268"/>
      <c r="L15" s="277"/>
      <c r="M15" s="279"/>
      <c r="N15" s="280"/>
      <c r="O15" s="280"/>
      <c r="P15" s="455"/>
      <c r="Q15" s="281" t="str">
        <f t="shared" si="8"/>
        <v/>
      </c>
      <c r="R15" s="282">
        <f t="shared" si="9"/>
        <v>0</v>
      </c>
      <c r="S15" s="268"/>
      <c r="T15" s="283">
        <f t="shared" si="1"/>
        <v>0</v>
      </c>
      <c r="U15" s="284">
        <f>IF(M15=0,0,IF(G15="Annulation","",IF(assurance="ALPTIS",M15*12*T15/100*'1805 Data'!$K$4,IF(assurance="APRIL",M15*12*T15/100*'1805 Data'!$F$4,IF(assurance="ASAF",M15*12*T15/100*'1805 Data'!$I$4,IF(assurance="NEOLIANE",('1805 Data'!$G$5+M15*12*'1805 Data'!$G$4)*T15/100,IF(assurance="NEOLIANE Prev",('1805 Data'!$H$5+M15*12*'1805 Data'!$H$4)*T15/100,IF(assurance="SWISSLIFE",M15*12*T15/100*'1805 Data'!$J$4,IF(assurance="AVIVA",M15*12*T15/100*'1805 Data'!$L$4,IF(assurance="CIPRES",M15*12*T15/100*'1805 Data'!$M$4,IF(assurance="CEGEMA",M15*12*T15/100*'1805 Data'!$N$4,IF(assurance=0,0))))))))))))</f>
        <v>0</v>
      </c>
      <c r="V15" s="298" t="str">
        <f t="shared" si="10"/>
        <v/>
      </c>
      <c r="W15" s="298" t="str">
        <f t="shared" si="11"/>
        <v/>
      </c>
      <c r="X15" s="299">
        <f t="shared" si="12"/>
        <v>0</v>
      </c>
      <c r="Y15" s="368">
        <f t="shared" si="13"/>
        <v>0</v>
      </c>
      <c r="Z15" s="314"/>
      <c r="AA15" s="313" t="str">
        <f t="shared" si="14"/>
        <v/>
      </c>
      <c r="AB15" s="268" t="s">
        <v>13</v>
      </c>
      <c r="AC15" s="277"/>
      <c r="AD15" s="309" t="str">
        <f t="shared" si="15"/>
        <v/>
      </c>
      <c r="AE15" s="286" t="str">
        <f t="shared" si="16"/>
        <v/>
      </c>
      <c r="AF15" s="277"/>
      <c r="AG15" s="275" t="str">
        <f t="shared" si="17"/>
        <v/>
      </c>
      <c r="AH15" s="287" t="str">
        <f t="shared" ca="1" si="18"/>
        <v/>
      </c>
      <c r="AI15" s="373" t="str">
        <f t="shared" ca="1" si="19"/>
        <v/>
      </c>
      <c r="AJ15" s="296" t="str">
        <f t="shared" si="20"/>
        <v/>
      </c>
      <c r="AK15" s="296" t="str">
        <f t="shared" si="21"/>
        <v/>
      </c>
      <c r="AL15" s="287" t="str">
        <f t="shared" si="22"/>
        <v/>
      </c>
      <c r="AM15" s="279">
        <f t="shared" si="23"/>
        <v>0</v>
      </c>
      <c r="AN15" s="279">
        <f t="shared" si="24"/>
        <v>0</v>
      </c>
      <c r="AO15" s="288">
        <f t="shared" si="25"/>
        <v>0</v>
      </c>
      <c r="AP15" s="279">
        <f t="shared" si="26"/>
        <v>0</v>
      </c>
      <c r="AQ15" s="288">
        <f t="shared" si="27"/>
        <v>0</v>
      </c>
      <c r="AR15" s="289">
        <f t="shared" si="28"/>
        <v>0</v>
      </c>
      <c r="AS15" s="279">
        <f t="shared" si="29"/>
        <v>0</v>
      </c>
      <c r="AT15" s="288">
        <f t="shared" si="30"/>
        <v>0</v>
      </c>
      <c r="AU15" s="289">
        <f t="shared" si="31"/>
        <v>0</v>
      </c>
      <c r="AV15" s="279">
        <f t="shared" si="32"/>
        <v>0</v>
      </c>
      <c r="AW15" s="288">
        <f t="shared" si="33"/>
        <v>0</v>
      </c>
      <c r="AX15" s="289">
        <f t="shared" si="34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35"/>
        <v/>
      </c>
      <c r="BM15" s="270"/>
      <c r="BN15" s="271"/>
      <c r="BO15" s="272" t="str">
        <f t="shared" ca="1" si="36"/>
        <v/>
      </c>
      <c r="BP15" s="270"/>
      <c r="BQ15" s="271"/>
      <c r="BR15" s="272" t="str">
        <f t="shared" ca="1" si="37"/>
        <v/>
      </c>
      <c r="BS15" s="270"/>
      <c r="BT15" s="271"/>
      <c r="BU15" s="272" t="str">
        <f t="shared" ca="1" si="38"/>
        <v/>
      </c>
      <c r="BV15" s="270"/>
      <c r="BW15" s="271"/>
      <c r="BX15" s="272" t="str">
        <f t="shared" ca="1" si="39"/>
        <v/>
      </c>
      <c r="BY15" s="270"/>
      <c r="BZ15" s="271"/>
      <c r="CA15" s="272" t="str">
        <f t="shared" ca="1" si="40"/>
        <v/>
      </c>
      <c r="CB15" s="270"/>
      <c r="CC15" s="271"/>
      <c r="CD15" s="272" t="str">
        <f t="shared" ca="1" si="41"/>
        <v/>
      </c>
      <c r="CE15" s="270"/>
      <c r="CF15" s="271"/>
      <c r="CG15" s="272" t="str">
        <f t="shared" ca="1" si="42"/>
        <v/>
      </c>
      <c r="CH15" s="270"/>
      <c r="CI15" s="271"/>
      <c r="CJ15" s="272" t="str">
        <f t="shared" ca="1" si="43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2"/>
        <v/>
      </c>
      <c r="CU15" s="264"/>
      <c r="CV15" s="265"/>
      <c r="CW15" s="264"/>
      <c r="CX15" s="264"/>
      <c r="CY15" s="264" t="str">
        <f t="shared" si="3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6"/>
        <v>0</v>
      </c>
      <c r="DN15" s="295" t="str">
        <f t="shared" si="4"/>
        <v/>
      </c>
    </row>
    <row r="16" spans="1:118" x14ac:dyDescent="0.25">
      <c r="A16" s="599" t="str">
        <f t="shared" si="5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7"/>
        <v/>
      </c>
      <c r="J16" s="312"/>
      <c r="K16" s="268"/>
      <c r="L16" s="277"/>
      <c r="M16" s="279"/>
      <c r="N16" s="280"/>
      <c r="O16" s="280"/>
      <c r="P16" s="455"/>
      <c r="Q16" s="281" t="str">
        <f t="shared" si="8"/>
        <v/>
      </c>
      <c r="R16" s="282">
        <f t="shared" si="9"/>
        <v>0</v>
      </c>
      <c r="S16" s="268"/>
      <c r="T16" s="283">
        <f t="shared" si="1"/>
        <v>0</v>
      </c>
      <c r="U16" s="284">
        <f>IF(M16=0,0,IF(G16="Annulation","",IF(assurance="ALPTIS",M16*12*T16/100*'1805 Data'!$K$4,IF(assurance="APRIL",M16*12*T16/100*'1805 Data'!$F$4,IF(assurance="ASAF",M16*12*T16/100*'1805 Data'!$I$4,IF(assurance="NEOLIANE",('1805 Data'!$G$5+M16*12*'1805 Data'!$G$4)*T16/100,IF(assurance="NEOLIANE Prev",('1805 Data'!$H$5+M16*12*'1805 Data'!$H$4)*T16/100,IF(assurance="SWISSLIFE",M16*12*T16/100*'1805 Data'!$J$4,IF(assurance="AVIVA",M16*12*T16/100*'1805 Data'!$L$4,IF(assurance="CIPRES",M16*12*T16/100*'1805 Data'!$M$4,IF(assurance="CEGEMA",M16*12*T16/100*'1805 Data'!$N$4,IF(assurance=0,0))))))))))))</f>
        <v>0</v>
      </c>
      <c r="V16" s="298" t="str">
        <f t="shared" si="10"/>
        <v/>
      </c>
      <c r="W16" s="298" t="str">
        <f t="shared" si="11"/>
        <v/>
      </c>
      <c r="X16" s="299">
        <f t="shared" si="12"/>
        <v>0</v>
      </c>
      <c r="Y16" s="368">
        <f t="shared" si="13"/>
        <v>0</v>
      </c>
      <c r="Z16" s="314"/>
      <c r="AA16" s="313" t="str">
        <f t="shared" si="14"/>
        <v/>
      </c>
      <c r="AB16" s="268" t="s">
        <v>13</v>
      </c>
      <c r="AC16" s="277"/>
      <c r="AD16" s="309" t="str">
        <f t="shared" si="15"/>
        <v/>
      </c>
      <c r="AE16" s="286" t="str">
        <f t="shared" si="16"/>
        <v/>
      </c>
      <c r="AF16" s="277"/>
      <c r="AG16" s="275" t="str">
        <f t="shared" si="17"/>
        <v/>
      </c>
      <c r="AH16" s="287" t="str">
        <f t="shared" ca="1" si="18"/>
        <v/>
      </c>
      <c r="AI16" s="373" t="str">
        <f t="shared" ca="1" si="19"/>
        <v/>
      </c>
      <c r="AJ16" s="296" t="str">
        <f t="shared" si="20"/>
        <v/>
      </c>
      <c r="AK16" s="296" t="str">
        <f t="shared" si="21"/>
        <v/>
      </c>
      <c r="AL16" s="287" t="str">
        <f t="shared" si="22"/>
        <v/>
      </c>
      <c r="AM16" s="279">
        <f t="shared" si="23"/>
        <v>0</v>
      </c>
      <c r="AN16" s="279">
        <f t="shared" si="24"/>
        <v>0</v>
      </c>
      <c r="AO16" s="288">
        <f t="shared" si="25"/>
        <v>0</v>
      </c>
      <c r="AP16" s="279">
        <f t="shared" si="26"/>
        <v>0</v>
      </c>
      <c r="AQ16" s="288">
        <f t="shared" si="27"/>
        <v>0</v>
      </c>
      <c r="AR16" s="289">
        <f t="shared" si="28"/>
        <v>0</v>
      </c>
      <c r="AS16" s="279">
        <f t="shared" si="29"/>
        <v>0</v>
      </c>
      <c r="AT16" s="288">
        <f t="shared" si="30"/>
        <v>0</v>
      </c>
      <c r="AU16" s="289">
        <f t="shared" si="31"/>
        <v>0</v>
      </c>
      <c r="AV16" s="279">
        <f t="shared" si="32"/>
        <v>0</v>
      </c>
      <c r="AW16" s="288">
        <f t="shared" si="33"/>
        <v>0</v>
      </c>
      <c r="AX16" s="289">
        <f t="shared" si="34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35"/>
        <v/>
      </c>
      <c r="BM16" s="270"/>
      <c r="BN16" s="271"/>
      <c r="BO16" s="272" t="str">
        <f t="shared" ca="1" si="36"/>
        <v/>
      </c>
      <c r="BP16" s="270"/>
      <c r="BQ16" s="271"/>
      <c r="BR16" s="272" t="str">
        <f t="shared" ca="1" si="37"/>
        <v/>
      </c>
      <c r="BS16" s="270"/>
      <c r="BT16" s="271"/>
      <c r="BU16" s="272" t="str">
        <f t="shared" ca="1" si="38"/>
        <v/>
      </c>
      <c r="BV16" s="270"/>
      <c r="BW16" s="271"/>
      <c r="BX16" s="272" t="str">
        <f t="shared" ca="1" si="39"/>
        <v/>
      </c>
      <c r="BY16" s="270"/>
      <c r="BZ16" s="271"/>
      <c r="CA16" s="272" t="str">
        <f t="shared" ca="1" si="40"/>
        <v/>
      </c>
      <c r="CB16" s="270"/>
      <c r="CC16" s="271"/>
      <c r="CD16" s="272" t="str">
        <f t="shared" ca="1" si="41"/>
        <v/>
      </c>
      <c r="CE16" s="270"/>
      <c r="CF16" s="271"/>
      <c r="CG16" s="272" t="str">
        <f t="shared" ca="1" si="42"/>
        <v/>
      </c>
      <c r="CH16" s="270"/>
      <c r="CI16" s="271"/>
      <c r="CJ16" s="272" t="str">
        <f t="shared" ca="1" si="43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2"/>
        <v/>
      </c>
      <c r="CU16" s="264"/>
      <c r="CV16" s="265"/>
      <c r="CW16" s="264"/>
      <c r="CX16" s="264"/>
      <c r="CY16" s="264" t="str">
        <f t="shared" si="3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6"/>
        <v>0</v>
      </c>
      <c r="DN16" s="295" t="str">
        <f t="shared" si="4"/>
        <v/>
      </c>
    </row>
    <row r="17" spans="1:118" x14ac:dyDescent="0.25">
      <c r="A17" s="599" t="str">
        <f t="shared" si="5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7"/>
        <v/>
      </c>
      <c r="J17" s="312"/>
      <c r="K17" s="268"/>
      <c r="L17" s="277"/>
      <c r="M17" s="279"/>
      <c r="N17" s="280"/>
      <c r="O17" s="280"/>
      <c r="P17" s="455"/>
      <c r="Q17" s="281" t="str">
        <f t="shared" si="8"/>
        <v/>
      </c>
      <c r="R17" s="282">
        <f t="shared" si="9"/>
        <v>0</v>
      </c>
      <c r="S17" s="268"/>
      <c r="T17" s="283">
        <f t="shared" si="1"/>
        <v>0</v>
      </c>
      <c r="U17" s="284">
        <f>IF(M17=0,0,IF(G17="Annulation","",IF(assurance="ALPTIS",M17*12*T17/100*'1805 Data'!$K$4,IF(assurance="APRIL",M17*12*T17/100*'1805 Data'!$F$4,IF(assurance="ASAF",M17*12*T17/100*'1805 Data'!$I$4,IF(assurance="NEOLIANE",('1805 Data'!$G$5+M17*12*'1805 Data'!$G$4)*T17/100,IF(assurance="NEOLIANE Prev",('1805 Data'!$H$5+M17*12*'1805 Data'!$H$4)*T17/100,IF(assurance="SWISSLIFE",M17*12*T17/100*'1805 Data'!$J$4,IF(assurance="AVIVA",M17*12*T17/100*'1805 Data'!$L$4,IF(assurance="CIPRES",M17*12*T17/100*'1805 Data'!$M$4,IF(assurance="CEGEMA",M17*12*T17/100*'1805 Data'!$N$4,IF(assurance=0,0))))))))))))</f>
        <v>0</v>
      </c>
      <c r="V17" s="298" t="str">
        <f t="shared" si="10"/>
        <v/>
      </c>
      <c r="W17" s="298" t="str">
        <f t="shared" si="11"/>
        <v/>
      </c>
      <c r="X17" s="299">
        <f t="shared" si="12"/>
        <v>0</v>
      </c>
      <c r="Y17" s="368">
        <f t="shared" si="13"/>
        <v>0</v>
      </c>
      <c r="Z17" s="314"/>
      <c r="AA17" s="313" t="str">
        <f t="shared" si="14"/>
        <v/>
      </c>
      <c r="AB17" s="268" t="s">
        <v>13</v>
      </c>
      <c r="AC17" s="277"/>
      <c r="AD17" s="309" t="str">
        <f t="shared" si="15"/>
        <v/>
      </c>
      <c r="AE17" s="286" t="str">
        <f t="shared" si="16"/>
        <v/>
      </c>
      <c r="AF17" s="277"/>
      <c r="AG17" s="275" t="str">
        <f t="shared" si="17"/>
        <v/>
      </c>
      <c r="AH17" s="287" t="str">
        <f t="shared" ca="1" si="18"/>
        <v/>
      </c>
      <c r="AI17" s="373" t="str">
        <f t="shared" ca="1" si="19"/>
        <v/>
      </c>
      <c r="AJ17" s="296" t="str">
        <f t="shared" si="20"/>
        <v/>
      </c>
      <c r="AK17" s="296" t="str">
        <f t="shared" si="21"/>
        <v/>
      </c>
      <c r="AL17" s="287" t="str">
        <f t="shared" si="22"/>
        <v/>
      </c>
      <c r="AM17" s="279">
        <f t="shared" si="23"/>
        <v>0</v>
      </c>
      <c r="AN17" s="279">
        <f t="shared" si="24"/>
        <v>0</v>
      </c>
      <c r="AO17" s="288">
        <f t="shared" si="25"/>
        <v>0</v>
      </c>
      <c r="AP17" s="279">
        <f t="shared" si="26"/>
        <v>0</v>
      </c>
      <c r="AQ17" s="288">
        <f t="shared" si="27"/>
        <v>0</v>
      </c>
      <c r="AR17" s="289">
        <f t="shared" si="28"/>
        <v>0</v>
      </c>
      <c r="AS17" s="279">
        <f t="shared" si="29"/>
        <v>0</v>
      </c>
      <c r="AT17" s="288">
        <f t="shared" si="30"/>
        <v>0</v>
      </c>
      <c r="AU17" s="289">
        <f t="shared" si="31"/>
        <v>0</v>
      </c>
      <c r="AV17" s="279">
        <f t="shared" si="32"/>
        <v>0</v>
      </c>
      <c r="AW17" s="288">
        <f t="shared" si="33"/>
        <v>0</v>
      </c>
      <c r="AX17" s="289">
        <f t="shared" si="34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35"/>
        <v/>
      </c>
      <c r="BM17" s="270"/>
      <c r="BN17" s="271"/>
      <c r="BO17" s="272" t="str">
        <f t="shared" ca="1" si="36"/>
        <v/>
      </c>
      <c r="BP17" s="270"/>
      <c r="BQ17" s="271"/>
      <c r="BR17" s="272" t="str">
        <f t="shared" ca="1" si="37"/>
        <v/>
      </c>
      <c r="BS17" s="270"/>
      <c r="BT17" s="271"/>
      <c r="BU17" s="272" t="str">
        <f t="shared" ca="1" si="38"/>
        <v/>
      </c>
      <c r="BV17" s="270"/>
      <c r="BW17" s="271"/>
      <c r="BX17" s="272" t="str">
        <f t="shared" ca="1" si="39"/>
        <v/>
      </c>
      <c r="BY17" s="270"/>
      <c r="BZ17" s="271"/>
      <c r="CA17" s="272" t="str">
        <f t="shared" ca="1" si="40"/>
        <v/>
      </c>
      <c r="CB17" s="270"/>
      <c r="CC17" s="271"/>
      <c r="CD17" s="272" t="str">
        <f t="shared" ca="1" si="41"/>
        <v/>
      </c>
      <c r="CE17" s="270"/>
      <c r="CF17" s="271"/>
      <c r="CG17" s="272" t="str">
        <f t="shared" ca="1" si="42"/>
        <v/>
      </c>
      <c r="CH17" s="270"/>
      <c r="CI17" s="271"/>
      <c r="CJ17" s="272" t="str">
        <f t="shared" ca="1" si="43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2"/>
        <v/>
      </c>
      <c r="CU17" s="264"/>
      <c r="CV17" s="265"/>
      <c r="CW17" s="264"/>
      <c r="CX17" s="264"/>
      <c r="CY17" s="264" t="str">
        <f t="shared" si="3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6"/>
        <v>0</v>
      </c>
      <c r="DN17" s="295" t="str">
        <f t="shared" si="4"/>
        <v/>
      </c>
    </row>
    <row r="18" spans="1:118" x14ac:dyDescent="0.25">
      <c r="A18" s="599" t="str">
        <f t="shared" si="5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7"/>
        <v/>
      </c>
      <c r="J18" s="312"/>
      <c r="K18" s="268"/>
      <c r="L18" s="277"/>
      <c r="M18" s="279"/>
      <c r="N18" s="280"/>
      <c r="O18" s="280"/>
      <c r="P18" s="455"/>
      <c r="Q18" s="281" t="str">
        <f t="shared" si="8"/>
        <v/>
      </c>
      <c r="R18" s="282">
        <f t="shared" si="9"/>
        <v>0</v>
      </c>
      <c r="S18" s="268"/>
      <c r="T18" s="283">
        <f t="shared" si="1"/>
        <v>0</v>
      </c>
      <c r="U18" s="284">
        <f>IF(M18=0,0,IF(G18="Annulation","",IF(assurance="ALPTIS",M18*12*T18/100*'1805 Data'!$K$4,IF(assurance="APRIL",M18*12*T18/100*'1805 Data'!$F$4,IF(assurance="ASAF",M18*12*T18/100*'1805 Data'!$I$4,IF(assurance="NEOLIANE",('1805 Data'!$G$5+M18*12*'1805 Data'!$G$4)*T18/100,IF(assurance="NEOLIANE Prev",('1805 Data'!$H$5+M18*12*'1805 Data'!$H$4)*T18/100,IF(assurance="SWISSLIFE",M18*12*T18/100*'1805 Data'!$J$4,IF(assurance="AVIVA",M18*12*T18/100*'1805 Data'!$L$4,IF(assurance="CIPRES",M18*12*T18/100*'1805 Data'!$M$4,IF(assurance="CEGEMA",M18*12*T18/100*'1805 Data'!$N$4,IF(assurance=0,0))))))))))))</f>
        <v>0</v>
      </c>
      <c r="V18" s="298" t="str">
        <f t="shared" si="10"/>
        <v/>
      </c>
      <c r="W18" s="298" t="str">
        <f t="shared" si="11"/>
        <v/>
      </c>
      <c r="X18" s="299">
        <f t="shared" si="12"/>
        <v>0</v>
      </c>
      <c r="Y18" s="368">
        <f t="shared" si="13"/>
        <v>0</v>
      </c>
      <c r="Z18" s="314"/>
      <c r="AA18" s="313" t="str">
        <f t="shared" si="14"/>
        <v/>
      </c>
      <c r="AB18" s="268" t="s">
        <v>13</v>
      </c>
      <c r="AC18" s="277"/>
      <c r="AD18" s="309" t="str">
        <f t="shared" si="15"/>
        <v/>
      </c>
      <c r="AE18" s="286" t="str">
        <f t="shared" si="16"/>
        <v/>
      </c>
      <c r="AF18" s="277"/>
      <c r="AG18" s="275" t="str">
        <f t="shared" si="17"/>
        <v/>
      </c>
      <c r="AH18" s="287" t="str">
        <f t="shared" ca="1" si="18"/>
        <v/>
      </c>
      <c r="AI18" s="373" t="str">
        <f t="shared" ca="1" si="19"/>
        <v/>
      </c>
      <c r="AJ18" s="296" t="str">
        <f t="shared" si="20"/>
        <v/>
      </c>
      <c r="AK18" s="296" t="str">
        <f t="shared" si="21"/>
        <v/>
      </c>
      <c r="AL18" s="287" t="str">
        <f t="shared" si="22"/>
        <v/>
      </c>
      <c r="AM18" s="279">
        <f t="shared" si="23"/>
        <v>0</v>
      </c>
      <c r="AN18" s="279">
        <f t="shared" si="24"/>
        <v>0</v>
      </c>
      <c r="AO18" s="288">
        <f t="shared" si="25"/>
        <v>0</v>
      </c>
      <c r="AP18" s="279">
        <f t="shared" si="26"/>
        <v>0</v>
      </c>
      <c r="AQ18" s="288">
        <f t="shared" si="27"/>
        <v>0</v>
      </c>
      <c r="AR18" s="289">
        <f t="shared" si="28"/>
        <v>0</v>
      </c>
      <c r="AS18" s="279">
        <f t="shared" si="29"/>
        <v>0</v>
      </c>
      <c r="AT18" s="288">
        <f t="shared" si="30"/>
        <v>0</v>
      </c>
      <c r="AU18" s="289">
        <f t="shared" si="31"/>
        <v>0</v>
      </c>
      <c r="AV18" s="279">
        <f t="shared" si="32"/>
        <v>0</v>
      </c>
      <c r="AW18" s="288">
        <f t="shared" si="33"/>
        <v>0</v>
      </c>
      <c r="AX18" s="289">
        <f t="shared" si="34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35"/>
        <v/>
      </c>
      <c r="BM18" s="270"/>
      <c r="BN18" s="271"/>
      <c r="BO18" s="272" t="str">
        <f t="shared" ca="1" si="36"/>
        <v/>
      </c>
      <c r="BP18" s="270"/>
      <c r="BQ18" s="271"/>
      <c r="BR18" s="272" t="str">
        <f t="shared" ca="1" si="37"/>
        <v/>
      </c>
      <c r="BS18" s="270"/>
      <c r="BT18" s="271"/>
      <c r="BU18" s="272" t="str">
        <f t="shared" ca="1" si="38"/>
        <v/>
      </c>
      <c r="BV18" s="270"/>
      <c r="BW18" s="271"/>
      <c r="BX18" s="272" t="str">
        <f t="shared" ca="1" si="39"/>
        <v/>
      </c>
      <c r="BY18" s="270"/>
      <c r="BZ18" s="271"/>
      <c r="CA18" s="272" t="str">
        <f t="shared" ca="1" si="40"/>
        <v/>
      </c>
      <c r="CB18" s="270"/>
      <c r="CC18" s="271"/>
      <c r="CD18" s="272" t="str">
        <f t="shared" ca="1" si="41"/>
        <v/>
      </c>
      <c r="CE18" s="270"/>
      <c r="CF18" s="271"/>
      <c r="CG18" s="272" t="str">
        <f t="shared" ca="1" si="42"/>
        <v/>
      </c>
      <c r="CH18" s="270"/>
      <c r="CI18" s="271"/>
      <c r="CJ18" s="272" t="str">
        <f t="shared" ca="1" si="43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2"/>
        <v/>
      </c>
      <c r="CU18" s="264"/>
      <c r="CV18" s="265"/>
      <c r="CW18" s="264"/>
      <c r="CX18" s="264"/>
      <c r="CY18" s="264" t="str">
        <f t="shared" si="3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6"/>
        <v>0</v>
      </c>
      <c r="DN18" s="295" t="str">
        <f t="shared" si="4"/>
        <v/>
      </c>
    </row>
    <row r="19" spans="1:118" x14ac:dyDescent="0.25">
      <c r="A19" s="599" t="str">
        <f t="shared" si="5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7"/>
        <v/>
      </c>
      <c r="J19" s="312"/>
      <c r="K19" s="268"/>
      <c r="L19" s="277"/>
      <c r="M19" s="279"/>
      <c r="N19" s="280"/>
      <c r="O19" s="280"/>
      <c r="P19" s="455"/>
      <c r="Q19" s="281" t="str">
        <f t="shared" si="8"/>
        <v/>
      </c>
      <c r="R19" s="282">
        <f t="shared" si="9"/>
        <v>0</v>
      </c>
      <c r="S19" s="268"/>
      <c r="T19" s="283">
        <f t="shared" si="1"/>
        <v>0</v>
      </c>
      <c r="U19" s="284">
        <f>IF(M19=0,0,IF(G19="Annulation","",IF(assurance="ALPTIS",M19*12*T19/100*'1805 Data'!$K$4,IF(assurance="APRIL",M19*12*T19/100*'1805 Data'!$F$4,IF(assurance="ASAF",M19*12*T19/100*'1805 Data'!$I$4,IF(assurance="NEOLIANE",('1805 Data'!$G$5+M19*12*'1805 Data'!$G$4)*T19/100,IF(assurance="NEOLIANE Prev",('1805 Data'!$H$5+M19*12*'1805 Data'!$H$4)*T19/100,IF(assurance="SWISSLIFE",M19*12*T19/100*'1805 Data'!$J$4,IF(assurance="AVIVA",M19*12*T19/100*'1805 Data'!$L$4,IF(assurance="CIPRES",M19*12*T19/100*'1805 Data'!$M$4,IF(assurance="CEGEMA",M19*12*T19/100*'1805 Data'!$N$4,IF(assurance=0,0))))))))))))</f>
        <v>0</v>
      </c>
      <c r="V19" s="298" t="str">
        <f t="shared" si="10"/>
        <v/>
      </c>
      <c r="W19" s="298" t="str">
        <f t="shared" si="11"/>
        <v/>
      </c>
      <c r="X19" s="299">
        <f t="shared" si="12"/>
        <v>0</v>
      </c>
      <c r="Y19" s="368">
        <f t="shared" si="13"/>
        <v>0</v>
      </c>
      <c r="Z19" s="314"/>
      <c r="AA19" s="313" t="str">
        <f t="shared" si="14"/>
        <v/>
      </c>
      <c r="AB19" s="268" t="s">
        <v>13</v>
      </c>
      <c r="AC19" s="277"/>
      <c r="AD19" s="309" t="str">
        <f t="shared" si="15"/>
        <v/>
      </c>
      <c r="AE19" s="286" t="str">
        <f t="shared" si="16"/>
        <v/>
      </c>
      <c r="AF19" s="277"/>
      <c r="AG19" s="275" t="str">
        <f t="shared" si="17"/>
        <v/>
      </c>
      <c r="AH19" s="287" t="str">
        <f t="shared" ca="1" si="18"/>
        <v/>
      </c>
      <c r="AI19" s="373" t="str">
        <f t="shared" ca="1" si="19"/>
        <v/>
      </c>
      <c r="AJ19" s="296" t="str">
        <f t="shared" si="20"/>
        <v/>
      </c>
      <c r="AK19" s="296" t="str">
        <f t="shared" si="21"/>
        <v/>
      </c>
      <c r="AL19" s="287" t="str">
        <f t="shared" si="22"/>
        <v/>
      </c>
      <c r="AM19" s="279">
        <f t="shared" si="23"/>
        <v>0</v>
      </c>
      <c r="AN19" s="279">
        <f t="shared" si="24"/>
        <v>0</v>
      </c>
      <c r="AO19" s="288">
        <f t="shared" si="25"/>
        <v>0</v>
      </c>
      <c r="AP19" s="279">
        <f t="shared" si="26"/>
        <v>0</v>
      </c>
      <c r="AQ19" s="288">
        <f t="shared" si="27"/>
        <v>0</v>
      </c>
      <c r="AR19" s="289">
        <f t="shared" si="28"/>
        <v>0</v>
      </c>
      <c r="AS19" s="279">
        <f t="shared" si="29"/>
        <v>0</v>
      </c>
      <c r="AT19" s="288">
        <f t="shared" si="30"/>
        <v>0</v>
      </c>
      <c r="AU19" s="289">
        <f t="shared" si="31"/>
        <v>0</v>
      </c>
      <c r="AV19" s="279">
        <f t="shared" si="32"/>
        <v>0</v>
      </c>
      <c r="AW19" s="288">
        <f t="shared" si="33"/>
        <v>0</v>
      </c>
      <c r="AX19" s="289">
        <f t="shared" si="34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35"/>
        <v/>
      </c>
      <c r="BM19" s="270"/>
      <c r="BN19" s="271"/>
      <c r="BO19" s="272" t="str">
        <f t="shared" ca="1" si="36"/>
        <v/>
      </c>
      <c r="BP19" s="270"/>
      <c r="BQ19" s="271"/>
      <c r="BR19" s="272" t="str">
        <f t="shared" ca="1" si="37"/>
        <v/>
      </c>
      <c r="BS19" s="270"/>
      <c r="BT19" s="271"/>
      <c r="BU19" s="272" t="str">
        <f t="shared" ca="1" si="38"/>
        <v/>
      </c>
      <c r="BV19" s="270"/>
      <c r="BW19" s="271"/>
      <c r="BX19" s="272" t="str">
        <f t="shared" ca="1" si="39"/>
        <v/>
      </c>
      <c r="BY19" s="270"/>
      <c r="BZ19" s="271"/>
      <c r="CA19" s="272" t="str">
        <f t="shared" ca="1" si="40"/>
        <v/>
      </c>
      <c r="CB19" s="270"/>
      <c r="CC19" s="271"/>
      <c r="CD19" s="272" t="str">
        <f t="shared" ca="1" si="41"/>
        <v/>
      </c>
      <c r="CE19" s="270"/>
      <c r="CF19" s="271"/>
      <c r="CG19" s="272" t="str">
        <f t="shared" ca="1" si="42"/>
        <v/>
      </c>
      <c r="CH19" s="270"/>
      <c r="CI19" s="271"/>
      <c r="CJ19" s="272" t="str">
        <f t="shared" ca="1" si="43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2"/>
        <v/>
      </c>
      <c r="CU19" s="264"/>
      <c r="CV19" s="265"/>
      <c r="CW19" s="264"/>
      <c r="CX19" s="264"/>
      <c r="CY19" s="264" t="str">
        <f t="shared" si="3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6"/>
        <v>0</v>
      </c>
      <c r="DN19" s="295" t="str">
        <f t="shared" si="4"/>
        <v/>
      </c>
    </row>
    <row r="20" spans="1:118" x14ac:dyDescent="0.25">
      <c r="A20" s="599" t="str">
        <f t="shared" si="5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7"/>
        <v/>
      </c>
      <c r="J20" s="312"/>
      <c r="K20" s="268"/>
      <c r="L20" s="277"/>
      <c r="M20" s="279"/>
      <c r="N20" s="280"/>
      <c r="O20" s="280"/>
      <c r="P20" s="455"/>
      <c r="Q20" s="281" t="str">
        <f t="shared" si="8"/>
        <v/>
      </c>
      <c r="R20" s="282">
        <f t="shared" si="9"/>
        <v>0</v>
      </c>
      <c r="S20" s="268"/>
      <c r="T20" s="283">
        <f t="shared" si="1"/>
        <v>0</v>
      </c>
      <c r="U20" s="284">
        <f>IF(M20=0,0,IF(G20="Annulation","",IF(assurance="ALPTIS",M20*12*T20/100*'1805 Data'!$K$4,IF(assurance="APRIL",M20*12*T20/100*'1805 Data'!$F$4,IF(assurance="ASAF",M20*12*T20/100*'1805 Data'!$I$4,IF(assurance="NEOLIANE",('1805 Data'!$G$5+M20*12*'1805 Data'!$G$4)*T20/100,IF(assurance="NEOLIANE Prev",('1805 Data'!$H$5+M20*12*'1805 Data'!$H$4)*T20/100,IF(assurance="SWISSLIFE",M20*12*T20/100*'1805 Data'!$J$4,IF(assurance="AVIVA",M20*12*T20/100*'1805 Data'!$L$4,IF(assurance="CIPRES",M20*12*T20/100*'1805 Data'!$M$4,IF(assurance="CEGEMA",M20*12*T20/100*'1805 Data'!$N$4,IF(assurance=0,0))))))))))))</f>
        <v>0</v>
      </c>
      <c r="V20" s="298" t="str">
        <f t="shared" si="10"/>
        <v/>
      </c>
      <c r="W20" s="298" t="str">
        <f t="shared" si="11"/>
        <v/>
      </c>
      <c r="X20" s="299">
        <f t="shared" si="12"/>
        <v>0</v>
      </c>
      <c r="Y20" s="368">
        <f t="shared" si="13"/>
        <v>0</v>
      </c>
      <c r="Z20" s="314"/>
      <c r="AA20" s="313" t="str">
        <f t="shared" si="14"/>
        <v/>
      </c>
      <c r="AB20" s="268" t="s">
        <v>13</v>
      </c>
      <c r="AC20" s="277"/>
      <c r="AD20" s="309" t="str">
        <f t="shared" si="15"/>
        <v/>
      </c>
      <c r="AE20" s="286" t="str">
        <f t="shared" si="16"/>
        <v/>
      </c>
      <c r="AF20" s="277"/>
      <c r="AG20" s="275" t="str">
        <f t="shared" si="17"/>
        <v/>
      </c>
      <c r="AH20" s="287" t="str">
        <f t="shared" ca="1" si="18"/>
        <v/>
      </c>
      <c r="AI20" s="373" t="str">
        <f t="shared" ca="1" si="19"/>
        <v/>
      </c>
      <c r="AJ20" s="296" t="str">
        <f t="shared" si="20"/>
        <v/>
      </c>
      <c r="AK20" s="296" t="str">
        <f t="shared" si="21"/>
        <v/>
      </c>
      <c r="AL20" s="287" t="str">
        <f t="shared" si="22"/>
        <v/>
      </c>
      <c r="AM20" s="279">
        <f t="shared" si="23"/>
        <v>0</v>
      </c>
      <c r="AN20" s="279">
        <f t="shared" si="24"/>
        <v>0</v>
      </c>
      <c r="AO20" s="288">
        <f t="shared" si="25"/>
        <v>0</v>
      </c>
      <c r="AP20" s="279">
        <f t="shared" si="26"/>
        <v>0</v>
      </c>
      <c r="AQ20" s="288">
        <f t="shared" si="27"/>
        <v>0</v>
      </c>
      <c r="AR20" s="289">
        <f t="shared" si="28"/>
        <v>0</v>
      </c>
      <c r="AS20" s="279">
        <f t="shared" si="29"/>
        <v>0</v>
      </c>
      <c r="AT20" s="288">
        <f t="shared" si="30"/>
        <v>0</v>
      </c>
      <c r="AU20" s="289">
        <f t="shared" si="31"/>
        <v>0</v>
      </c>
      <c r="AV20" s="279">
        <f t="shared" si="32"/>
        <v>0</v>
      </c>
      <c r="AW20" s="288">
        <f t="shared" si="33"/>
        <v>0</v>
      </c>
      <c r="AX20" s="289">
        <f t="shared" si="34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35"/>
        <v/>
      </c>
      <c r="BM20" s="270"/>
      <c r="BN20" s="271"/>
      <c r="BO20" s="272" t="str">
        <f t="shared" ca="1" si="36"/>
        <v/>
      </c>
      <c r="BP20" s="270"/>
      <c r="BQ20" s="271"/>
      <c r="BR20" s="272" t="str">
        <f t="shared" ca="1" si="37"/>
        <v/>
      </c>
      <c r="BS20" s="270"/>
      <c r="BT20" s="271"/>
      <c r="BU20" s="272" t="str">
        <f t="shared" ca="1" si="38"/>
        <v/>
      </c>
      <c r="BV20" s="270"/>
      <c r="BW20" s="271"/>
      <c r="BX20" s="272" t="str">
        <f t="shared" ca="1" si="39"/>
        <v/>
      </c>
      <c r="BY20" s="270"/>
      <c r="BZ20" s="271"/>
      <c r="CA20" s="272" t="str">
        <f t="shared" ca="1" si="40"/>
        <v/>
      </c>
      <c r="CB20" s="270"/>
      <c r="CC20" s="271"/>
      <c r="CD20" s="272" t="str">
        <f t="shared" ca="1" si="41"/>
        <v/>
      </c>
      <c r="CE20" s="270"/>
      <c r="CF20" s="271"/>
      <c r="CG20" s="272" t="str">
        <f t="shared" ca="1" si="42"/>
        <v/>
      </c>
      <c r="CH20" s="270"/>
      <c r="CI20" s="271"/>
      <c r="CJ20" s="272" t="str">
        <f t="shared" ca="1" si="43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2"/>
        <v/>
      </c>
      <c r="CU20" s="264"/>
      <c r="CV20" s="265"/>
      <c r="CW20" s="264"/>
      <c r="CX20" s="264"/>
      <c r="CY20" s="264" t="str">
        <f t="shared" si="3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6"/>
        <v>0</v>
      </c>
      <c r="DN20" s="295" t="str">
        <f t="shared" si="4"/>
        <v/>
      </c>
    </row>
    <row r="21" spans="1:118" x14ac:dyDescent="0.25">
      <c r="A21" s="599" t="str">
        <f t="shared" si="5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7"/>
        <v/>
      </c>
      <c r="J21" s="312"/>
      <c r="K21" s="268"/>
      <c r="L21" s="277"/>
      <c r="M21" s="279"/>
      <c r="N21" s="280"/>
      <c r="O21" s="280"/>
      <c r="P21" s="455"/>
      <c r="Q21" s="281" t="str">
        <f t="shared" si="8"/>
        <v/>
      </c>
      <c r="R21" s="282">
        <f t="shared" si="9"/>
        <v>0</v>
      </c>
      <c r="S21" s="268"/>
      <c r="T21" s="283">
        <f t="shared" si="1"/>
        <v>0</v>
      </c>
      <c r="U21" s="284">
        <f>IF(M21=0,0,IF(G21="Annulation","",IF(assurance="ALPTIS",M21*12*T21/100*'1805 Data'!$K$4,IF(assurance="APRIL",M21*12*T21/100*'1805 Data'!$F$4,IF(assurance="ASAF",M21*12*T21/100*'1805 Data'!$I$4,IF(assurance="NEOLIANE",('1805 Data'!$G$5+M21*12*'1805 Data'!$G$4)*T21/100,IF(assurance="NEOLIANE Prev",('1805 Data'!$H$5+M21*12*'1805 Data'!$H$4)*T21/100,IF(assurance="SWISSLIFE",M21*12*T21/100*'1805 Data'!$J$4,IF(assurance="AVIVA",M21*12*T21/100*'1805 Data'!$L$4,IF(assurance="CIPRES",M21*12*T21/100*'1805 Data'!$M$4,IF(assurance="CEGEMA",M21*12*T21/100*'1805 Data'!$N$4,IF(assurance=0,0))))))))))))</f>
        <v>0</v>
      </c>
      <c r="V21" s="298" t="str">
        <f t="shared" si="10"/>
        <v/>
      </c>
      <c r="W21" s="298" t="str">
        <f t="shared" si="11"/>
        <v/>
      </c>
      <c r="X21" s="299">
        <f t="shared" si="12"/>
        <v>0</v>
      </c>
      <c r="Y21" s="368">
        <f t="shared" si="13"/>
        <v>0</v>
      </c>
      <c r="Z21" s="314"/>
      <c r="AA21" s="313" t="str">
        <f t="shared" si="14"/>
        <v/>
      </c>
      <c r="AB21" s="268" t="s">
        <v>13</v>
      </c>
      <c r="AC21" s="277"/>
      <c r="AD21" s="309" t="str">
        <f t="shared" si="15"/>
        <v/>
      </c>
      <c r="AE21" s="286" t="str">
        <f t="shared" si="16"/>
        <v/>
      </c>
      <c r="AF21" s="277"/>
      <c r="AG21" s="275" t="str">
        <f t="shared" si="17"/>
        <v/>
      </c>
      <c r="AH21" s="287" t="str">
        <f t="shared" ca="1" si="18"/>
        <v/>
      </c>
      <c r="AI21" s="373" t="str">
        <f t="shared" ca="1" si="19"/>
        <v/>
      </c>
      <c r="AJ21" s="296" t="str">
        <f t="shared" si="20"/>
        <v/>
      </c>
      <c r="AK21" s="296" t="str">
        <f t="shared" si="21"/>
        <v/>
      </c>
      <c r="AL21" s="287" t="str">
        <f t="shared" si="22"/>
        <v/>
      </c>
      <c r="AM21" s="279">
        <f t="shared" si="23"/>
        <v>0</v>
      </c>
      <c r="AN21" s="279">
        <f t="shared" si="24"/>
        <v>0</v>
      </c>
      <c r="AO21" s="288">
        <f t="shared" si="25"/>
        <v>0</v>
      </c>
      <c r="AP21" s="279">
        <f t="shared" si="26"/>
        <v>0</v>
      </c>
      <c r="AQ21" s="288">
        <f t="shared" si="27"/>
        <v>0</v>
      </c>
      <c r="AR21" s="289">
        <f t="shared" si="28"/>
        <v>0</v>
      </c>
      <c r="AS21" s="279">
        <f t="shared" si="29"/>
        <v>0</v>
      </c>
      <c r="AT21" s="288">
        <f t="shared" si="30"/>
        <v>0</v>
      </c>
      <c r="AU21" s="289">
        <f t="shared" si="31"/>
        <v>0</v>
      </c>
      <c r="AV21" s="279">
        <f t="shared" si="32"/>
        <v>0</v>
      </c>
      <c r="AW21" s="288">
        <f t="shared" si="33"/>
        <v>0</v>
      </c>
      <c r="AX21" s="289">
        <f t="shared" si="34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35"/>
        <v/>
      </c>
      <c r="BM21" s="270"/>
      <c r="BN21" s="271"/>
      <c r="BO21" s="272" t="str">
        <f t="shared" ca="1" si="36"/>
        <v/>
      </c>
      <c r="BP21" s="270"/>
      <c r="BQ21" s="271"/>
      <c r="BR21" s="272" t="str">
        <f t="shared" ca="1" si="37"/>
        <v/>
      </c>
      <c r="BS21" s="270"/>
      <c r="BT21" s="271"/>
      <c r="BU21" s="272" t="str">
        <f t="shared" ca="1" si="38"/>
        <v/>
      </c>
      <c r="BV21" s="270"/>
      <c r="BW21" s="271"/>
      <c r="BX21" s="272" t="str">
        <f t="shared" ca="1" si="39"/>
        <v/>
      </c>
      <c r="BY21" s="270"/>
      <c r="BZ21" s="271"/>
      <c r="CA21" s="272" t="str">
        <f t="shared" ca="1" si="40"/>
        <v/>
      </c>
      <c r="CB21" s="270"/>
      <c r="CC21" s="271"/>
      <c r="CD21" s="272" t="str">
        <f t="shared" ca="1" si="41"/>
        <v/>
      </c>
      <c r="CE21" s="270"/>
      <c r="CF21" s="271"/>
      <c r="CG21" s="272" t="str">
        <f t="shared" ca="1" si="42"/>
        <v/>
      </c>
      <c r="CH21" s="270"/>
      <c r="CI21" s="271"/>
      <c r="CJ21" s="272" t="str">
        <f t="shared" ca="1" si="43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2"/>
        <v/>
      </c>
      <c r="CU21" s="264"/>
      <c r="CV21" s="265"/>
      <c r="CW21" s="264"/>
      <c r="CX21" s="264"/>
      <c r="CY21" s="264" t="str">
        <f t="shared" si="3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6"/>
        <v>0</v>
      </c>
      <c r="DN21" s="295" t="str">
        <f t="shared" si="4"/>
        <v/>
      </c>
    </row>
    <row r="22" spans="1:118" x14ac:dyDescent="0.25">
      <c r="A22" s="599" t="str">
        <f t="shared" si="5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7"/>
        <v/>
      </c>
      <c r="J22" s="312"/>
      <c r="K22" s="268"/>
      <c r="L22" s="277"/>
      <c r="M22" s="279"/>
      <c r="N22" s="280"/>
      <c r="O22" s="280"/>
      <c r="P22" s="455"/>
      <c r="Q22" s="281" t="str">
        <f t="shared" si="8"/>
        <v/>
      </c>
      <c r="R22" s="282">
        <f t="shared" si="9"/>
        <v>0</v>
      </c>
      <c r="S22" s="268"/>
      <c r="T22" s="283">
        <f t="shared" si="1"/>
        <v>0</v>
      </c>
      <c r="U22" s="284">
        <f>IF(M22=0,0,IF(G22="Annulation","",IF(assurance="ALPTIS",M22*12*T22/100*'1805 Data'!$K$4,IF(assurance="APRIL",M22*12*T22/100*'1805 Data'!$F$4,IF(assurance="ASAF",M22*12*T22/100*'1805 Data'!$I$4,IF(assurance="NEOLIANE",('1805 Data'!$G$5+M22*12*'1805 Data'!$G$4)*T22/100,IF(assurance="NEOLIANE Prev",('1805 Data'!$H$5+M22*12*'1805 Data'!$H$4)*T22/100,IF(assurance="SWISSLIFE",M22*12*T22/100*'1805 Data'!$J$4,IF(assurance="AVIVA",M22*12*T22/100*'1805 Data'!$L$4,IF(assurance="CIPRES",M22*12*T22/100*'1805 Data'!$M$4,IF(assurance="CEGEMA",M22*12*T22/100*'1805 Data'!$N$4,IF(assurance=0,0))))))))))))</f>
        <v>0</v>
      </c>
      <c r="V22" s="298" t="str">
        <f t="shared" si="10"/>
        <v/>
      </c>
      <c r="W22" s="298" t="str">
        <f t="shared" si="11"/>
        <v/>
      </c>
      <c r="X22" s="299">
        <f t="shared" si="12"/>
        <v>0</v>
      </c>
      <c r="Y22" s="368">
        <f t="shared" si="13"/>
        <v>0</v>
      </c>
      <c r="Z22" s="314"/>
      <c r="AA22" s="313" t="str">
        <f t="shared" si="14"/>
        <v/>
      </c>
      <c r="AB22" s="268" t="s">
        <v>13</v>
      </c>
      <c r="AC22" s="277"/>
      <c r="AD22" s="309" t="str">
        <f t="shared" si="15"/>
        <v/>
      </c>
      <c r="AE22" s="286" t="str">
        <f t="shared" si="16"/>
        <v/>
      </c>
      <c r="AF22" s="277"/>
      <c r="AG22" s="275" t="str">
        <f t="shared" si="17"/>
        <v/>
      </c>
      <c r="AH22" s="287" t="str">
        <f t="shared" ca="1" si="18"/>
        <v/>
      </c>
      <c r="AI22" s="373" t="str">
        <f t="shared" ca="1" si="19"/>
        <v/>
      </c>
      <c r="AJ22" s="296" t="str">
        <f t="shared" si="20"/>
        <v/>
      </c>
      <c r="AK22" s="296" t="str">
        <f t="shared" si="21"/>
        <v/>
      </c>
      <c r="AL22" s="287" t="str">
        <f t="shared" si="22"/>
        <v/>
      </c>
      <c r="AM22" s="279">
        <f t="shared" si="23"/>
        <v>0</v>
      </c>
      <c r="AN22" s="279">
        <f t="shared" si="24"/>
        <v>0</v>
      </c>
      <c r="AO22" s="288">
        <f t="shared" si="25"/>
        <v>0</v>
      </c>
      <c r="AP22" s="279">
        <f t="shared" si="26"/>
        <v>0</v>
      </c>
      <c r="AQ22" s="288">
        <f t="shared" si="27"/>
        <v>0</v>
      </c>
      <c r="AR22" s="289">
        <f t="shared" si="28"/>
        <v>0</v>
      </c>
      <c r="AS22" s="279">
        <f t="shared" si="29"/>
        <v>0</v>
      </c>
      <c r="AT22" s="288">
        <f t="shared" si="30"/>
        <v>0</v>
      </c>
      <c r="AU22" s="289">
        <f t="shared" si="31"/>
        <v>0</v>
      </c>
      <c r="AV22" s="279">
        <f t="shared" si="32"/>
        <v>0</v>
      </c>
      <c r="AW22" s="288">
        <f t="shared" si="33"/>
        <v>0</v>
      </c>
      <c r="AX22" s="289">
        <f t="shared" si="34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35"/>
        <v/>
      </c>
      <c r="BM22" s="270"/>
      <c r="BN22" s="271"/>
      <c r="BO22" s="272" t="str">
        <f t="shared" ca="1" si="36"/>
        <v/>
      </c>
      <c r="BP22" s="270"/>
      <c r="BQ22" s="271"/>
      <c r="BR22" s="272" t="str">
        <f t="shared" ca="1" si="37"/>
        <v/>
      </c>
      <c r="BS22" s="270"/>
      <c r="BT22" s="271"/>
      <c r="BU22" s="272" t="str">
        <f t="shared" ca="1" si="38"/>
        <v/>
      </c>
      <c r="BV22" s="270"/>
      <c r="BW22" s="271"/>
      <c r="BX22" s="272" t="str">
        <f t="shared" ca="1" si="39"/>
        <v/>
      </c>
      <c r="BY22" s="270"/>
      <c r="BZ22" s="271"/>
      <c r="CA22" s="272" t="str">
        <f t="shared" ca="1" si="40"/>
        <v/>
      </c>
      <c r="CB22" s="270"/>
      <c r="CC22" s="271"/>
      <c r="CD22" s="272" t="str">
        <f t="shared" ca="1" si="41"/>
        <v/>
      </c>
      <c r="CE22" s="270"/>
      <c r="CF22" s="271"/>
      <c r="CG22" s="272" t="str">
        <f t="shared" ca="1" si="42"/>
        <v/>
      </c>
      <c r="CH22" s="270"/>
      <c r="CI22" s="271"/>
      <c r="CJ22" s="272" t="str">
        <f t="shared" ca="1" si="43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2"/>
        <v/>
      </c>
      <c r="CU22" s="264"/>
      <c r="CV22" s="265"/>
      <c r="CW22" s="264"/>
      <c r="CX22" s="264"/>
      <c r="CY22" s="264" t="str">
        <f t="shared" si="3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6"/>
        <v>0</v>
      </c>
      <c r="DN22" s="295" t="str">
        <f t="shared" si="4"/>
        <v/>
      </c>
    </row>
    <row r="23" spans="1:118" x14ac:dyDescent="0.25">
      <c r="A23" s="599" t="str">
        <f t="shared" si="5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7"/>
        <v/>
      </c>
      <c r="J23" s="312"/>
      <c r="K23" s="268"/>
      <c r="L23" s="277"/>
      <c r="M23" s="279"/>
      <c r="N23" s="280"/>
      <c r="O23" s="280"/>
      <c r="P23" s="455"/>
      <c r="Q23" s="281" t="str">
        <f t="shared" si="8"/>
        <v/>
      </c>
      <c r="R23" s="282">
        <f t="shared" si="9"/>
        <v>0</v>
      </c>
      <c r="S23" s="268"/>
      <c r="T23" s="283">
        <f t="shared" si="1"/>
        <v>0</v>
      </c>
      <c r="U23" s="284">
        <f>IF(M23=0,0,IF(G23="Annulation","",IF(assurance="ALPTIS",M23*12*T23/100*'1805 Data'!$K$4,IF(assurance="APRIL",M23*12*T23/100*'1805 Data'!$F$4,IF(assurance="ASAF",M23*12*T23/100*'1805 Data'!$I$4,IF(assurance="NEOLIANE",('1805 Data'!$G$5+M23*12*'1805 Data'!$G$4)*T23/100,IF(assurance="NEOLIANE Prev",('1805 Data'!$H$5+M23*12*'1805 Data'!$H$4)*T23/100,IF(assurance="SWISSLIFE",M23*12*T23/100*'1805 Data'!$J$4,IF(assurance="AVIVA",M23*12*T23/100*'1805 Data'!$L$4,IF(assurance="CIPRES",M23*12*T23/100*'1805 Data'!$M$4,IF(assurance="CEGEMA",M23*12*T23/100*'1805 Data'!$N$4,IF(assurance=0,0))))))))))))</f>
        <v>0</v>
      </c>
      <c r="V23" s="298" t="str">
        <f t="shared" si="10"/>
        <v/>
      </c>
      <c r="W23" s="298" t="str">
        <f t="shared" si="11"/>
        <v/>
      </c>
      <c r="X23" s="299">
        <f t="shared" si="12"/>
        <v>0</v>
      </c>
      <c r="Y23" s="368">
        <f t="shared" si="13"/>
        <v>0</v>
      </c>
      <c r="Z23" s="314"/>
      <c r="AA23" s="313" t="str">
        <f t="shared" si="14"/>
        <v/>
      </c>
      <c r="AB23" s="268" t="s">
        <v>13</v>
      </c>
      <c r="AC23" s="277"/>
      <c r="AD23" s="309" t="str">
        <f t="shared" si="15"/>
        <v/>
      </c>
      <c r="AE23" s="286" t="str">
        <f t="shared" si="16"/>
        <v/>
      </c>
      <c r="AF23" s="277"/>
      <c r="AG23" s="275" t="str">
        <f t="shared" si="17"/>
        <v/>
      </c>
      <c r="AH23" s="287" t="str">
        <f t="shared" ca="1" si="18"/>
        <v/>
      </c>
      <c r="AI23" s="373" t="str">
        <f t="shared" ca="1" si="19"/>
        <v/>
      </c>
      <c r="AJ23" s="296" t="str">
        <f t="shared" si="20"/>
        <v/>
      </c>
      <c r="AK23" s="296" t="str">
        <f t="shared" si="21"/>
        <v/>
      </c>
      <c r="AL23" s="287" t="str">
        <f t="shared" si="22"/>
        <v/>
      </c>
      <c r="AM23" s="279">
        <f t="shared" si="23"/>
        <v>0</v>
      </c>
      <c r="AN23" s="279">
        <f t="shared" si="24"/>
        <v>0</v>
      </c>
      <c r="AO23" s="288">
        <f t="shared" si="25"/>
        <v>0</v>
      </c>
      <c r="AP23" s="279">
        <f t="shared" si="26"/>
        <v>0</v>
      </c>
      <c r="AQ23" s="288">
        <f t="shared" si="27"/>
        <v>0</v>
      </c>
      <c r="AR23" s="289">
        <f t="shared" si="28"/>
        <v>0</v>
      </c>
      <c r="AS23" s="279">
        <f t="shared" si="29"/>
        <v>0</v>
      </c>
      <c r="AT23" s="288">
        <f t="shared" si="30"/>
        <v>0</v>
      </c>
      <c r="AU23" s="289">
        <f t="shared" si="31"/>
        <v>0</v>
      </c>
      <c r="AV23" s="279">
        <f t="shared" si="32"/>
        <v>0</v>
      </c>
      <c r="AW23" s="288">
        <f t="shared" si="33"/>
        <v>0</v>
      </c>
      <c r="AX23" s="289">
        <f t="shared" si="34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35"/>
        <v/>
      </c>
      <c r="BM23" s="270"/>
      <c r="BN23" s="271"/>
      <c r="BO23" s="272" t="str">
        <f t="shared" ca="1" si="36"/>
        <v/>
      </c>
      <c r="BP23" s="270"/>
      <c r="BQ23" s="271"/>
      <c r="BR23" s="272" t="str">
        <f t="shared" ca="1" si="37"/>
        <v/>
      </c>
      <c r="BS23" s="270"/>
      <c r="BT23" s="271"/>
      <c r="BU23" s="272" t="str">
        <f t="shared" ca="1" si="38"/>
        <v/>
      </c>
      <c r="BV23" s="270"/>
      <c r="BW23" s="271"/>
      <c r="BX23" s="272" t="str">
        <f t="shared" ca="1" si="39"/>
        <v/>
      </c>
      <c r="BY23" s="270"/>
      <c r="BZ23" s="271"/>
      <c r="CA23" s="272" t="str">
        <f t="shared" ca="1" si="40"/>
        <v/>
      </c>
      <c r="CB23" s="270"/>
      <c r="CC23" s="271"/>
      <c r="CD23" s="272" t="str">
        <f t="shared" ca="1" si="41"/>
        <v/>
      </c>
      <c r="CE23" s="270"/>
      <c r="CF23" s="271"/>
      <c r="CG23" s="272" t="str">
        <f t="shared" ca="1" si="42"/>
        <v/>
      </c>
      <c r="CH23" s="270"/>
      <c r="CI23" s="271"/>
      <c r="CJ23" s="272" t="str">
        <f t="shared" ca="1" si="43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2"/>
        <v/>
      </c>
      <c r="CU23" s="264"/>
      <c r="CV23" s="265"/>
      <c r="CW23" s="264"/>
      <c r="CX23" s="264"/>
      <c r="CY23" s="264" t="str">
        <f t="shared" si="3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6"/>
        <v>0</v>
      </c>
      <c r="DN23" s="295" t="str">
        <f t="shared" si="4"/>
        <v/>
      </c>
    </row>
    <row r="24" spans="1:118" x14ac:dyDescent="0.25">
      <c r="A24" s="599" t="str">
        <f t="shared" si="5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7"/>
        <v/>
      </c>
      <c r="J24" s="312"/>
      <c r="K24" s="268"/>
      <c r="L24" s="277"/>
      <c r="M24" s="279"/>
      <c r="N24" s="280"/>
      <c r="O24" s="280"/>
      <c r="P24" s="455"/>
      <c r="Q24" s="281" t="str">
        <f t="shared" si="8"/>
        <v/>
      </c>
      <c r="R24" s="282">
        <f t="shared" si="9"/>
        <v>0</v>
      </c>
      <c r="S24" s="268"/>
      <c r="T24" s="283">
        <f t="shared" si="1"/>
        <v>0</v>
      </c>
      <c r="U24" s="284">
        <f>IF(M24=0,0,IF(G24="Annulation","",IF(assurance="ALPTIS",M24*12*T24/100*'1805 Data'!$K$4,IF(assurance="APRIL",M24*12*T24/100*'1805 Data'!$F$4,IF(assurance="ASAF",M24*12*T24/100*'1805 Data'!$I$4,IF(assurance="NEOLIANE",('1805 Data'!$G$5+M24*12*'1805 Data'!$G$4)*T24/100,IF(assurance="NEOLIANE Prev",('1805 Data'!$H$5+M24*12*'1805 Data'!$H$4)*T24/100,IF(assurance="SWISSLIFE",M24*12*T24/100*'1805 Data'!$J$4,IF(assurance="AVIVA",M24*12*T24/100*'1805 Data'!$L$4,IF(assurance="CIPRES",M24*12*T24/100*'1805 Data'!$M$4,IF(assurance="CEGEMA",M24*12*T24/100*'1805 Data'!$N$4,IF(assurance=0,0))))))))))))</f>
        <v>0</v>
      </c>
      <c r="V24" s="298" t="str">
        <f t="shared" si="10"/>
        <v/>
      </c>
      <c r="W24" s="298" t="str">
        <f t="shared" si="11"/>
        <v/>
      </c>
      <c r="X24" s="299">
        <f t="shared" si="12"/>
        <v>0</v>
      </c>
      <c r="Y24" s="368">
        <f t="shared" si="13"/>
        <v>0</v>
      </c>
      <c r="Z24" s="314"/>
      <c r="AA24" s="313" t="str">
        <f t="shared" si="14"/>
        <v/>
      </c>
      <c r="AB24" s="268" t="s">
        <v>13</v>
      </c>
      <c r="AC24" s="277"/>
      <c r="AD24" s="309" t="str">
        <f t="shared" si="15"/>
        <v/>
      </c>
      <c r="AE24" s="286" t="str">
        <f t="shared" si="16"/>
        <v/>
      </c>
      <c r="AF24" s="277"/>
      <c r="AG24" s="275" t="str">
        <f t="shared" si="17"/>
        <v/>
      </c>
      <c r="AH24" s="287" t="str">
        <f t="shared" ca="1" si="18"/>
        <v/>
      </c>
      <c r="AI24" s="373" t="str">
        <f t="shared" ca="1" si="19"/>
        <v/>
      </c>
      <c r="AJ24" s="296" t="str">
        <f t="shared" si="20"/>
        <v/>
      </c>
      <c r="AK24" s="296" t="str">
        <f t="shared" si="21"/>
        <v/>
      </c>
      <c r="AL24" s="287" t="str">
        <f t="shared" si="22"/>
        <v/>
      </c>
      <c r="AM24" s="279">
        <f t="shared" si="23"/>
        <v>0</v>
      </c>
      <c r="AN24" s="279">
        <f t="shared" si="24"/>
        <v>0</v>
      </c>
      <c r="AO24" s="288">
        <f t="shared" si="25"/>
        <v>0</v>
      </c>
      <c r="AP24" s="279">
        <f t="shared" si="26"/>
        <v>0</v>
      </c>
      <c r="AQ24" s="288">
        <f t="shared" si="27"/>
        <v>0</v>
      </c>
      <c r="AR24" s="289">
        <f t="shared" si="28"/>
        <v>0</v>
      </c>
      <c r="AS24" s="279">
        <f t="shared" si="29"/>
        <v>0</v>
      </c>
      <c r="AT24" s="288">
        <f t="shared" si="30"/>
        <v>0</v>
      </c>
      <c r="AU24" s="289">
        <f t="shared" si="31"/>
        <v>0</v>
      </c>
      <c r="AV24" s="279">
        <f t="shared" si="32"/>
        <v>0</v>
      </c>
      <c r="AW24" s="288">
        <f t="shared" si="33"/>
        <v>0</v>
      </c>
      <c r="AX24" s="289">
        <f t="shared" si="34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35"/>
        <v/>
      </c>
      <c r="BM24" s="270"/>
      <c r="BN24" s="271"/>
      <c r="BO24" s="272" t="str">
        <f t="shared" ca="1" si="36"/>
        <v/>
      </c>
      <c r="BP24" s="270"/>
      <c r="BQ24" s="271"/>
      <c r="BR24" s="272" t="str">
        <f t="shared" ca="1" si="37"/>
        <v/>
      </c>
      <c r="BS24" s="270"/>
      <c r="BT24" s="271"/>
      <c r="BU24" s="272" t="str">
        <f t="shared" ca="1" si="38"/>
        <v/>
      </c>
      <c r="BV24" s="270"/>
      <c r="BW24" s="271"/>
      <c r="BX24" s="272" t="str">
        <f t="shared" ca="1" si="39"/>
        <v/>
      </c>
      <c r="BY24" s="270"/>
      <c r="BZ24" s="271"/>
      <c r="CA24" s="272" t="str">
        <f t="shared" ca="1" si="40"/>
        <v/>
      </c>
      <c r="CB24" s="270"/>
      <c r="CC24" s="271"/>
      <c r="CD24" s="272" t="str">
        <f t="shared" ca="1" si="41"/>
        <v/>
      </c>
      <c r="CE24" s="270"/>
      <c r="CF24" s="271"/>
      <c r="CG24" s="272" t="str">
        <f t="shared" ca="1" si="42"/>
        <v/>
      </c>
      <c r="CH24" s="270"/>
      <c r="CI24" s="271"/>
      <c r="CJ24" s="272" t="str">
        <f t="shared" ca="1" si="43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2"/>
        <v/>
      </c>
      <c r="CU24" s="264"/>
      <c r="CV24" s="265"/>
      <c r="CW24" s="264"/>
      <c r="CX24" s="264"/>
      <c r="CY24" s="264" t="str">
        <f t="shared" si="3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6"/>
        <v>0</v>
      </c>
      <c r="DN24" s="295" t="str">
        <f t="shared" si="4"/>
        <v/>
      </c>
    </row>
    <row r="25" spans="1:118" x14ac:dyDescent="0.25">
      <c r="A25" s="599" t="str">
        <f t="shared" si="5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7"/>
        <v/>
      </c>
      <c r="J25" s="312"/>
      <c r="K25" s="268"/>
      <c r="L25" s="277"/>
      <c r="M25" s="279"/>
      <c r="N25" s="280"/>
      <c r="O25" s="280"/>
      <c r="P25" s="455"/>
      <c r="Q25" s="281" t="str">
        <f t="shared" si="8"/>
        <v/>
      </c>
      <c r="R25" s="282">
        <f t="shared" si="9"/>
        <v>0</v>
      </c>
      <c r="S25" s="268"/>
      <c r="T25" s="283">
        <f t="shared" si="1"/>
        <v>0</v>
      </c>
      <c r="U25" s="284">
        <f>IF(M25=0,0,IF(G25="Annulation","",IF(assurance="ALPTIS",M25*12*T25/100*'1805 Data'!$K$4,IF(assurance="APRIL",M25*12*T25/100*'1805 Data'!$F$4,IF(assurance="ASAF",M25*12*T25/100*'1805 Data'!$I$4,IF(assurance="NEOLIANE",('1805 Data'!$G$5+M25*12*'1805 Data'!$G$4)*T25/100,IF(assurance="NEOLIANE Prev",('1805 Data'!$H$5+M25*12*'1805 Data'!$H$4)*T25/100,IF(assurance="SWISSLIFE",M25*12*T25/100*'1805 Data'!$J$4,IF(assurance="AVIVA",M25*12*T25/100*'1805 Data'!$L$4,IF(assurance="CIPRES",M25*12*T25/100*'1805 Data'!$M$4,IF(assurance="CEGEMA",M25*12*T25/100*'1805 Data'!$N$4,IF(assurance=0,0))))))))))))</f>
        <v>0</v>
      </c>
      <c r="V25" s="298" t="str">
        <f t="shared" si="10"/>
        <v/>
      </c>
      <c r="W25" s="298" t="str">
        <f t="shared" si="11"/>
        <v/>
      </c>
      <c r="X25" s="299">
        <f t="shared" si="12"/>
        <v>0</v>
      </c>
      <c r="Y25" s="368">
        <f t="shared" si="13"/>
        <v>0</v>
      </c>
      <c r="Z25" s="314"/>
      <c r="AA25" s="313" t="str">
        <f t="shared" si="14"/>
        <v/>
      </c>
      <c r="AB25" s="268" t="s">
        <v>13</v>
      </c>
      <c r="AC25" s="277"/>
      <c r="AD25" s="309" t="str">
        <f t="shared" si="15"/>
        <v/>
      </c>
      <c r="AE25" s="286" t="str">
        <f t="shared" si="16"/>
        <v/>
      </c>
      <c r="AF25" s="277"/>
      <c r="AG25" s="275" t="str">
        <f t="shared" si="17"/>
        <v/>
      </c>
      <c r="AH25" s="287" t="str">
        <f t="shared" ca="1" si="18"/>
        <v/>
      </c>
      <c r="AI25" s="373" t="str">
        <f t="shared" ca="1" si="19"/>
        <v/>
      </c>
      <c r="AJ25" s="296" t="str">
        <f t="shared" si="20"/>
        <v/>
      </c>
      <c r="AK25" s="296" t="str">
        <f t="shared" si="21"/>
        <v/>
      </c>
      <c r="AL25" s="287" t="str">
        <f t="shared" si="22"/>
        <v/>
      </c>
      <c r="AM25" s="279">
        <f t="shared" si="23"/>
        <v>0</v>
      </c>
      <c r="AN25" s="279">
        <f t="shared" si="24"/>
        <v>0</v>
      </c>
      <c r="AO25" s="288">
        <f t="shared" si="25"/>
        <v>0</v>
      </c>
      <c r="AP25" s="279">
        <f t="shared" si="26"/>
        <v>0</v>
      </c>
      <c r="AQ25" s="288">
        <f t="shared" si="27"/>
        <v>0</v>
      </c>
      <c r="AR25" s="289">
        <f t="shared" si="28"/>
        <v>0</v>
      </c>
      <c r="AS25" s="279">
        <f t="shared" si="29"/>
        <v>0</v>
      </c>
      <c r="AT25" s="288">
        <f t="shared" si="30"/>
        <v>0</v>
      </c>
      <c r="AU25" s="289">
        <f t="shared" si="31"/>
        <v>0</v>
      </c>
      <c r="AV25" s="279">
        <f t="shared" si="32"/>
        <v>0</v>
      </c>
      <c r="AW25" s="288">
        <f t="shared" si="33"/>
        <v>0</v>
      </c>
      <c r="AX25" s="289">
        <f t="shared" si="34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35"/>
        <v/>
      </c>
      <c r="BM25" s="270"/>
      <c r="BN25" s="271"/>
      <c r="BO25" s="272" t="str">
        <f t="shared" ca="1" si="36"/>
        <v/>
      </c>
      <c r="BP25" s="270"/>
      <c r="BQ25" s="271"/>
      <c r="BR25" s="272" t="str">
        <f t="shared" ca="1" si="37"/>
        <v/>
      </c>
      <c r="BS25" s="270"/>
      <c r="BT25" s="271"/>
      <c r="BU25" s="272" t="str">
        <f t="shared" ca="1" si="38"/>
        <v/>
      </c>
      <c r="BV25" s="270"/>
      <c r="BW25" s="271"/>
      <c r="BX25" s="272" t="str">
        <f t="shared" ca="1" si="39"/>
        <v/>
      </c>
      <c r="BY25" s="270"/>
      <c r="BZ25" s="271"/>
      <c r="CA25" s="272" t="str">
        <f t="shared" ca="1" si="40"/>
        <v/>
      </c>
      <c r="CB25" s="270"/>
      <c r="CC25" s="271"/>
      <c r="CD25" s="272" t="str">
        <f t="shared" ca="1" si="41"/>
        <v/>
      </c>
      <c r="CE25" s="270"/>
      <c r="CF25" s="271"/>
      <c r="CG25" s="272" t="str">
        <f t="shared" ca="1" si="42"/>
        <v/>
      </c>
      <c r="CH25" s="270"/>
      <c r="CI25" s="271"/>
      <c r="CJ25" s="272" t="str">
        <f t="shared" ca="1" si="43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2"/>
        <v/>
      </c>
      <c r="CU25" s="264"/>
      <c r="CV25" s="265"/>
      <c r="CW25" s="264"/>
      <c r="CX25" s="264"/>
      <c r="CY25" s="264" t="str">
        <f t="shared" si="3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6"/>
        <v>0</v>
      </c>
      <c r="DN25" s="295" t="str">
        <f t="shared" si="4"/>
        <v/>
      </c>
    </row>
    <row r="26" spans="1:118" x14ac:dyDescent="0.25">
      <c r="A26" s="599" t="str">
        <f t="shared" si="5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7"/>
        <v/>
      </c>
      <c r="J26" s="312"/>
      <c r="K26" s="268"/>
      <c r="L26" s="277"/>
      <c r="M26" s="279"/>
      <c r="N26" s="280"/>
      <c r="O26" s="280"/>
      <c r="P26" s="455"/>
      <c r="Q26" s="281" t="str">
        <f t="shared" si="8"/>
        <v/>
      </c>
      <c r="R26" s="282">
        <f t="shared" si="9"/>
        <v>0</v>
      </c>
      <c r="S26" s="268"/>
      <c r="T26" s="283">
        <f t="shared" si="1"/>
        <v>0</v>
      </c>
      <c r="U26" s="284">
        <f>IF(M26=0,0,IF(G26="Annulation","",IF(assurance="ALPTIS",M26*12*T26/100*'1805 Data'!$K$4,IF(assurance="APRIL",M26*12*T26/100*'1805 Data'!$F$4,IF(assurance="ASAF",M26*12*T26/100*'1805 Data'!$I$4,IF(assurance="NEOLIANE",('1805 Data'!$G$5+M26*12*'1805 Data'!$G$4)*T26/100,IF(assurance="NEOLIANE Prev",('1805 Data'!$H$5+M26*12*'1805 Data'!$H$4)*T26/100,IF(assurance="SWISSLIFE",M26*12*T26/100*'1805 Data'!$J$4,IF(assurance="AVIVA",M26*12*T26/100*'1805 Data'!$L$4,IF(assurance="CIPRES",M26*12*T26/100*'1805 Data'!$M$4,IF(assurance="CEGEMA",M26*12*T26/100*'1805 Data'!$N$4,IF(assurance=0,0))))))))))))</f>
        <v>0</v>
      </c>
      <c r="V26" s="298" t="str">
        <f t="shared" si="10"/>
        <v/>
      </c>
      <c r="W26" s="298" t="str">
        <f t="shared" si="11"/>
        <v/>
      </c>
      <c r="X26" s="299">
        <f t="shared" si="12"/>
        <v>0</v>
      </c>
      <c r="Y26" s="368">
        <f t="shared" si="13"/>
        <v>0</v>
      </c>
      <c r="Z26" s="314"/>
      <c r="AA26" s="313" t="str">
        <f t="shared" si="14"/>
        <v/>
      </c>
      <c r="AB26" s="268" t="s">
        <v>13</v>
      </c>
      <c r="AC26" s="277"/>
      <c r="AD26" s="309" t="str">
        <f t="shared" si="15"/>
        <v/>
      </c>
      <c r="AE26" s="286" t="str">
        <f t="shared" si="16"/>
        <v/>
      </c>
      <c r="AF26" s="277"/>
      <c r="AG26" s="275" t="str">
        <f t="shared" si="17"/>
        <v/>
      </c>
      <c r="AH26" s="287" t="str">
        <f t="shared" ca="1" si="18"/>
        <v/>
      </c>
      <c r="AI26" s="373" t="str">
        <f t="shared" ca="1" si="19"/>
        <v/>
      </c>
      <c r="AJ26" s="296" t="str">
        <f t="shared" si="20"/>
        <v/>
      </c>
      <c r="AK26" s="296" t="str">
        <f t="shared" si="21"/>
        <v/>
      </c>
      <c r="AL26" s="287" t="str">
        <f t="shared" si="22"/>
        <v/>
      </c>
      <c r="AM26" s="279">
        <f t="shared" si="23"/>
        <v>0</v>
      </c>
      <c r="AN26" s="279">
        <f t="shared" si="24"/>
        <v>0</v>
      </c>
      <c r="AO26" s="288">
        <f t="shared" si="25"/>
        <v>0</v>
      </c>
      <c r="AP26" s="279">
        <f t="shared" si="26"/>
        <v>0</v>
      </c>
      <c r="AQ26" s="288">
        <f t="shared" si="27"/>
        <v>0</v>
      </c>
      <c r="AR26" s="289">
        <f t="shared" si="28"/>
        <v>0</v>
      </c>
      <c r="AS26" s="279">
        <f t="shared" si="29"/>
        <v>0</v>
      </c>
      <c r="AT26" s="288">
        <f t="shared" si="30"/>
        <v>0</v>
      </c>
      <c r="AU26" s="289">
        <f t="shared" si="31"/>
        <v>0</v>
      </c>
      <c r="AV26" s="279">
        <f t="shared" si="32"/>
        <v>0</v>
      </c>
      <c r="AW26" s="288">
        <f t="shared" si="33"/>
        <v>0</v>
      </c>
      <c r="AX26" s="289">
        <f t="shared" si="34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35"/>
        <v/>
      </c>
      <c r="BM26" s="270"/>
      <c r="BN26" s="271"/>
      <c r="BO26" s="272" t="str">
        <f t="shared" ca="1" si="36"/>
        <v/>
      </c>
      <c r="BP26" s="270"/>
      <c r="BQ26" s="271"/>
      <c r="BR26" s="272" t="str">
        <f t="shared" ca="1" si="37"/>
        <v/>
      </c>
      <c r="BS26" s="270"/>
      <c r="BT26" s="271"/>
      <c r="BU26" s="272" t="str">
        <f t="shared" ca="1" si="38"/>
        <v/>
      </c>
      <c r="BV26" s="270"/>
      <c r="BW26" s="271"/>
      <c r="BX26" s="272" t="str">
        <f t="shared" ca="1" si="39"/>
        <v/>
      </c>
      <c r="BY26" s="270"/>
      <c r="BZ26" s="271"/>
      <c r="CA26" s="272" t="str">
        <f t="shared" ca="1" si="40"/>
        <v/>
      </c>
      <c r="CB26" s="270"/>
      <c r="CC26" s="271"/>
      <c r="CD26" s="272" t="str">
        <f t="shared" ca="1" si="41"/>
        <v/>
      </c>
      <c r="CE26" s="270"/>
      <c r="CF26" s="271"/>
      <c r="CG26" s="272" t="str">
        <f t="shared" ca="1" si="42"/>
        <v/>
      </c>
      <c r="CH26" s="270"/>
      <c r="CI26" s="271"/>
      <c r="CJ26" s="272" t="str">
        <f t="shared" ca="1" si="43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2"/>
        <v/>
      </c>
      <c r="CU26" s="264"/>
      <c r="CV26" s="265"/>
      <c r="CW26" s="264"/>
      <c r="CX26" s="264"/>
      <c r="CY26" s="264" t="str">
        <f t="shared" si="3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6"/>
        <v>0</v>
      </c>
      <c r="DN26" s="295" t="str">
        <f t="shared" si="4"/>
        <v/>
      </c>
    </row>
    <row r="27" spans="1:118" x14ac:dyDescent="0.25">
      <c r="A27" s="599" t="str">
        <f t="shared" si="5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7"/>
        <v/>
      </c>
      <c r="J27" s="312"/>
      <c r="K27" s="268"/>
      <c r="L27" s="277"/>
      <c r="M27" s="279"/>
      <c r="N27" s="280"/>
      <c r="O27" s="280"/>
      <c r="P27" s="455"/>
      <c r="Q27" s="281" t="str">
        <f t="shared" si="8"/>
        <v/>
      </c>
      <c r="R27" s="282">
        <f t="shared" si="9"/>
        <v>0</v>
      </c>
      <c r="S27" s="268"/>
      <c r="T27" s="283">
        <f t="shared" si="1"/>
        <v>0</v>
      </c>
      <c r="U27" s="284">
        <f>IF(M27=0,0,IF(G27="Annulation","",IF(assurance="ALPTIS",M27*12*T27/100*'1805 Data'!$K$4,IF(assurance="APRIL",M27*12*T27/100*'1805 Data'!$F$4,IF(assurance="ASAF",M27*12*T27/100*'1805 Data'!$I$4,IF(assurance="NEOLIANE",('1805 Data'!$G$5+M27*12*'1805 Data'!$G$4)*T27/100,IF(assurance="NEOLIANE Prev",('1805 Data'!$H$5+M27*12*'1805 Data'!$H$4)*T27/100,IF(assurance="SWISSLIFE",M27*12*T27/100*'1805 Data'!$J$4,IF(assurance="AVIVA",M27*12*T27/100*'1805 Data'!$L$4,IF(assurance="CIPRES",M27*12*T27/100*'1805 Data'!$M$4,IF(assurance="CEGEMA",M27*12*T27/100*'1805 Data'!$N$4,IF(assurance=0,0))))))))))))</f>
        <v>0</v>
      </c>
      <c r="V27" s="298" t="str">
        <f t="shared" si="10"/>
        <v/>
      </c>
      <c r="W27" s="298" t="str">
        <f t="shared" si="11"/>
        <v/>
      </c>
      <c r="X27" s="299">
        <f t="shared" si="12"/>
        <v>0</v>
      </c>
      <c r="Y27" s="368">
        <f t="shared" si="13"/>
        <v>0</v>
      </c>
      <c r="Z27" s="314"/>
      <c r="AA27" s="313" t="str">
        <f t="shared" si="14"/>
        <v/>
      </c>
      <c r="AB27" s="268" t="s">
        <v>13</v>
      </c>
      <c r="AC27" s="277"/>
      <c r="AD27" s="309" t="str">
        <f t="shared" si="15"/>
        <v/>
      </c>
      <c r="AE27" s="286" t="str">
        <f t="shared" si="16"/>
        <v/>
      </c>
      <c r="AF27" s="277"/>
      <c r="AG27" s="275" t="str">
        <f t="shared" si="17"/>
        <v/>
      </c>
      <c r="AH27" s="287" t="str">
        <f t="shared" ca="1" si="18"/>
        <v/>
      </c>
      <c r="AI27" s="373" t="str">
        <f t="shared" ca="1" si="19"/>
        <v/>
      </c>
      <c r="AJ27" s="296" t="str">
        <f t="shared" si="20"/>
        <v/>
      </c>
      <c r="AK27" s="296" t="str">
        <f t="shared" si="21"/>
        <v/>
      </c>
      <c r="AL27" s="287" t="str">
        <f t="shared" si="22"/>
        <v/>
      </c>
      <c r="AM27" s="279">
        <f t="shared" si="23"/>
        <v>0</v>
      </c>
      <c r="AN27" s="279">
        <f t="shared" si="24"/>
        <v>0</v>
      </c>
      <c r="AO27" s="288">
        <f t="shared" si="25"/>
        <v>0</v>
      </c>
      <c r="AP27" s="279">
        <f t="shared" si="26"/>
        <v>0</v>
      </c>
      <c r="AQ27" s="288">
        <f t="shared" si="27"/>
        <v>0</v>
      </c>
      <c r="AR27" s="289">
        <f t="shared" si="28"/>
        <v>0</v>
      </c>
      <c r="AS27" s="279">
        <f t="shared" si="29"/>
        <v>0</v>
      </c>
      <c r="AT27" s="288">
        <f t="shared" si="30"/>
        <v>0</v>
      </c>
      <c r="AU27" s="289">
        <f t="shared" si="31"/>
        <v>0</v>
      </c>
      <c r="AV27" s="279">
        <f t="shared" si="32"/>
        <v>0</v>
      </c>
      <c r="AW27" s="288">
        <f t="shared" si="33"/>
        <v>0</v>
      </c>
      <c r="AX27" s="289">
        <f t="shared" si="34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35"/>
        <v/>
      </c>
      <c r="BM27" s="270"/>
      <c r="BN27" s="271"/>
      <c r="BO27" s="272" t="str">
        <f t="shared" ca="1" si="36"/>
        <v/>
      </c>
      <c r="BP27" s="270"/>
      <c r="BQ27" s="271"/>
      <c r="BR27" s="272" t="str">
        <f t="shared" ca="1" si="37"/>
        <v/>
      </c>
      <c r="BS27" s="270"/>
      <c r="BT27" s="271"/>
      <c r="BU27" s="272" t="str">
        <f t="shared" ca="1" si="38"/>
        <v/>
      </c>
      <c r="BV27" s="270"/>
      <c r="BW27" s="271"/>
      <c r="BX27" s="272" t="str">
        <f t="shared" ca="1" si="39"/>
        <v/>
      </c>
      <c r="BY27" s="270"/>
      <c r="BZ27" s="271"/>
      <c r="CA27" s="272" t="str">
        <f t="shared" ca="1" si="40"/>
        <v/>
      </c>
      <c r="CB27" s="270"/>
      <c r="CC27" s="271"/>
      <c r="CD27" s="272" t="str">
        <f t="shared" ca="1" si="41"/>
        <v/>
      </c>
      <c r="CE27" s="270"/>
      <c r="CF27" s="271"/>
      <c r="CG27" s="272" t="str">
        <f t="shared" ca="1" si="42"/>
        <v/>
      </c>
      <c r="CH27" s="270"/>
      <c r="CI27" s="271"/>
      <c r="CJ27" s="272" t="str">
        <f t="shared" ca="1" si="43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2"/>
        <v/>
      </c>
      <c r="CU27" s="264"/>
      <c r="CV27" s="265"/>
      <c r="CW27" s="264"/>
      <c r="CX27" s="264"/>
      <c r="CY27" s="264" t="str">
        <f t="shared" si="3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6"/>
        <v>0</v>
      </c>
      <c r="DN27" s="295" t="str">
        <f t="shared" si="4"/>
        <v/>
      </c>
    </row>
    <row r="28" spans="1:118" x14ac:dyDescent="0.25">
      <c r="A28" s="599" t="str">
        <f t="shared" si="5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7"/>
        <v/>
      </c>
      <c r="J28" s="312"/>
      <c r="K28" s="268"/>
      <c r="L28" s="277"/>
      <c r="M28" s="279"/>
      <c r="N28" s="280"/>
      <c r="O28" s="280"/>
      <c r="P28" s="455"/>
      <c r="Q28" s="281" t="str">
        <f t="shared" si="8"/>
        <v/>
      </c>
      <c r="R28" s="282">
        <f t="shared" si="9"/>
        <v>0</v>
      </c>
      <c r="S28" s="268"/>
      <c r="T28" s="283">
        <f t="shared" si="1"/>
        <v>0</v>
      </c>
      <c r="U28" s="284">
        <f>IF(M28=0,0,IF(G28="Annulation","",IF(assurance="ALPTIS",M28*12*T28/100*'1805 Data'!$K$4,IF(assurance="APRIL",M28*12*T28/100*'1805 Data'!$F$4,IF(assurance="ASAF",M28*12*T28/100*'1805 Data'!$I$4,IF(assurance="NEOLIANE",('1805 Data'!$G$5+M28*12*'1805 Data'!$G$4)*T28/100,IF(assurance="NEOLIANE Prev",('1805 Data'!$H$5+M28*12*'1805 Data'!$H$4)*T28/100,IF(assurance="SWISSLIFE",M28*12*T28/100*'1805 Data'!$J$4,IF(assurance="AVIVA",M28*12*T28/100*'1805 Data'!$L$4,IF(assurance="CIPRES",M28*12*T28/100*'1805 Data'!$M$4,IF(assurance="CEGEMA",M28*12*T28/100*'1805 Data'!$N$4,IF(assurance=0,0))))))))))))</f>
        <v>0</v>
      </c>
      <c r="V28" s="298" t="str">
        <f t="shared" si="10"/>
        <v/>
      </c>
      <c r="W28" s="298" t="str">
        <f t="shared" si="11"/>
        <v/>
      </c>
      <c r="X28" s="299">
        <f t="shared" si="12"/>
        <v>0</v>
      </c>
      <c r="Y28" s="368">
        <f t="shared" si="13"/>
        <v>0</v>
      </c>
      <c r="Z28" s="314"/>
      <c r="AA28" s="313" t="str">
        <f t="shared" si="14"/>
        <v/>
      </c>
      <c r="AB28" s="268" t="s">
        <v>13</v>
      </c>
      <c r="AC28" s="277"/>
      <c r="AD28" s="309" t="str">
        <f t="shared" si="15"/>
        <v/>
      </c>
      <c r="AE28" s="286" t="str">
        <f t="shared" si="16"/>
        <v/>
      </c>
      <c r="AF28" s="277"/>
      <c r="AG28" s="275" t="str">
        <f t="shared" si="17"/>
        <v/>
      </c>
      <c r="AH28" s="287" t="str">
        <f t="shared" ca="1" si="18"/>
        <v/>
      </c>
      <c r="AI28" s="373" t="str">
        <f t="shared" ca="1" si="19"/>
        <v/>
      </c>
      <c r="AJ28" s="296" t="str">
        <f t="shared" si="20"/>
        <v/>
      </c>
      <c r="AK28" s="296" t="str">
        <f t="shared" si="21"/>
        <v/>
      </c>
      <c r="AL28" s="287" t="str">
        <f t="shared" si="22"/>
        <v/>
      </c>
      <c r="AM28" s="279">
        <f t="shared" si="23"/>
        <v>0</v>
      </c>
      <c r="AN28" s="279">
        <f t="shared" si="24"/>
        <v>0</v>
      </c>
      <c r="AO28" s="288">
        <f t="shared" si="25"/>
        <v>0</v>
      </c>
      <c r="AP28" s="279">
        <f t="shared" si="26"/>
        <v>0</v>
      </c>
      <c r="AQ28" s="288">
        <f t="shared" si="27"/>
        <v>0</v>
      </c>
      <c r="AR28" s="289">
        <f t="shared" si="28"/>
        <v>0</v>
      </c>
      <c r="AS28" s="279">
        <f t="shared" si="29"/>
        <v>0</v>
      </c>
      <c r="AT28" s="288">
        <f t="shared" si="30"/>
        <v>0</v>
      </c>
      <c r="AU28" s="289">
        <f t="shared" si="31"/>
        <v>0</v>
      </c>
      <c r="AV28" s="279">
        <f t="shared" si="32"/>
        <v>0</v>
      </c>
      <c r="AW28" s="288">
        <f t="shared" si="33"/>
        <v>0</v>
      </c>
      <c r="AX28" s="289">
        <f t="shared" si="34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35"/>
        <v/>
      </c>
      <c r="BM28" s="270"/>
      <c r="BN28" s="271"/>
      <c r="BO28" s="272" t="str">
        <f t="shared" ca="1" si="36"/>
        <v/>
      </c>
      <c r="BP28" s="270"/>
      <c r="BQ28" s="271"/>
      <c r="BR28" s="272" t="str">
        <f t="shared" ca="1" si="37"/>
        <v/>
      </c>
      <c r="BS28" s="270"/>
      <c r="BT28" s="271"/>
      <c r="BU28" s="272" t="str">
        <f t="shared" ca="1" si="38"/>
        <v/>
      </c>
      <c r="BV28" s="270"/>
      <c r="BW28" s="271"/>
      <c r="BX28" s="272" t="str">
        <f t="shared" ca="1" si="39"/>
        <v/>
      </c>
      <c r="BY28" s="270"/>
      <c r="BZ28" s="271"/>
      <c r="CA28" s="272" t="str">
        <f t="shared" ca="1" si="40"/>
        <v/>
      </c>
      <c r="CB28" s="270"/>
      <c r="CC28" s="271"/>
      <c r="CD28" s="272" t="str">
        <f t="shared" ca="1" si="41"/>
        <v/>
      </c>
      <c r="CE28" s="270"/>
      <c r="CF28" s="271"/>
      <c r="CG28" s="272" t="str">
        <f t="shared" ca="1" si="42"/>
        <v/>
      </c>
      <c r="CH28" s="270"/>
      <c r="CI28" s="271"/>
      <c r="CJ28" s="272" t="str">
        <f t="shared" ca="1" si="43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2"/>
        <v/>
      </c>
      <c r="CU28" s="264"/>
      <c r="CV28" s="265"/>
      <c r="CW28" s="264"/>
      <c r="CX28" s="264"/>
      <c r="CY28" s="264" t="str">
        <f t="shared" si="3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6"/>
        <v>0</v>
      </c>
      <c r="DN28" s="295" t="str">
        <f t="shared" si="4"/>
        <v/>
      </c>
    </row>
    <row r="29" spans="1:118" x14ac:dyDescent="0.25">
      <c r="A29" s="599" t="str">
        <f t="shared" si="5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7"/>
        <v/>
      </c>
      <c r="J29" s="312"/>
      <c r="K29" s="268"/>
      <c r="L29" s="277"/>
      <c r="M29" s="279"/>
      <c r="N29" s="280"/>
      <c r="O29" s="280"/>
      <c r="P29" s="455"/>
      <c r="Q29" s="281" t="str">
        <f t="shared" si="8"/>
        <v/>
      </c>
      <c r="R29" s="282">
        <f t="shared" si="9"/>
        <v>0</v>
      </c>
      <c r="S29" s="268"/>
      <c r="T29" s="283">
        <f t="shared" si="1"/>
        <v>0</v>
      </c>
      <c r="U29" s="284">
        <f>IF(M29=0,0,IF(G29="Annulation","",IF(assurance="ALPTIS",M29*12*T29/100*'1805 Data'!$K$4,IF(assurance="APRIL",M29*12*T29/100*'1805 Data'!$F$4,IF(assurance="ASAF",M29*12*T29/100*'1805 Data'!$I$4,IF(assurance="NEOLIANE",('1805 Data'!$G$5+M29*12*'1805 Data'!$G$4)*T29/100,IF(assurance="NEOLIANE Prev",('1805 Data'!$H$5+M29*12*'1805 Data'!$H$4)*T29/100,IF(assurance="SWISSLIFE",M29*12*T29/100*'1805 Data'!$J$4,IF(assurance="AVIVA",M29*12*T29/100*'1805 Data'!$L$4,IF(assurance="CIPRES",M29*12*T29/100*'1805 Data'!$M$4,IF(assurance="CEGEMA",M29*12*T29/100*'1805 Data'!$N$4,IF(assurance=0,0))))))))))))</f>
        <v>0</v>
      </c>
      <c r="V29" s="298" t="str">
        <f t="shared" si="10"/>
        <v/>
      </c>
      <c r="W29" s="298" t="str">
        <f t="shared" si="11"/>
        <v/>
      </c>
      <c r="X29" s="299">
        <f t="shared" si="12"/>
        <v>0</v>
      </c>
      <c r="Y29" s="368">
        <f t="shared" si="13"/>
        <v>0</v>
      </c>
      <c r="Z29" s="314"/>
      <c r="AA29" s="313" t="str">
        <f t="shared" si="14"/>
        <v/>
      </c>
      <c r="AB29" s="268" t="s">
        <v>13</v>
      </c>
      <c r="AC29" s="277"/>
      <c r="AD29" s="309" t="str">
        <f t="shared" si="15"/>
        <v/>
      </c>
      <c r="AE29" s="286" t="str">
        <f t="shared" si="16"/>
        <v/>
      </c>
      <c r="AF29" s="277"/>
      <c r="AG29" s="275" t="str">
        <f t="shared" si="17"/>
        <v/>
      </c>
      <c r="AH29" s="287" t="str">
        <f t="shared" ca="1" si="18"/>
        <v/>
      </c>
      <c r="AI29" s="373" t="str">
        <f t="shared" ca="1" si="19"/>
        <v/>
      </c>
      <c r="AJ29" s="296" t="str">
        <f t="shared" si="20"/>
        <v/>
      </c>
      <c r="AK29" s="296" t="str">
        <f t="shared" si="21"/>
        <v/>
      </c>
      <c r="AL29" s="287" t="str">
        <f t="shared" si="22"/>
        <v/>
      </c>
      <c r="AM29" s="279">
        <f t="shared" si="23"/>
        <v>0</v>
      </c>
      <c r="AN29" s="279">
        <f t="shared" si="24"/>
        <v>0</v>
      </c>
      <c r="AO29" s="288">
        <f t="shared" si="25"/>
        <v>0</v>
      </c>
      <c r="AP29" s="279">
        <f t="shared" si="26"/>
        <v>0</v>
      </c>
      <c r="AQ29" s="288">
        <f t="shared" si="27"/>
        <v>0</v>
      </c>
      <c r="AR29" s="289">
        <f t="shared" si="28"/>
        <v>0</v>
      </c>
      <c r="AS29" s="279">
        <f t="shared" si="29"/>
        <v>0</v>
      </c>
      <c r="AT29" s="288">
        <f t="shared" si="30"/>
        <v>0</v>
      </c>
      <c r="AU29" s="289">
        <f t="shared" si="31"/>
        <v>0</v>
      </c>
      <c r="AV29" s="279">
        <f t="shared" si="32"/>
        <v>0</v>
      </c>
      <c r="AW29" s="288">
        <f t="shared" si="33"/>
        <v>0</v>
      </c>
      <c r="AX29" s="289">
        <f t="shared" si="34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35"/>
        <v/>
      </c>
      <c r="BM29" s="270"/>
      <c r="BN29" s="271"/>
      <c r="BO29" s="272" t="str">
        <f t="shared" ca="1" si="36"/>
        <v/>
      </c>
      <c r="BP29" s="270"/>
      <c r="BQ29" s="271"/>
      <c r="BR29" s="272" t="str">
        <f t="shared" ca="1" si="37"/>
        <v/>
      </c>
      <c r="BS29" s="270"/>
      <c r="BT29" s="271"/>
      <c r="BU29" s="272" t="str">
        <f t="shared" ca="1" si="38"/>
        <v/>
      </c>
      <c r="BV29" s="270"/>
      <c r="BW29" s="271"/>
      <c r="BX29" s="272" t="str">
        <f t="shared" ca="1" si="39"/>
        <v/>
      </c>
      <c r="BY29" s="270"/>
      <c r="BZ29" s="271"/>
      <c r="CA29" s="272" t="str">
        <f t="shared" ca="1" si="40"/>
        <v/>
      </c>
      <c r="CB29" s="270"/>
      <c r="CC29" s="271"/>
      <c r="CD29" s="272" t="str">
        <f t="shared" ca="1" si="41"/>
        <v/>
      </c>
      <c r="CE29" s="270"/>
      <c r="CF29" s="271"/>
      <c r="CG29" s="272" t="str">
        <f t="shared" ca="1" si="42"/>
        <v/>
      </c>
      <c r="CH29" s="270"/>
      <c r="CI29" s="271"/>
      <c r="CJ29" s="272" t="str">
        <f t="shared" ca="1" si="43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2"/>
        <v/>
      </c>
      <c r="CU29" s="264"/>
      <c r="CV29" s="265"/>
      <c r="CW29" s="264"/>
      <c r="CX29" s="264"/>
      <c r="CY29" s="264" t="str">
        <f t="shared" si="3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6"/>
        <v>0</v>
      </c>
      <c r="DN29" s="295" t="str">
        <f t="shared" si="4"/>
        <v/>
      </c>
    </row>
    <row r="30" spans="1:118" x14ac:dyDescent="0.25">
      <c r="A30" s="599" t="str">
        <f t="shared" si="5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7"/>
        <v/>
      </c>
      <c r="J30" s="312"/>
      <c r="K30" s="268"/>
      <c r="L30" s="277"/>
      <c r="M30" s="279"/>
      <c r="N30" s="280"/>
      <c r="O30" s="280"/>
      <c r="P30" s="455"/>
      <c r="Q30" s="281" t="str">
        <f t="shared" si="8"/>
        <v/>
      </c>
      <c r="R30" s="282">
        <f t="shared" si="9"/>
        <v>0</v>
      </c>
      <c r="S30" s="268"/>
      <c r="T30" s="283">
        <f t="shared" si="1"/>
        <v>0</v>
      </c>
      <c r="U30" s="284">
        <f>IF(M30=0,0,IF(G30="Annulation","",IF(assurance="ALPTIS",M30*12*T30/100*'1805 Data'!$K$4,IF(assurance="APRIL",M30*12*T30/100*'1805 Data'!$F$4,IF(assurance="ASAF",M30*12*T30/100*'1805 Data'!$I$4,IF(assurance="NEOLIANE",('1805 Data'!$G$5+M30*12*'1805 Data'!$G$4)*T30/100,IF(assurance="NEOLIANE Prev",('1805 Data'!$H$5+M30*12*'1805 Data'!$H$4)*T30/100,IF(assurance="SWISSLIFE",M30*12*T30/100*'1805 Data'!$J$4,IF(assurance="AVIVA",M30*12*T30/100*'1805 Data'!$L$4,IF(assurance="CIPRES",M30*12*T30/100*'1805 Data'!$M$4,IF(assurance="CEGEMA",M30*12*T30/100*'1805 Data'!$N$4,IF(assurance=0,0))))))))))))</f>
        <v>0</v>
      </c>
      <c r="V30" s="298" t="str">
        <f t="shared" si="10"/>
        <v/>
      </c>
      <c r="W30" s="298" t="str">
        <f t="shared" si="11"/>
        <v/>
      </c>
      <c r="X30" s="299">
        <f t="shared" si="12"/>
        <v>0</v>
      </c>
      <c r="Y30" s="368">
        <f t="shared" si="13"/>
        <v>0</v>
      </c>
      <c r="Z30" s="314"/>
      <c r="AA30" s="313" t="str">
        <f t="shared" si="14"/>
        <v/>
      </c>
      <c r="AB30" s="268" t="s">
        <v>13</v>
      </c>
      <c r="AC30" s="277"/>
      <c r="AD30" s="309" t="str">
        <f t="shared" si="15"/>
        <v/>
      </c>
      <c r="AE30" s="286" t="str">
        <f t="shared" si="16"/>
        <v/>
      </c>
      <c r="AF30" s="277"/>
      <c r="AG30" s="275" t="str">
        <f t="shared" si="17"/>
        <v/>
      </c>
      <c r="AH30" s="287" t="str">
        <f t="shared" ca="1" si="18"/>
        <v/>
      </c>
      <c r="AI30" s="373" t="str">
        <f t="shared" ca="1" si="19"/>
        <v/>
      </c>
      <c r="AJ30" s="296" t="str">
        <f t="shared" si="20"/>
        <v/>
      </c>
      <c r="AK30" s="296" t="str">
        <f t="shared" si="21"/>
        <v/>
      </c>
      <c r="AL30" s="287" t="str">
        <f t="shared" si="22"/>
        <v/>
      </c>
      <c r="AM30" s="279">
        <f t="shared" si="23"/>
        <v>0</v>
      </c>
      <c r="AN30" s="279">
        <f t="shared" si="24"/>
        <v>0</v>
      </c>
      <c r="AO30" s="288">
        <f t="shared" si="25"/>
        <v>0</v>
      </c>
      <c r="AP30" s="279">
        <f t="shared" si="26"/>
        <v>0</v>
      </c>
      <c r="AQ30" s="288">
        <f t="shared" si="27"/>
        <v>0</v>
      </c>
      <c r="AR30" s="289">
        <f t="shared" si="28"/>
        <v>0</v>
      </c>
      <c r="AS30" s="279">
        <f t="shared" si="29"/>
        <v>0</v>
      </c>
      <c r="AT30" s="288">
        <f t="shared" si="30"/>
        <v>0</v>
      </c>
      <c r="AU30" s="289">
        <f t="shared" si="31"/>
        <v>0</v>
      </c>
      <c r="AV30" s="279">
        <f t="shared" si="32"/>
        <v>0</v>
      </c>
      <c r="AW30" s="288">
        <f t="shared" si="33"/>
        <v>0</v>
      </c>
      <c r="AX30" s="289">
        <f t="shared" si="34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35"/>
        <v/>
      </c>
      <c r="BM30" s="270"/>
      <c r="BN30" s="271"/>
      <c r="BO30" s="272" t="str">
        <f t="shared" ca="1" si="36"/>
        <v/>
      </c>
      <c r="BP30" s="270"/>
      <c r="BQ30" s="271"/>
      <c r="BR30" s="272" t="str">
        <f t="shared" ca="1" si="37"/>
        <v/>
      </c>
      <c r="BS30" s="270"/>
      <c r="BT30" s="271"/>
      <c r="BU30" s="272" t="str">
        <f t="shared" ca="1" si="38"/>
        <v/>
      </c>
      <c r="BV30" s="270"/>
      <c r="BW30" s="271"/>
      <c r="BX30" s="272" t="str">
        <f t="shared" ca="1" si="39"/>
        <v/>
      </c>
      <c r="BY30" s="270"/>
      <c r="BZ30" s="271"/>
      <c r="CA30" s="272" t="str">
        <f t="shared" ca="1" si="40"/>
        <v/>
      </c>
      <c r="CB30" s="270"/>
      <c r="CC30" s="271"/>
      <c r="CD30" s="272" t="str">
        <f t="shared" ca="1" si="41"/>
        <v/>
      </c>
      <c r="CE30" s="270"/>
      <c r="CF30" s="271"/>
      <c r="CG30" s="272" t="str">
        <f t="shared" ca="1" si="42"/>
        <v/>
      </c>
      <c r="CH30" s="270"/>
      <c r="CI30" s="271"/>
      <c r="CJ30" s="272" t="str">
        <f t="shared" ca="1" si="43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2"/>
        <v/>
      </c>
      <c r="CU30" s="264"/>
      <c r="CV30" s="265"/>
      <c r="CW30" s="264"/>
      <c r="CX30" s="264"/>
      <c r="CY30" s="264" t="str">
        <f t="shared" si="3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6"/>
        <v>0</v>
      </c>
      <c r="DN30" s="295" t="str">
        <f t="shared" si="4"/>
        <v/>
      </c>
    </row>
    <row r="31" spans="1:118" x14ac:dyDescent="0.25">
      <c r="A31" s="599" t="str">
        <f t="shared" si="5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7"/>
        <v/>
      </c>
      <c r="J31" s="312"/>
      <c r="K31" s="268"/>
      <c r="L31" s="277"/>
      <c r="M31" s="279"/>
      <c r="N31" s="280"/>
      <c r="O31" s="280"/>
      <c r="P31" s="455"/>
      <c r="Q31" s="281" t="str">
        <f t="shared" si="8"/>
        <v/>
      </c>
      <c r="R31" s="282">
        <f t="shared" si="9"/>
        <v>0</v>
      </c>
      <c r="S31" s="268"/>
      <c r="T31" s="283">
        <f t="shared" si="1"/>
        <v>0</v>
      </c>
      <c r="U31" s="284">
        <f>IF(M31=0,0,IF(G31="Annulation","",IF(assurance="ALPTIS",M31*12*T31/100*'1805 Data'!$K$4,IF(assurance="APRIL",M31*12*T31/100*'1805 Data'!$F$4,IF(assurance="ASAF",M31*12*T31/100*'1805 Data'!$I$4,IF(assurance="NEOLIANE",('1805 Data'!$G$5+M31*12*'1805 Data'!$G$4)*T31/100,IF(assurance="NEOLIANE Prev",('1805 Data'!$H$5+M31*12*'1805 Data'!$H$4)*T31/100,IF(assurance="SWISSLIFE",M31*12*T31/100*'1805 Data'!$J$4,IF(assurance="AVIVA",M31*12*T31/100*'1805 Data'!$L$4,IF(assurance="CIPRES",M31*12*T31/100*'1805 Data'!$M$4,IF(assurance="CEGEMA",M31*12*T31/100*'1805 Data'!$N$4,IF(assurance=0,0))))))))))))</f>
        <v>0</v>
      </c>
      <c r="V31" s="298" t="str">
        <f t="shared" si="10"/>
        <v/>
      </c>
      <c r="W31" s="298" t="str">
        <f t="shared" si="11"/>
        <v/>
      </c>
      <c r="X31" s="299">
        <f t="shared" si="12"/>
        <v>0</v>
      </c>
      <c r="Y31" s="368">
        <f t="shared" si="13"/>
        <v>0</v>
      </c>
      <c r="Z31" s="314"/>
      <c r="AA31" s="313" t="str">
        <f t="shared" si="14"/>
        <v/>
      </c>
      <c r="AB31" s="268" t="s">
        <v>13</v>
      </c>
      <c r="AC31" s="277"/>
      <c r="AD31" s="309" t="str">
        <f t="shared" si="15"/>
        <v/>
      </c>
      <c r="AE31" s="286" t="str">
        <f t="shared" si="16"/>
        <v/>
      </c>
      <c r="AF31" s="277"/>
      <c r="AG31" s="275" t="str">
        <f t="shared" si="17"/>
        <v/>
      </c>
      <c r="AH31" s="287" t="str">
        <f t="shared" ca="1" si="18"/>
        <v/>
      </c>
      <c r="AI31" s="373" t="str">
        <f t="shared" ca="1" si="19"/>
        <v/>
      </c>
      <c r="AJ31" s="296" t="str">
        <f t="shared" si="20"/>
        <v/>
      </c>
      <c r="AK31" s="296" t="str">
        <f t="shared" si="21"/>
        <v/>
      </c>
      <c r="AL31" s="287" t="str">
        <f t="shared" si="22"/>
        <v/>
      </c>
      <c r="AM31" s="279">
        <f t="shared" si="23"/>
        <v>0</v>
      </c>
      <c r="AN31" s="279">
        <f t="shared" si="24"/>
        <v>0</v>
      </c>
      <c r="AO31" s="288">
        <f t="shared" si="25"/>
        <v>0</v>
      </c>
      <c r="AP31" s="279">
        <f t="shared" si="26"/>
        <v>0</v>
      </c>
      <c r="AQ31" s="288">
        <f t="shared" si="27"/>
        <v>0</v>
      </c>
      <c r="AR31" s="289">
        <f t="shared" si="28"/>
        <v>0</v>
      </c>
      <c r="AS31" s="279">
        <f t="shared" si="29"/>
        <v>0</v>
      </c>
      <c r="AT31" s="288">
        <f t="shared" si="30"/>
        <v>0</v>
      </c>
      <c r="AU31" s="289">
        <f t="shared" si="31"/>
        <v>0</v>
      </c>
      <c r="AV31" s="279">
        <f t="shared" si="32"/>
        <v>0</v>
      </c>
      <c r="AW31" s="288">
        <f t="shared" si="33"/>
        <v>0</v>
      </c>
      <c r="AX31" s="289">
        <f t="shared" si="34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35"/>
        <v/>
      </c>
      <c r="BM31" s="270"/>
      <c r="BN31" s="271"/>
      <c r="BO31" s="272" t="str">
        <f t="shared" ca="1" si="36"/>
        <v/>
      </c>
      <c r="BP31" s="270"/>
      <c r="BQ31" s="271"/>
      <c r="BR31" s="272" t="str">
        <f t="shared" ca="1" si="37"/>
        <v/>
      </c>
      <c r="BS31" s="270"/>
      <c r="BT31" s="271"/>
      <c r="BU31" s="272" t="str">
        <f t="shared" ca="1" si="38"/>
        <v/>
      </c>
      <c r="BV31" s="270"/>
      <c r="BW31" s="271"/>
      <c r="BX31" s="272" t="str">
        <f t="shared" ca="1" si="39"/>
        <v/>
      </c>
      <c r="BY31" s="270"/>
      <c r="BZ31" s="271"/>
      <c r="CA31" s="272" t="str">
        <f t="shared" ca="1" si="40"/>
        <v/>
      </c>
      <c r="CB31" s="270"/>
      <c r="CC31" s="271"/>
      <c r="CD31" s="272" t="str">
        <f t="shared" ca="1" si="41"/>
        <v/>
      </c>
      <c r="CE31" s="270"/>
      <c r="CF31" s="271"/>
      <c r="CG31" s="272" t="str">
        <f t="shared" ca="1" si="42"/>
        <v/>
      </c>
      <c r="CH31" s="270"/>
      <c r="CI31" s="271"/>
      <c r="CJ31" s="272" t="str">
        <f t="shared" ca="1" si="43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2"/>
        <v/>
      </c>
      <c r="CU31" s="264"/>
      <c r="CV31" s="265"/>
      <c r="CW31" s="264"/>
      <c r="CX31" s="264"/>
      <c r="CY31" s="264" t="str">
        <f t="shared" si="3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6"/>
        <v>0</v>
      </c>
      <c r="DN31" s="295" t="str">
        <f t="shared" si="4"/>
        <v/>
      </c>
    </row>
    <row r="32" spans="1:118" x14ac:dyDescent="0.25">
      <c r="A32" s="599" t="str">
        <f t="shared" si="5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7"/>
        <v/>
      </c>
      <c r="J32" s="312"/>
      <c r="K32" s="268"/>
      <c r="L32" s="277"/>
      <c r="M32" s="279"/>
      <c r="N32" s="280"/>
      <c r="O32" s="280"/>
      <c r="P32" s="455"/>
      <c r="Q32" s="281" t="str">
        <f t="shared" si="8"/>
        <v/>
      </c>
      <c r="R32" s="282">
        <f t="shared" si="9"/>
        <v>0</v>
      </c>
      <c r="S32" s="268"/>
      <c r="T32" s="283">
        <f t="shared" si="1"/>
        <v>0</v>
      </c>
      <c r="U32" s="284">
        <f>IF(M32=0,0,IF(G32="Annulation","",IF(assurance="ALPTIS",M32*12*T32/100*'1805 Data'!$K$4,IF(assurance="APRIL",M32*12*T32/100*'1805 Data'!$F$4,IF(assurance="ASAF",M32*12*T32/100*'1805 Data'!$I$4,IF(assurance="NEOLIANE",('1805 Data'!$G$5+M32*12*'1805 Data'!$G$4)*T32/100,IF(assurance="NEOLIANE Prev",('1805 Data'!$H$5+M32*12*'1805 Data'!$H$4)*T32/100,IF(assurance="SWISSLIFE",M32*12*T32/100*'1805 Data'!$J$4,IF(assurance="AVIVA",M32*12*T32/100*'1805 Data'!$L$4,IF(assurance="CIPRES",M32*12*T32/100*'1805 Data'!$M$4,IF(assurance="CEGEMA",M32*12*T32/100*'1805 Data'!$N$4,IF(assurance=0,0))))))))))))</f>
        <v>0</v>
      </c>
      <c r="V32" s="298" t="str">
        <f t="shared" si="10"/>
        <v/>
      </c>
      <c r="W32" s="298" t="str">
        <f t="shared" si="11"/>
        <v/>
      </c>
      <c r="X32" s="299">
        <f t="shared" si="12"/>
        <v>0</v>
      </c>
      <c r="Y32" s="368">
        <f t="shared" si="13"/>
        <v>0</v>
      </c>
      <c r="Z32" s="314"/>
      <c r="AA32" s="313" t="str">
        <f t="shared" si="14"/>
        <v/>
      </c>
      <c r="AB32" s="268" t="s">
        <v>13</v>
      </c>
      <c r="AC32" s="277"/>
      <c r="AD32" s="309" t="str">
        <f t="shared" si="15"/>
        <v/>
      </c>
      <c r="AE32" s="286" t="str">
        <f t="shared" si="16"/>
        <v/>
      </c>
      <c r="AF32" s="277"/>
      <c r="AG32" s="275" t="str">
        <f t="shared" si="17"/>
        <v/>
      </c>
      <c r="AH32" s="287" t="str">
        <f t="shared" ca="1" si="18"/>
        <v/>
      </c>
      <c r="AI32" s="373" t="str">
        <f t="shared" ca="1" si="19"/>
        <v/>
      </c>
      <c r="AJ32" s="296" t="str">
        <f t="shared" si="20"/>
        <v/>
      </c>
      <c r="AK32" s="296" t="str">
        <f t="shared" si="21"/>
        <v/>
      </c>
      <c r="AL32" s="287" t="str">
        <f t="shared" si="22"/>
        <v/>
      </c>
      <c r="AM32" s="279">
        <f t="shared" si="23"/>
        <v>0</v>
      </c>
      <c r="AN32" s="279">
        <f t="shared" si="24"/>
        <v>0</v>
      </c>
      <c r="AO32" s="288">
        <f t="shared" si="25"/>
        <v>0</v>
      </c>
      <c r="AP32" s="279">
        <f t="shared" si="26"/>
        <v>0</v>
      </c>
      <c r="AQ32" s="288">
        <f t="shared" si="27"/>
        <v>0</v>
      </c>
      <c r="AR32" s="289">
        <f t="shared" si="28"/>
        <v>0</v>
      </c>
      <c r="AS32" s="279">
        <f t="shared" si="29"/>
        <v>0</v>
      </c>
      <c r="AT32" s="288">
        <f t="shared" si="30"/>
        <v>0</v>
      </c>
      <c r="AU32" s="289">
        <f t="shared" si="31"/>
        <v>0</v>
      </c>
      <c r="AV32" s="279">
        <f t="shared" si="32"/>
        <v>0</v>
      </c>
      <c r="AW32" s="288">
        <f t="shared" si="33"/>
        <v>0</v>
      </c>
      <c r="AX32" s="289">
        <f t="shared" si="34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35"/>
        <v/>
      </c>
      <c r="BM32" s="270"/>
      <c r="BN32" s="271"/>
      <c r="BO32" s="272" t="str">
        <f t="shared" ca="1" si="36"/>
        <v/>
      </c>
      <c r="BP32" s="270"/>
      <c r="BQ32" s="271"/>
      <c r="BR32" s="272" t="str">
        <f t="shared" ca="1" si="37"/>
        <v/>
      </c>
      <c r="BS32" s="270"/>
      <c r="BT32" s="271"/>
      <c r="BU32" s="272" t="str">
        <f t="shared" ca="1" si="38"/>
        <v/>
      </c>
      <c r="BV32" s="270"/>
      <c r="BW32" s="271"/>
      <c r="BX32" s="272" t="str">
        <f t="shared" ca="1" si="39"/>
        <v/>
      </c>
      <c r="BY32" s="270"/>
      <c r="BZ32" s="271"/>
      <c r="CA32" s="272" t="str">
        <f t="shared" ca="1" si="40"/>
        <v/>
      </c>
      <c r="CB32" s="270"/>
      <c r="CC32" s="271"/>
      <c r="CD32" s="272" t="str">
        <f t="shared" ca="1" si="41"/>
        <v/>
      </c>
      <c r="CE32" s="270"/>
      <c r="CF32" s="271"/>
      <c r="CG32" s="272" t="str">
        <f t="shared" ca="1" si="42"/>
        <v/>
      </c>
      <c r="CH32" s="270"/>
      <c r="CI32" s="271"/>
      <c r="CJ32" s="272" t="str">
        <f t="shared" ca="1" si="43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2"/>
        <v/>
      </c>
      <c r="CU32" s="264"/>
      <c r="CV32" s="265"/>
      <c r="CW32" s="264"/>
      <c r="CX32" s="264"/>
      <c r="CY32" s="264" t="str">
        <f t="shared" si="3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6"/>
        <v>0</v>
      </c>
      <c r="DN32" s="295" t="str">
        <f t="shared" si="4"/>
        <v/>
      </c>
    </row>
    <row r="33" spans="1:118" x14ac:dyDescent="0.25">
      <c r="A33" s="599" t="str">
        <f t="shared" si="5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7"/>
        <v/>
      </c>
      <c r="J33" s="312"/>
      <c r="K33" s="268"/>
      <c r="L33" s="277"/>
      <c r="M33" s="279"/>
      <c r="N33" s="280"/>
      <c r="O33" s="280"/>
      <c r="P33" s="455"/>
      <c r="Q33" s="281" t="str">
        <f t="shared" si="8"/>
        <v/>
      </c>
      <c r="R33" s="282">
        <f t="shared" si="9"/>
        <v>0</v>
      </c>
      <c r="S33" s="268"/>
      <c r="T33" s="283">
        <f t="shared" si="1"/>
        <v>0</v>
      </c>
      <c r="U33" s="284">
        <f>IF(M33=0,0,IF(G33="Annulation","",IF(assurance="ALPTIS",M33*12*T33/100*'1805 Data'!$K$4,IF(assurance="APRIL",M33*12*T33/100*'1805 Data'!$F$4,IF(assurance="ASAF",M33*12*T33/100*'1805 Data'!$I$4,IF(assurance="NEOLIANE",('1805 Data'!$G$5+M33*12*'1805 Data'!$G$4)*T33/100,IF(assurance="NEOLIANE Prev",('1805 Data'!$H$5+M33*12*'1805 Data'!$H$4)*T33/100,IF(assurance="SWISSLIFE",M33*12*T33/100*'1805 Data'!$J$4,IF(assurance="AVIVA",M33*12*T33/100*'1805 Data'!$L$4,IF(assurance="CIPRES",M33*12*T33/100*'1805 Data'!$M$4,IF(assurance="CEGEMA",M33*12*T33/100*'1805 Data'!$N$4,IF(assurance=0,0))))))))))))</f>
        <v>0</v>
      </c>
      <c r="V33" s="298" t="str">
        <f t="shared" si="10"/>
        <v/>
      </c>
      <c r="W33" s="298" t="str">
        <f t="shared" si="11"/>
        <v/>
      </c>
      <c r="X33" s="299">
        <f t="shared" si="12"/>
        <v>0</v>
      </c>
      <c r="Y33" s="368">
        <f t="shared" si="13"/>
        <v>0</v>
      </c>
      <c r="Z33" s="314"/>
      <c r="AA33" s="313" t="str">
        <f t="shared" si="14"/>
        <v/>
      </c>
      <c r="AB33" s="268" t="s">
        <v>13</v>
      </c>
      <c r="AC33" s="277"/>
      <c r="AD33" s="309" t="str">
        <f t="shared" si="15"/>
        <v/>
      </c>
      <c r="AE33" s="286" t="str">
        <f t="shared" si="16"/>
        <v/>
      </c>
      <c r="AF33" s="277"/>
      <c r="AG33" s="275" t="str">
        <f t="shared" si="17"/>
        <v/>
      </c>
      <c r="AH33" s="287" t="str">
        <f t="shared" ca="1" si="18"/>
        <v/>
      </c>
      <c r="AI33" s="373" t="str">
        <f t="shared" ca="1" si="19"/>
        <v/>
      </c>
      <c r="AJ33" s="296" t="str">
        <f t="shared" si="20"/>
        <v/>
      </c>
      <c r="AK33" s="296" t="str">
        <f t="shared" si="21"/>
        <v/>
      </c>
      <c r="AL33" s="287" t="str">
        <f t="shared" si="22"/>
        <v/>
      </c>
      <c r="AM33" s="279">
        <f t="shared" si="23"/>
        <v>0</v>
      </c>
      <c r="AN33" s="279">
        <f t="shared" si="24"/>
        <v>0</v>
      </c>
      <c r="AO33" s="288">
        <f t="shared" si="25"/>
        <v>0</v>
      </c>
      <c r="AP33" s="279">
        <f t="shared" si="26"/>
        <v>0</v>
      </c>
      <c r="AQ33" s="288">
        <f t="shared" si="27"/>
        <v>0</v>
      </c>
      <c r="AR33" s="289">
        <f t="shared" si="28"/>
        <v>0</v>
      </c>
      <c r="AS33" s="279">
        <f t="shared" si="29"/>
        <v>0</v>
      </c>
      <c r="AT33" s="288">
        <f t="shared" si="30"/>
        <v>0</v>
      </c>
      <c r="AU33" s="289">
        <f t="shared" si="31"/>
        <v>0</v>
      </c>
      <c r="AV33" s="279">
        <f t="shared" si="32"/>
        <v>0</v>
      </c>
      <c r="AW33" s="288">
        <f t="shared" si="33"/>
        <v>0</v>
      </c>
      <c r="AX33" s="289">
        <f t="shared" si="34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35"/>
        <v/>
      </c>
      <c r="BM33" s="270"/>
      <c r="BN33" s="271"/>
      <c r="BO33" s="272" t="str">
        <f t="shared" ca="1" si="36"/>
        <v/>
      </c>
      <c r="BP33" s="270"/>
      <c r="BQ33" s="271"/>
      <c r="BR33" s="272" t="str">
        <f t="shared" ca="1" si="37"/>
        <v/>
      </c>
      <c r="BS33" s="270"/>
      <c r="BT33" s="271"/>
      <c r="BU33" s="272" t="str">
        <f t="shared" ca="1" si="38"/>
        <v/>
      </c>
      <c r="BV33" s="270"/>
      <c r="BW33" s="271"/>
      <c r="BX33" s="272" t="str">
        <f t="shared" ca="1" si="39"/>
        <v/>
      </c>
      <c r="BY33" s="270"/>
      <c r="BZ33" s="271"/>
      <c r="CA33" s="272" t="str">
        <f t="shared" ca="1" si="40"/>
        <v/>
      </c>
      <c r="CB33" s="270"/>
      <c r="CC33" s="271"/>
      <c r="CD33" s="272" t="str">
        <f t="shared" ca="1" si="41"/>
        <v/>
      </c>
      <c r="CE33" s="270"/>
      <c r="CF33" s="271"/>
      <c r="CG33" s="272" t="str">
        <f t="shared" ca="1" si="42"/>
        <v/>
      </c>
      <c r="CH33" s="270"/>
      <c r="CI33" s="271"/>
      <c r="CJ33" s="272" t="str">
        <f t="shared" ca="1" si="43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2"/>
        <v/>
      </c>
      <c r="CU33" s="264"/>
      <c r="CV33" s="265"/>
      <c r="CW33" s="264"/>
      <c r="CX33" s="264"/>
      <c r="CY33" s="264" t="str">
        <f t="shared" si="3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6"/>
        <v>0</v>
      </c>
      <c r="DN33" s="295" t="str">
        <f t="shared" si="4"/>
        <v/>
      </c>
    </row>
    <row r="34" spans="1:118" x14ac:dyDescent="0.25">
      <c r="A34" s="599" t="str">
        <f t="shared" si="5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7"/>
        <v/>
      </c>
      <c r="J34" s="312"/>
      <c r="K34" s="268"/>
      <c r="L34" s="277"/>
      <c r="M34" s="279"/>
      <c r="N34" s="280"/>
      <c r="O34" s="280"/>
      <c r="P34" s="455"/>
      <c r="Q34" s="281" t="str">
        <f t="shared" si="8"/>
        <v/>
      </c>
      <c r="R34" s="282">
        <f t="shared" si="9"/>
        <v>0</v>
      </c>
      <c r="S34" s="268"/>
      <c r="T34" s="283">
        <f t="shared" ref="T34:T58" si="44">IF(G34="Annulation","",IF(assurance="ALPTIS",IF(L34="SO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4" s="284">
        <f>IF(M34=0,0,IF(G34="Annulation","",IF(assurance="ALPTIS",M34*12*T34/100*'1805 Data'!$K$4,IF(assurance="APRIL",M34*12*T34/100*'1805 Data'!$F$4,IF(assurance="ASAF",M34*12*T34/100*'1805 Data'!$I$4,IF(assurance="NEOLIANE",('1805 Data'!$G$5+M34*12*'1805 Data'!$G$4)*T34/100,IF(assurance="NEOLIANE Prev",('1805 Data'!$H$5+M34*12*'1805 Data'!$H$4)*T34/100,IF(assurance="SWISSLIFE",M34*12*T34/100*'1805 Data'!$J$4,IF(assurance="AVIVA",M34*12*T34/100*'1805 Data'!$L$4,IF(assurance="CIPRES",M34*12*T34/100*'1805 Data'!$M$4,IF(assurance="CEGEMA",M34*12*T34/100*'1805 Data'!$N$4,IF(assurance=0,0))))))))))))</f>
        <v>0</v>
      </c>
      <c r="V34" s="298" t="str">
        <f t="shared" si="10"/>
        <v/>
      </c>
      <c r="W34" s="298" t="str">
        <f t="shared" si="11"/>
        <v/>
      </c>
      <c r="X34" s="299">
        <f t="shared" si="12"/>
        <v>0</v>
      </c>
      <c r="Y34" s="368">
        <f t="shared" si="13"/>
        <v>0</v>
      </c>
      <c r="Z34" s="314"/>
      <c r="AA34" s="313" t="str">
        <f t="shared" si="14"/>
        <v/>
      </c>
      <c r="AB34" s="268" t="s">
        <v>13</v>
      </c>
      <c r="AC34" s="277"/>
      <c r="AD34" s="309" t="str">
        <f t="shared" si="15"/>
        <v/>
      </c>
      <c r="AE34" s="286" t="str">
        <f t="shared" si="16"/>
        <v/>
      </c>
      <c r="AF34" s="277"/>
      <c r="AG34" s="275" t="str">
        <f t="shared" si="17"/>
        <v/>
      </c>
      <c r="AH34" s="287" t="str">
        <f t="shared" ca="1" si="18"/>
        <v/>
      </c>
      <c r="AI34" s="373" t="str">
        <f t="shared" ca="1" si="19"/>
        <v/>
      </c>
      <c r="AJ34" s="296" t="str">
        <f t="shared" si="20"/>
        <v/>
      </c>
      <c r="AK34" s="296" t="str">
        <f t="shared" si="21"/>
        <v/>
      </c>
      <c r="AL34" s="287" t="str">
        <f t="shared" si="22"/>
        <v/>
      </c>
      <c r="AM34" s="279">
        <f t="shared" si="23"/>
        <v>0</v>
      </c>
      <c r="AN34" s="279">
        <f t="shared" si="24"/>
        <v>0</v>
      </c>
      <c r="AO34" s="288">
        <f t="shared" si="25"/>
        <v>0</v>
      </c>
      <c r="AP34" s="279">
        <f t="shared" si="26"/>
        <v>0</v>
      </c>
      <c r="AQ34" s="288">
        <f t="shared" si="27"/>
        <v>0</v>
      </c>
      <c r="AR34" s="289">
        <f t="shared" si="28"/>
        <v>0</v>
      </c>
      <c r="AS34" s="279">
        <f t="shared" si="29"/>
        <v>0</v>
      </c>
      <c r="AT34" s="288">
        <f t="shared" si="30"/>
        <v>0</v>
      </c>
      <c r="AU34" s="289">
        <f t="shared" si="31"/>
        <v>0</v>
      </c>
      <c r="AV34" s="279">
        <f t="shared" si="32"/>
        <v>0</v>
      </c>
      <c r="AW34" s="288">
        <f t="shared" si="33"/>
        <v>0</v>
      </c>
      <c r="AX34" s="289">
        <f t="shared" si="34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35"/>
        <v/>
      </c>
      <c r="BM34" s="270"/>
      <c r="BN34" s="271"/>
      <c r="BO34" s="272" t="str">
        <f t="shared" ca="1" si="36"/>
        <v/>
      </c>
      <c r="BP34" s="270"/>
      <c r="BQ34" s="271"/>
      <c r="BR34" s="272" t="str">
        <f t="shared" ca="1" si="37"/>
        <v/>
      </c>
      <c r="BS34" s="270"/>
      <c r="BT34" s="271"/>
      <c r="BU34" s="272" t="str">
        <f t="shared" ca="1" si="38"/>
        <v/>
      </c>
      <c r="BV34" s="270"/>
      <c r="BW34" s="271"/>
      <c r="BX34" s="272" t="str">
        <f t="shared" ca="1" si="39"/>
        <v/>
      </c>
      <c r="BY34" s="270"/>
      <c r="BZ34" s="271"/>
      <c r="CA34" s="272" t="str">
        <f t="shared" ca="1" si="40"/>
        <v/>
      </c>
      <c r="CB34" s="270"/>
      <c r="CC34" s="271"/>
      <c r="CD34" s="272" t="str">
        <f t="shared" ca="1" si="41"/>
        <v/>
      </c>
      <c r="CE34" s="270"/>
      <c r="CF34" s="271"/>
      <c r="CG34" s="272" t="str">
        <f t="shared" ca="1" si="42"/>
        <v/>
      </c>
      <c r="CH34" s="270"/>
      <c r="CI34" s="271"/>
      <c r="CJ34" s="272" t="str">
        <f t="shared" ca="1" si="43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ref="CT34:CT58" si="45">IF(J34="Prev. Pro",IF(BL34=118,"",BL34),"")</f>
        <v/>
      </c>
      <c r="CU34" s="264"/>
      <c r="CV34" s="265"/>
      <c r="CW34" s="264"/>
      <c r="CX34" s="264"/>
      <c r="CY34" s="264" t="str">
        <f t="shared" ref="CY34:CY58" si="46">IF(J34&lt;&gt;"Prev. Pro","",IF(AC34="","Non",IF(J34="Prev. Pro","Oui","Non")))</f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si="6"/>
        <v>0</v>
      </c>
      <c r="DN34" s="295" t="str">
        <f t="shared" ref="DN34:DN58" si="47">IF(C34=0,"",IF((IF(C34=0,"",IF(BJ34=0,"KO",IF(J34="Santé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="OK",IF(G34="Pré 2018 OK","AJ",(IF(C34=0,"",IF(BJ34=0,"KO",IF(J34="Santé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)</f>
        <v/>
      </c>
    </row>
    <row r="35" spans="1:118" x14ac:dyDescent="0.25">
      <c r="A35" s="599" t="str">
        <f t="shared" si="5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7"/>
        <v/>
      </c>
      <c r="J35" s="312"/>
      <c r="K35" s="268"/>
      <c r="L35" s="277"/>
      <c r="M35" s="279"/>
      <c r="N35" s="280"/>
      <c r="O35" s="280"/>
      <c r="P35" s="455"/>
      <c r="Q35" s="281" t="str">
        <f t="shared" si="8"/>
        <v/>
      </c>
      <c r="R35" s="282">
        <f t="shared" si="9"/>
        <v>0</v>
      </c>
      <c r="S35" s="268"/>
      <c r="T35" s="283">
        <f t="shared" si="44"/>
        <v>0</v>
      </c>
      <c r="U35" s="284">
        <f>IF(M35=0,0,IF(G35="Annulation","",IF(assurance="ALPTIS",M35*12*T35/100*'1805 Data'!$K$4,IF(assurance="APRIL",M35*12*T35/100*'1805 Data'!$F$4,IF(assurance="ASAF",M35*12*T35/100*'1805 Data'!$I$4,IF(assurance="NEOLIANE",('1805 Data'!$G$5+M35*12*'1805 Data'!$G$4)*T35/100,IF(assurance="NEOLIANE Prev",('1805 Data'!$H$5+M35*12*'1805 Data'!$H$4)*T35/100,IF(assurance="SWISSLIFE",M35*12*T35/100*'1805 Data'!$J$4,IF(assurance="AVIVA",M35*12*T35/100*'1805 Data'!$L$4,IF(assurance="CIPRES",M35*12*T35/100*'1805 Data'!$M$4,IF(assurance="CEGEMA",M35*12*T35/100*'1805 Data'!$N$4,IF(assurance=0,0))))))))))))</f>
        <v>0</v>
      </c>
      <c r="V35" s="298" t="str">
        <f t="shared" si="10"/>
        <v/>
      </c>
      <c r="W35" s="298" t="str">
        <f t="shared" si="11"/>
        <v/>
      </c>
      <c r="X35" s="299">
        <f t="shared" si="12"/>
        <v>0</v>
      </c>
      <c r="Y35" s="368">
        <f t="shared" si="13"/>
        <v>0</v>
      </c>
      <c r="Z35" s="314"/>
      <c r="AA35" s="313" t="str">
        <f t="shared" si="14"/>
        <v/>
      </c>
      <c r="AB35" s="268" t="s">
        <v>13</v>
      </c>
      <c r="AC35" s="277"/>
      <c r="AD35" s="309" t="str">
        <f t="shared" si="15"/>
        <v/>
      </c>
      <c r="AE35" s="286" t="str">
        <f t="shared" si="16"/>
        <v/>
      </c>
      <c r="AF35" s="277"/>
      <c r="AG35" s="275" t="str">
        <f t="shared" si="17"/>
        <v/>
      </c>
      <c r="AH35" s="287" t="str">
        <f t="shared" ca="1" si="18"/>
        <v/>
      </c>
      <c r="AI35" s="373" t="str">
        <f t="shared" ca="1" si="19"/>
        <v/>
      </c>
      <c r="AJ35" s="296" t="str">
        <f t="shared" si="20"/>
        <v/>
      </c>
      <c r="AK35" s="296" t="str">
        <f t="shared" si="21"/>
        <v/>
      </c>
      <c r="AL35" s="287" t="str">
        <f t="shared" si="22"/>
        <v/>
      </c>
      <c r="AM35" s="279">
        <f t="shared" si="23"/>
        <v>0</v>
      </c>
      <c r="AN35" s="279">
        <f t="shared" si="24"/>
        <v>0</v>
      </c>
      <c r="AO35" s="288">
        <f t="shared" si="25"/>
        <v>0</v>
      </c>
      <c r="AP35" s="279">
        <f t="shared" si="26"/>
        <v>0</v>
      </c>
      <c r="AQ35" s="288">
        <f t="shared" si="27"/>
        <v>0</v>
      </c>
      <c r="AR35" s="289">
        <f t="shared" si="28"/>
        <v>0</v>
      </c>
      <c r="AS35" s="279">
        <f t="shared" si="29"/>
        <v>0</v>
      </c>
      <c r="AT35" s="288">
        <f t="shared" si="30"/>
        <v>0</v>
      </c>
      <c r="AU35" s="289">
        <f t="shared" si="31"/>
        <v>0</v>
      </c>
      <c r="AV35" s="279">
        <f t="shared" si="32"/>
        <v>0</v>
      </c>
      <c r="AW35" s="288">
        <f t="shared" si="33"/>
        <v>0</v>
      </c>
      <c r="AX35" s="289">
        <f t="shared" si="34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35"/>
        <v/>
      </c>
      <c r="BM35" s="270"/>
      <c r="BN35" s="271"/>
      <c r="BO35" s="272" t="str">
        <f t="shared" ca="1" si="36"/>
        <v/>
      </c>
      <c r="BP35" s="270"/>
      <c r="BQ35" s="271"/>
      <c r="BR35" s="272" t="str">
        <f t="shared" ca="1" si="37"/>
        <v/>
      </c>
      <c r="BS35" s="270"/>
      <c r="BT35" s="271"/>
      <c r="BU35" s="272" t="str">
        <f t="shared" ca="1" si="38"/>
        <v/>
      </c>
      <c r="BV35" s="270"/>
      <c r="BW35" s="271"/>
      <c r="BX35" s="272" t="str">
        <f t="shared" ca="1" si="39"/>
        <v/>
      </c>
      <c r="BY35" s="270"/>
      <c r="BZ35" s="271"/>
      <c r="CA35" s="272" t="str">
        <f t="shared" ca="1" si="40"/>
        <v/>
      </c>
      <c r="CB35" s="270"/>
      <c r="CC35" s="271"/>
      <c r="CD35" s="272" t="str">
        <f t="shared" ca="1" si="41"/>
        <v/>
      </c>
      <c r="CE35" s="270"/>
      <c r="CF35" s="271"/>
      <c r="CG35" s="272" t="str">
        <f t="shared" ca="1" si="42"/>
        <v/>
      </c>
      <c r="CH35" s="270"/>
      <c r="CI35" s="271"/>
      <c r="CJ35" s="272" t="str">
        <f t="shared" ca="1" si="43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45"/>
        <v/>
      </c>
      <c r="CU35" s="264"/>
      <c r="CV35" s="265"/>
      <c r="CW35" s="264"/>
      <c r="CX35" s="264"/>
      <c r="CY35" s="264" t="str">
        <f t="shared" si="46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6"/>
        <v>0</v>
      </c>
      <c r="DN35" s="295" t="str">
        <f t="shared" si="47"/>
        <v/>
      </c>
    </row>
    <row r="36" spans="1:118" x14ac:dyDescent="0.25">
      <c r="A36" s="599" t="str">
        <f t="shared" si="5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7"/>
        <v/>
      </c>
      <c r="J36" s="312"/>
      <c r="K36" s="268"/>
      <c r="L36" s="277"/>
      <c r="M36" s="279"/>
      <c r="N36" s="280"/>
      <c r="O36" s="280"/>
      <c r="P36" s="455"/>
      <c r="Q36" s="281" t="str">
        <f t="shared" si="8"/>
        <v/>
      </c>
      <c r="R36" s="282">
        <f t="shared" si="9"/>
        <v>0</v>
      </c>
      <c r="S36" s="268"/>
      <c r="T36" s="283">
        <f t="shared" si="44"/>
        <v>0</v>
      </c>
      <c r="U36" s="284">
        <f>IF(M36=0,0,IF(G36="Annulation","",IF(assurance="ALPTIS",M36*12*T36/100*'1805 Data'!$K$4,IF(assurance="APRIL",M36*12*T36/100*'1805 Data'!$F$4,IF(assurance="ASAF",M36*12*T36/100*'1805 Data'!$I$4,IF(assurance="NEOLIANE",('1805 Data'!$G$5+M36*12*'1805 Data'!$G$4)*T36/100,IF(assurance="NEOLIANE Prev",('1805 Data'!$H$5+M36*12*'1805 Data'!$H$4)*T36/100,IF(assurance="SWISSLIFE",M36*12*T36/100*'1805 Data'!$J$4,IF(assurance="AVIVA",M36*12*T36/100*'1805 Data'!$L$4,IF(assurance="CIPRES",M36*12*T36/100*'1805 Data'!$M$4,IF(assurance="CEGEMA",M36*12*T36/100*'1805 Data'!$N$4,IF(assurance=0,0))))))))))))</f>
        <v>0</v>
      </c>
      <c r="V36" s="298" t="str">
        <f t="shared" si="10"/>
        <v/>
      </c>
      <c r="W36" s="298" t="str">
        <f t="shared" si="11"/>
        <v/>
      </c>
      <c r="X36" s="299">
        <f t="shared" si="12"/>
        <v>0</v>
      </c>
      <c r="Y36" s="368">
        <f t="shared" si="13"/>
        <v>0</v>
      </c>
      <c r="Z36" s="314"/>
      <c r="AA36" s="313" t="str">
        <f t="shared" si="14"/>
        <v/>
      </c>
      <c r="AB36" s="268" t="s">
        <v>13</v>
      </c>
      <c r="AC36" s="277"/>
      <c r="AD36" s="309" t="str">
        <f t="shared" si="15"/>
        <v/>
      </c>
      <c r="AE36" s="286" t="str">
        <f t="shared" si="16"/>
        <v/>
      </c>
      <c r="AF36" s="277"/>
      <c r="AG36" s="275" t="str">
        <f t="shared" si="17"/>
        <v/>
      </c>
      <c r="AH36" s="287" t="str">
        <f t="shared" ca="1" si="18"/>
        <v/>
      </c>
      <c r="AI36" s="373" t="str">
        <f t="shared" ca="1" si="19"/>
        <v/>
      </c>
      <c r="AJ36" s="296" t="str">
        <f t="shared" si="20"/>
        <v/>
      </c>
      <c r="AK36" s="296" t="str">
        <f t="shared" si="21"/>
        <v/>
      </c>
      <c r="AL36" s="287" t="str">
        <f t="shared" si="22"/>
        <v/>
      </c>
      <c r="AM36" s="279">
        <f t="shared" si="23"/>
        <v>0</v>
      </c>
      <c r="AN36" s="279">
        <f t="shared" si="24"/>
        <v>0</v>
      </c>
      <c r="AO36" s="288">
        <f t="shared" si="25"/>
        <v>0</v>
      </c>
      <c r="AP36" s="279">
        <f t="shared" si="26"/>
        <v>0</v>
      </c>
      <c r="AQ36" s="288">
        <f t="shared" si="27"/>
        <v>0</v>
      </c>
      <c r="AR36" s="289">
        <f t="shared" si="28"/>
        <v>0</v>
      </c>
      <c r="AS36" s="279">
        <f t="shared" si="29"/>
        <v>0</v>
      </c>
      <c r="AT36" s="288">
        <f t="shared" si="30"/>
        <v>0</v>
      </c>
      <c r="AU36" s="289">
        <f t="shared" si="31"/>
        <v>0</v>
      </c>
      <c r="AV36" s="279">
        <f t="shared" si="32"/>
        <v>0</v>
      </c>
      <c r="AW36" s="288">
        <f t="shared" si="33"/>
        <v>0</v>
      </c>
      <c r="AX36" s="289">
        <f t="shared" si="34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35"/>
        <v/>
      </c>
      <c r="BM36" s="270"/>
      <c r="BN36" s="271"/>
      <c r="BO36" s="272" t="str">
        <f t="shared" ca="1" si="36"/>
        <v/>
      </c>
      <c r="BP36" s="270"/>
      <c r="BQ36" s="271"/>
      <c r="BR36" s="272" t="str">
        <f t="shared" ca="1" si="37"/>
        <v/>
      </c>
      <c r="BS36" s="270"/>
      <c r="BT36" s="271"/>
      <c r="BU36" s="272" t="str">
        <f t="shared" ca="1" si="38"/>
        <v/>
      </c>
      <c r="BV36" s="270"/>
      <c r="BW36" s="271"/>
      <c r="BX36" s="272" t="str">
        <f t="shared" ca="1" si="39"/>
        <v/>
      </c>
      <c r="BY36" s="270"/>
      <c r="BZ36" s="271"/>
      <c r="CA36" s="272" t="str">
        <f t="shared" ca="1" si="40"/>
        <v/>
      </c>
      <c r="CB36" s="270"/>
      <c r="CC36" s="271"/>
      <c r="CD36" s="272" t="str">
        <f t="shared" ca="1" si="41"/>
        <v/>
      </c>
      <c r="CE36" s="270"/>
      <c r="CF36" s="271"/>
      <c r="CG36" s="272" t="str">
        <f t="shared" ca="1" si="42"/>
        <v/>
      </c>
      <c r="CH36" s="270"/>
      <c r="CI36" s="271"/>
      <c r="CJ36" s="272" t="str">
        <f t="shared" ca="1" si="43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45"/>
        <v/>
      </c>
      <c r="CU36" s="264"/>
      <c r="CV36" s="265"/>
      <c r="CW36" s="264"/>
      <c r="CX36" s="264"/>
      <c r="CY36" s="264" t="str">
        <f t="shared" si="46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6"/>
        <v>0</v>
      </c>
      <c r="DN36" s="295" t="str">
        <f t="shared" si="47"/>
        <v/>
      </c>
    </row>
    <row r="37" spans="1:118" x14ac:dyDescent="0.25">
      <c r="A37" s="599" t="str">
        <f t="shared" si="5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7"/>
        <v/>
      </c>
      <c r="J37" s="312"/>
      <c r="K37" s="268"/>
      <c r="L37" s="277"/>
      <c r="M37" s="279"/>
      <c r="N37" s="280"/>
      <c r="O37" s="280"/>
      <c r="P37" s="455"/>
      <c r="Q37" s="281" t="str">
        <f t="shared" si="8"/>
        <v/>
      </c>
      <c r="R37" s="282">
        <f t="shared" si="9"/>
        <v>0</v>
      </c>
      <c r="S37" s="268"/>
      <c r="T37" s="283">
        <f t="shared" si="44"/>
        <v>0</v>
      </c>
      <c r="U37" s="284">
        <f>IF(M37=0,0,IF(G37="Annulation","",IF(assurance="ALPTIS",M37*12*T37/100*'1805 Data'!$K$4,IF(assurance="APRIL",M37*12*T37/100*'1805 Data'!$F$4,IF(assurance="ASAF",M37*12*T37/100*'1805 Data'!$I$4,IF(assurance="NEOLIANE",('1805 Data'!$G$5+M37*12*'1805 Data'!$G$4)*T37/100,IF(assurance="NEOLIANE Prev",('1805 Data'!$H$5+M37*12*'1805 Data'!$H$4)*T37/100,IF(assurance="SWISSLIFE",M37*12*T37/100*'1805 Data'!$J$4,IF(assurance="AVIVA",M37*12*T37/100*'1805 Data'!$L$4,IF(assurance="CIPRES",M37*12*T37/100*'1805 Data'!$M$4,IF(assurance="CEGEMA",M37*12*T37/100*'1805 Data'!$N$4,IF(assurance=0,0))))))))))))</f>
        <v>0</v>
      </c>
      <c r="V37" s="298" t="str">
        <f t="shared" si="10"/>
        <v/>
      </c>
      <c r="W37" s="298" t="str">
        <f t="shared" si="11"/>
        <v/>
      </c>
      <c r="X37" s="299">
        <f t="shared" si="12"/>
        <v>0</v>
      </c>
      <c r="Y37" s="368">
        <f t="shared" si="13"/>
        <v>0</v>
      </c>
      <c r="Z37" s="314"/>
      <c r="AA37" s="313" t="str">
        <f t="shared" si="14"/>
        <v/>
      </c>
      <c r="AB37" s="268" t="s">
        <v>13</v>
      </c>
      <c r="AC37" s="277"/>
      <c r="AD37" s="309" t="str">
        <f t="shared" si="15"/>
        <v/>
      </c>
      <c r="AE37" s="286" t="str">
        <f t="shared" si="16"/>
        <v/>
      </c>
      <c r="AF37" s="277"/>
      <c r="AG37" s="275" t="str">
        <f t="shared" si="17"/>
        <v/>
      </c>
      <c r="AH37" s="287" t="str">
        <f t="shared" ca="1" si="18"/>
        <v/>
      </c>
      <c r="AI37" s="373" t="str">
        <f t="shared" ca="1" si="19"/>
        <v/>
      </c>
      <c r="AJ37" s="296" t="str">
        <f t="shared" si="20"/>
        <v/>
      </c>
      <c r="AK37" s="296" t="str">
        <f t="shared" si="21"/>
        <v/>
      </c>
      <c r="AL37" s="287" t="str">
        <f t="shared" si="22"/>
        <v/>
      </c>
      <c r="AM37" s="279">
        <f t="shared" si="23"/>
        <v>0</v>
      </c>
      <c r="AN37" s="279">
        <f t="shared" si="24"/>
        <v>0</v>
      </c>
      <c r="AO37" s="288">
        <f t="shared" si="25"/>
        <v>0</v>
      </c>
      <c r="AP37" s="279">
        <f t="shared" si="26"/>
        <v>0</v>
      </c>
      <c r="AQ37" s="288">
        <f t="shared" si="27"/>
        <v>0</v>
      </c>
      <c r="AR37" s="289">
        <f t="shared" si="28"/>
        <v>0</v>
      </c>
      <c r="AS37" s="279">
        <f t="shared" si="29"/>
        <v>0</v>
      </c>
      <c r="AT37" s="288">
        <f t="shared" si="30"/>
        <v>0</v>
      </c>
      <c r="AU37" s="289">
        <f t="shared" si="31"/>
        <v>0</v>
      </c>
      <c r="AV37" s="279">
        <f t="shared" si="32"/>
        <v>0</v>
      </c>
      <c r="AW37" s="288">
        <f t="shared" si="33"/>
        <v>0</v>
      </c>
      <c r="AX37" s="289">
        <f t="shared" si="34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35"/>
        <v/>
      </c>
      <c r="BM37" s="270"/>
      <c r="BN37" s="271"/>
      <c r="BO37" s="272" t="str">
        <f t="shared" ca="1" si="36"/>
        <v/>
      </c>
      <c r="BP37" s="270"/>
      <c r="BQ37" s="271"/>
      <c r="BR37" s="272" t="str">
        <f t="shared" ca="1" si="37"/>
        <v/>
      </c>
      <c r="BS37" s="270"/>
      <c r="BT37" s="271"/>
      <c r="BU37" s="272" t="str">
        <f t="shared" ca="1" si="38"/>
        <v/>
      </c>
      <c r="BV37" s="270"/>
      <c r="BW37" s="271"/>
      <c r="BX37" s="272" t="str">
        <f t="shared" ca="1" si="39"/>
        <v/>
      </c>
      <c r="BY37" s="270"/>
      <c r="BZ37" s="271"/>
      <c r="CA37" s="272" t="str">
        <f t="shared" ca="1" si="40"/>
        <v/>
      </c>
      <c r="CB37" s="270"/>
      <c r="CC37" s="271"/>
      <c r="CD37" s="272" t="str">
        <f t="shared" ca="1" si="41"/>
        <v/>
      </c>
      <c r="CE37" s="270"/>
      <c r="CF37" s="271"/>
      <c r="CG37" s="272" t="str">
        <f t="shared" ca="1" si="42"/>
        <v/>
      </c>
      <c r="CH37" s="270"/>
      <c r="CI37" s="271"/>
      <c r="CJ37" s="272" t="str">
        <f t="shared" ca="1" si="43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45"/>
        <v/>
      </c>
      <c r="CU37" s="264"/>
      <c r="CV37" s="265"/>
      <c r="CW37" s="264"/>
      <c r="CX37" s="264"/>
      <c r="CY37" s="264" t="str">
        <f t="shared" si="46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6"/>
        <v>0</v>
      </c>
      <c r="DN37" s="295" t="str">
        <f t="shared" si="47"/>
        <v/>
      </c>
    </row>
    <row r="38" spans="1:118" x14ac:dyDescent="0.25">
      <c r="A38" s="599" t="str">
        <f t="shared" si="5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7"/>
        <v/>
      </c>
      <c r="J38" s="312"/>
      <c r="K38" s="268"/>
      <c r="L38" s="277"/>
      <c r="M38" s="279"/>
      <c r="N38" s="280"/>
      <c r="O38" s="280"/>
      <c r="P38" s="455"/>
      <c r="Q38" s="281" t="str">
        <f t="shared" si="8"/>
        <v/>
      </c>
      <c r="R38" s="282">
        <f t="shared" si="9"/>
        <v>0</v>
      </c>
      <c r="S38" s="268"/>
      <c r="T38" s="283">
        <f t="shared" si="44"/>
        <v>0</v>
      </c>
      <c r="U38" s="284">
        <f>IF(M38=0,0,IF(G38="Annulation","",IF(assurance="ALPTIS",M38*12*T38/100*'1805 Data'!$K$4,IF(assurance="APRIL",M38*12*T38/100*'1805 Data'!$F$4,IF(assurance="ASAF",M38*12*T38/100*'1805 Data'!$I$4,IF(assurance="NEOLIANE",('1805 Data'!$G$5+M38*12*'1805 Data'!$G$4)*T38/100,IF(assurance="NEOLIANE Prev",('1805 Data'!$H$5+M38*12*'1805 Data'!$H$4)*T38/100,IF(assurance="SWISSLIFE",M38*12*T38/100*'1805 Data'!$J$4,IF(assurance="AVIVA",M38*12*T38/100*'1805 Data'!$L$4,IF(assurance="CIPRES",M38*12*T38/100*'1805 Data'!$M$4,IF(assurance="CEGEMA",M38*12*T38/100*'1805 Data'!$N$4,IF(assurance=0,0))))))))))))</f>
        <v>0</v>
      </c>
      <c r="V38" s="298" t="str">
        <f t="shared" si="10"/>
        <v/>
      </c>
      <c r="W38" s="298" t="str">
        <f t="shared" si="11"/>
        <v/>
      </c>
      <c r="X38" s="299">
        <f t="shared" si="12"/>
        <v>0</v>
      </c>
      <c r="Y38" s="368">
        <f t="shared" si="13"/>
        <v>0</v>
      </c>
      <c r="Z38" s="314"/>
      <c r="AA38" s="313" t="str">
        <f t="shared" si="14"/>
        <v/>
      </c>
      <c r="AB38" s="268" t="s">
        <v>13</v>
      </c>
      <c r="AC38" s="277"/>
      <c r="AD38" s="309" t="str">
        <f t="shared" si="15"/>
        <v/>
      </c>
      <c r="AE38" s="286" t="str">
        <f t="shared" si="16"/>
        <v/>
      </c>
      <c r="AF38" s="277"/>
      <c r="AG38" s="275" t="str">
        <f t="shared" si="17"/>
        <v/>
      </c>
      <c r="AH38" s="287" t="str">
        <f t="shared" ca="1" si="18"/>
        <v/>
      </c>
      <c r="AI38" s="373" t="str">
        <f t="shared" ca="1" si="19"/>
        <v/>
      </c>
      <c r="AJ38" s="296" t="str">
        <f t="shared" si="20"/>
        <v/>
      </c>
      <c r="AK38" s="296" t="str">
        <f t="shared" si="21"/>
        <v/>
      </c>
      <c r="AL38" s="287" t="str">
        <f t="shared" si="22"/>
        <v/>
      </c>
      <c r="AM38" s="279">
        <f t="shared" si="23"/>
        <v>0</v>
      </c>
      <c r="AN38" s="279">
        <f t="shared" si="24"/>
        <v>0</v>
      </c>
      <c r="AO38" s="288">
        <f t="shared" si="25"/>
        <v>0</v>
      </c>
      <c r="AP38" s="279">
        <f t="shared" si="26"/>
        <v>0</v>
      </c>
      <c r="AQ38" s="288">
        <f t="shared" si="27"/>
        <v>0</v>
      </c>
      <c r="AR38" s="289">
        <f t="shared" si="28"/>
        <v>0</v>
      </c>
      <c r="AS38" s="279">
        <f t="shared" si="29"/>
        <v>0</v>
      </c>
      <c r="AT38" s="288">
        <f t="shared" si="30"/>
        <v>0</v>
      </c>
      <c r="AU38" s="289">
        <f t="shared" si="31"/>
        <v>0</v>
      </c>
      <c r="AV38" s="279">
        <f t="shared" si="32"/>
        <v>0</v>
      </c>
      <c r="AW38" s="288">
        <f t="shared" si="33"/>
        <v>0</v>
      </c>
      <c r="AX38" s="289">
        <f t="shared" si="34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35"/>
        <v/>
      </c>
      <c r="BM38" s="270"/>
      <c r="BN38" s="271"/>
      <c r="BO38" s="272" t="str">
        <f t="shared" ca="1" si="36"/>
        <v/>
      </c>
      <c r="BP38" s="270"/>
      <c r="BQ38" s="271"/>
      <c r="BR38" s="272" t="str">
        <f t="shared" ca="1" si="37"/>
        <v/>
      </c>
      <c r="BS38" s="270"/>
      <c r="BT38" s="271"/>
      <c r="BU38" s="272" t="str">
        <f t="shared" ca="1" si="38"/>
        <v/>
      </c>
      <c r="BV38" s="270"/>
      <c r="BW38" s="271"/>
      <c r="BX38" s="272" t="str">
        <f t="shared" ca="1" si="39"/>
        <v/>
      </c>
      <c r="BY38" s="270"/>
      <c r="BZ38" s="271"/>
      <c r="CA38" s="272" t="str">
        <f t="shared" ca="1" si="40"/>
        <v/>
      </c>
      <c r="CB38" s="270"/>
      <c r="CC38" s="271"/>
      <c r="CD38" s="272" t="str">
        <f t="shared" ca="1" si="41"/>
        <v/>
      </c>
      <c r="CE38" s="270"/>
      <c r="CF38" s="271"/>
      <c r="CG38" s="272" t="str">
        <f t="shared" ca="1" si="42"/>
        <v/>
      </c>
      <c r="CH38" s="270"/>
      <c r="CI38" s="271"/>
      <c r="CJ38" s="272" t="str">
        <f t="shared" ca="1" si="43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si="45"/>
        <v/>
      </c>
      <c r="CU38" s="264"/>
      <c r="CV38" s="265"/>
      <c r="CW38" s="264"/>
      <c r="CX38" s="264"/>
      <c r="CY38" s="264" t="str">
        <f t="shared" si="46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6"/>
        <v>0</v>
      </c>
      <c r="DN38" s="295" t="str">
        <f t="shared" si="47"/>
        <v/>
      </c>
    </row>
    <row r="39" spans="1:118" x14ac:dyDescent="0.25">
      <c r="A39" s="599" t="str">
        <f t="shared" si="5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7"/>
        <v/>
      </c>
      <c r="J39" s="312"/>
      <c r="K39" s="268"/>
      <c r="L39" s="277"/>
      <c r="M39" s="279"/>
      <c r="N39" s="280"/>
      <c r="O39" s="280"/>
      <c r="P39" s="455"/>
      <c r="Q39" s="281" t="str">
        <f t="shared" si="8"/>
        <v/>
      </c>
      <c r="R39" s="282">
        <f t="shared" si="9"/>
        <v>0</v>
      </c>
      <c r="S39" s="268"/>
      <c r="T39" s="283">
        <f t="shared" si="44"/>
        <v>0</v>
      </c>
      <c r="U39" s="284">
        <f>IF(M39=0,0,IF(G39="Annulation","",IF(assurance="ALPTIS",M39*12*T39/100*'1805 Data'!$K$4,IF(assurance="APRIL",M39*12*T39/100*'1805 Data'!$F$4,IF(assurance="ASAF",M39*12*T39/100*'1805 Data'!$I$4,IF(assurance="NEOLIANE",('1805 Data'!$G$5+M39*12*'1805 Data'!$G$4)*T39/100,IF(assurance="NEOLIANE Prev",('1805 Data'!$H$5+M39*12*'1805 Data'!$H$4)*T39/100,IF(assurance="SWISSLIFE",M39*12*T39/100*'1805 Data'!$J$4,IF(assurance="AVIVA",M39*12*T39/100*'1805 Data'!$L$4,IF(assurance="CIPRES",M39*12*T39/100*'1805 Data'!$M$4,IF(assurance="CEGEMA",M39*12*T39/100*'1805 Data'!$N$4,IF(assurance=0,0))))))))))))</f>
        <v>0</v>
      </c>
      <c r="V39" s="298" t="str">
        <f t="shared" si="10"/>
        <v/>
      </c>
      <c r="W39" s="298" t="str">
        <f t="shared" si="11"/>
        <v/>
      </c>
      <c r="X39" s="299">
        <f t="shared" si="12"/>
        <v>0</v>
      </c>
      <c r="Y39" s="368">
        <f t="shared" si="13"/>
        <v>0</v>
      </c>
      <c r="Z39" s="314"/>
      <c r="AA39" s="313" t="str">
        <f t="shared" si="14"/>
        <v/>
      </c>
      <c r="AB39" s="268" t="s">
        <v>13</v>
      </c>
      <c r="AC39" s="277"/>
      <c r="AD39" s="309" t="str">
        <f t="shared" si="15"/>
        <v/>
      </c>
      <c r="AE39" s="286" t="str">
        <f t="shared" si="16"/>
        <v/>
      </c>
      <c r="AF39" s="277"/>
      <c r="AG39" s="275" t="str">
        <f t="shared" si="17"/>
        <v/>
      </c>
      <c r="AH39" s="287" t="str">
        <f t="shared" ca="1" si="18"/>
        <v/>
      </c>
      <c r="AI39" s="373" t="str">
        <f t="shared" ca="1" si="19"/>
        <v/>
      </c>
      <c r="AJ39" s="296" t="str">
        <f t="shared" si="20"/>
        <v/>
      </c>
      <c r="AK39" s="296" t="str">
        <f t="shared" si="21"/>
        <v/>
      </c>
      <c r="AL39" s="287" t="str">
        <f t="shared" si="22"/>
        <v/>
      </c>
      <c r="AM39" s="279">
        <f t="shared" si="23"/>
        <v>0</v>
      </c>
      <c r="AN39" s="279">
        <f t="shared" si="24"/>
        <v>0</v>
      </c>
      <c r="AO39" s="288">
        <f t="shared" si="25"/>
        <v>0</v>
      </c>
      <c r="AP39" s="279">
        <f t="shared" si="26"/>
        <v>0</v>
      </c>
      <c r="AQ39" s="288">
        <f t="shared" si="27"/>
        <v>0</v>
      </c>
      <c r="AR39" s="289">
        <f t="shared" si="28"/>
        <v>0</v>
      </c>
      <c r="AS39" s="279">
        <f t="shared" si="29"/>
        <v>0</v>
      </c>
      <c r="AT39" s="288">
        <f t="shared" si="30"/>
        <v>0</v>
      </c>
      <c r="AU39" s="289">
        <f t="shared" si="31"/>
        <v>0</v>
      </c>
      <c r="AV39" s="279">
        <f t="shared" si="32"/>
        <v>0</v>
      </c>
      <c r="AW39" s="288">
        <f t="shared" si="33"/>
        <v>0</v>
      </c>
      <c r="AX39" s="289">
        <f t="shared" si="34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35"/>
        <v/>
      </c>
      <c r="BM39" s="270"/>
      <c r="BN39" s="271"/>
      <c r="BO39" s="272" t="str">
        <f t="shared" ca="1" si="36"/>
        <v/>
      </c>
      <c r="BP39" s="270"/>
      <c r="BQ39" s="271"/>
      <c r="BR39" s="272" t="str">
        <f t="shared" ca="1" si="37"/>
        <v/>
      </c>
      <c r="BS39" s="270"/>
      <c r="BT39" s="271"/>
      <c r="BU39" s="272" t="str">
        <f t="shared" ca="1" si="38"/>
        <v/>
      </c>
      <c r="BV39" s="270"/>
      <c r="BW39" s="271"/>
      <c r="BX39" s="272" t="str">
        <f t="shared" ca="1" si="39"/>
        <v/>
      </c>
      <c r="BY39" s="270"/>
      <c r="BZ39" s="271"/>
      <c r="CA39" s="272" t="str">
        <f t="shared" ca="1" si="40"/>
        <v/>
      </c>
      <c r="CB39" s="270"/>
      <c r="CC39" s="271"/>
      <c r="CD39" s="272" t="str">
        <f t="shared" ca="1" si="41"/>
        <v/>
      </c>
      <c r="CE39" s="270"/>
      <c r="CF39" s="271"/>
      <c r="CG39" s="272" t="str">
        <f t="shared" ca="1" si="42"/>
        <v/>
      </c>
      <c r="CH39" s="270"/>
      <c r="CI39" s="271"/>
      <c r="CJ39" s="272" t="str">
        <f t="shared" ca="1" si="43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si="45"/>
        <v/>
      </c>
      <c r="CU39" s="264"/>
      <c r="CV39" s="265"/>
      <c r="CW39" s="264"/>
      <c r="CX39" s="264"/>
      <c r="CY39" s="264" t="str">
        <f t="shared" si="46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6"/>
        <v>0</v>
      </c>
      <c r="DN39" s="295" t="str">
        <f t="shared" si="47"/>
        <v/>
      </c>
    </row>
    <row r="40" spans="1:118" x14ac:dyDescent="0.25">
      <c r="A40" s="599" t="str">
        <f t="shared" si="5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7"/>
        <v/>
      </c>
      <c r="J40" s="312"/>
      <c r="K40" s="268"/>
      <c r="L40" s="277"/>
      <c r="M40" s="279"/>
      <c r="N40" s="280"/>
      <c r="O40" s="280"/>
      <c r="P40" s="455"/>
      <c r="Q40" s="281" t="str">
        <f t="shared" si="8"/>
        <v/>
      </c>
      <c r="R40" s="282">
        <f t="shared" si="9"/>
        <v>0</v>
      </c>
      <c r="S40" s="268"/>
      <c r="T40" s="283">
        <f t="shared" si="44"/>
        <v>0</v>
      </c>
      <c r="U40" s="284">
        <f>IF(M40=0,0,IF(G40="Annulation","",IF(assurance="ALPTIS",M40*12*T40/100*'1805 Data'!$K$4,IF(assurance="APRIL",M40*12*T40/100*'1805 Data'!$F$4,IF(assurance="ASAF",M40*12*T40/100*'1805 Data'!$I$4,IF(assurance="NEOLIANE",('1805 Data'!$G$5+M40*12*'1805 Data'!$G$4)*T40/100,IF(assurance="NEOLIANE Prev",('1805 Data'!$H$5+M40*12*'1805 Data'!$H$4)*T40/100,IF(assurance="SWISSLIFE",M40*12*T40/100*'1805 Data'!$J$4,IF(assurance="AVIVA",M40*12*T40/100*'1805 Data'!$L$4,IF(assurance="CIPRES",M40*12*T40/100*'1805 Data'!$M$4,IF(assurance="CEGEMA",M40*12*T40/100*'1805 Data'!$N$4,IF(assurance=0,0))))))))))))</f>
        <v>0</v>
      </c>
      <c r="V40" s="298" t="str">
        <f t="shared" si="10"/>
        <v/>
      </c>
      <c r="W40" s="298" t="str">
        <f t="shared" si="11"/>
        <v/>
      </c>
      <c r="X40" s="299">
        <f t="shared" si="12"/>
        <v>0</v>
      </c>
      <c r="Y40" s="368">
        <f t="shared" si="13"/>
        <v>0</v>
      </c>
      <c r="Z40" s="314"/>
      <c r="AA40" s="313" t="str">
        <f t="shared" si="14"/>
        <v/>
      </c>
      <c r="AB40" s="268" t="s">
        <v>13</v>
      </c>
      <c r="AC40" s="277"/>
      <c r="AD40" s="309" t="str">
        <f t="shared" si="15"/>
        <v/>
      </c>
      <c r="AE40" s="286" t="str">
        <f t="shared" si="16"/>
        <v/>
      </c>
      <c r="AF40" s="277"/>
      <c r="AG40" s="275" t="str">
        <f t="shared" si="17"/>
        <v/>
      </c>
      <c r="AH40" s="287" t="str">
        <f t="shared" ca="1" si="18"/>
        <v/>
      </c>
      <c r="AI40" s="373" t="str">
        <f t="shared" ca="1" si="19"/>
        <v/>
      </c>
      <c r="AJ40" s="296" t="str">
        <f t="shared" si="20"/>
        <v/>
      </c>
      <c r="AK40" s="296" t="str">
        <f t="shared" si="21"/>
        <v/>
      </c>
      <c r="AL40" s="287" t="str">
        <f t="shared" si="22"/>
        <v/>
      </c>
      <c r="AM40" s="279">
        <f t="shared" si="23"/>
        <v>0</v>
      </c>
      <c r="AN40" s="279">
        <f t="shared" si="24"/>
        <v>0</v>
      </c>
      <c r="AO40" s="288">
        <f t="shared" si="25"/>
        <v>0</v>
      </c>
      <c r="AP40" s="279">
        <f t="shared" si="26"/>
        <v>0</v>
      </c>
      <c r="AQ40" s="288">
        <f t="shared" si="27"/>
        <v>0</v>
      </c>
      <c r="AR40" s="289">
        <f t="shared" si="28"/>
        <v>0</v>
      </c>
      <c r="AS40" s="279">
        <f t="shared" si="29"/>
        <v>0</v>
      </c>
      <c r="AT40" s="288">
        <f t="shared" si="30"/>
        <v>0</v>
      </c>
      <c r="AU40" s="289">
        <f t="shared" si="31"/>
        <v>0</v>
      </c>
      <c r="AV40" s="279">
        <f t="shared" si="32"/>
        <v>0</v>
      </c>
      <c r="AW40" s="288">
        <f t="shared" si="33"/>
        <v>0</v>
      </c>
      <c r="AX40" s="289">
        <f t="shared" si="34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35"/>
        <v/>
      </c>
      <c r="BM40" s="270"/>
      <c r="BN40" s="271"/>
      <c r="BO40" s="272" t="str">
        <f t="shared" ca="1" si="36"/>
        <v/>
      </c>
      <c r="BP40" s="270"/>
      <c r="BQ40" s="271"/>
      <c r="BR40" s="272" t="str">
        <f t="shared" ca="1" si="37"/>
        <v/>
      </c>
      <c r="BS40" s="270"/>
      <c r="BT40" s="271"/>
      <c r="BU40" s="272" t="str">
        <f t="shared" ca="1" si="38"/>
        <v/>
      </c>
      <c r="BV40" s="270"/>
      <c r="BW40" s="271"/>
      <c r="BX40" s="272" t="str">
        <f t="shared" ca="1" si="39"/>
        <v/>
      </c>
      <c r="BY40" s="270"/>
      <c r="BZ40" s="271"/>
      <c r="CA40" s="272" t="str">
        <f t="shared" ca="1" si="40"/>
        <v/>
      </c>
      <c r="CB40" s="270"/>
      <c r="CC40" s="271"/>
      <c r="CD40" s="272" t="str">
        <f t="shared" ca="1" si="41"/>
        <v/>
      </c>
      <c r="CE40" s="270"/>
      <c r="CF40" s="271"/>
      <c r="CG40" s="272" t="str">
        <f t="shared" ca="1" si="42"/>
        <v/>
      </c>
      <c r="CH40" s="270"/>
      <c r="CI40" s="271"/>
      <c r="CJ40" s="272" t="str">
        <f t="shared" ca="1" si="43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45"/>
        <v/>
      </c>
      <c r="CU40" s="264"/>
      <c r="CV40" s="265"/>
      <c r="CW40" s="264"/>
      <c r="CX40" s="264"/>
      <c r="CY40" s="264" t="str">
        <f t="shared" si="46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6"/>
        <v>0</v>
      </c>
      <c r="DN40" s="295" t="str">
        <f t="shared" si="47"/>
        <v/>
      </c>
    </row>
    <row r="41" spans="1:118" x14ac:dyDescent="0.25">
      <c r="A41" s="599" t="str">
        <f t="shared" si="5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7"/>
        <v/>
      </c>
      <c r="J41" s="312"/>
      <c r="K41" s="268"/>
      <c r="L41" s="277"/>
      <c r="M41" s="279"/>
      <c r="N41" s="280"/>
      <c r="O41" s="280"/>
      <c r="P41" s="455"/>
      <c r="Q41" s="281" t="str">
        <f t="shared" si="8"/>
        <v/>
      </c>
      <c r="R41" s="282">
        <f t="shared" si="9"/>
        <v>0</v>
      </c>
      <c r="S41" s="268"/>
      <c r="T41" s="283">
        <f t="shared" si="44"/>
        <v>0</v>
      </c>
      <c r="U41" s="284">
        <f>IF(M41=0,0,IF(G41="Annulation","",IF(assurance="ALPTIS",M41*12*T41/100*'1805 Data'!$K$4,IF(assurance="APRIL",M41*12*T41/100*'1805 Data'!$F$4,IF(assurance="ASAF",M41*12*T41/100*'1805 Data'!$I$4,IF(assurance="NEOLIANE",('1805 Data'!$G$5+M41*12*'1805 Data'!$G$4)*T41/100,IF(assurance="NEOLIANE Prev",('1805 Data'!$H$5+M41*12*'1805 Data'!$H$4)*T41/100,IF(assurance="SWISSLIFE",M41*12*T41/100*'1805 Data'!$J$4,IF(assurance="AVIVA",M41*12*T41/100*'1805 Data'!$L$4,IF(assurance="CIPRES",M41*12*T41/100*'1805 Data'!$M$4,IF(assurance="CEGEMA",M41*12*T41/100*'1805 Data'!$N$4,IF(assurance=0,0))))))))))))</f>
        <v>0</v>
      </c>
      <c r="V41" s="298" t="str">
        <f t="shared" si="10"/>
        <v/>
      </c>
      <c r="W41" s="298" t="str">
        <f t="shared" si="11"/>
        <v/>
      </c>
      <c r="X41" s="299">
        <f t="shared" si="12"/>
        <v>0</v>
      </c>
      <c r="Y41" s="368">
        <f t="shared" si="13"/>
        <v>0</v>
      </c>
      <c r="Z41" s="314"/>
      <c r="AA41" s="313" t="str">
        <f t="shared" si="14"/>
        <v/>
      </c>
      <c r="AB41" s="268" t="s">
        <v>13</v>
      </c>
      <c r="AC41" s="277"/>
      <c r="AD41" s="309" t="str">
        <f t="shared" si="15"/>
        <v/>
      </c>
      <c r="AE41" s="286" t="str">
        <f t="shared" si="16"/>
        <v/>
      </c>
      <c r="AF41" s="277"/>
      <c r="AG41" s="275" t="str">
        <f t="shared" si="17"/>
        <v/>
      </c>
      <c r="AH41" s="287" t="str">
        <f t="shared" ca="1" si="18"/>
        <v/>
      </c>
      <c r="AI41" s="373" t="str">
        <f t="shared" ca="1" si="19"/>
        <v/>
      </c>
      <c r="AJ41" s="296" t="str">
        <f t="shared" si="20"/>
        <v/>
      </c>
      <c r="AK41" s="296" t="str">
        <f t="shared" si="21"/>
        <v/>
      </c>
      <c r="AL41" s="287" t="str">
        <f t="shared" si="22"/>
        <v/>
      </c>
      <c r="AM41" s="279">
        <f t="shared" si="23"/>
        <v>0</v>
      </c>
      <c r="AN41" s="279">
        <f t="shared" si="24"/>
        <v>0</v>
      </c>
      <c r="AO41" s="288">
        <f t="shared" si="25"/>
        <v>0</v>
      </c>
      <c r="AP41" s="279">
        <f t="shared" si="26"/>
        <v>0</v>
      </c>
      <c r="AQ41" s="288">
        <f t="shared" si="27"/>
        <v>0</v>
      </c>
      <c r="AR41" s="289">
        <f t="shared" si="28"/>
        <v>0</v>
      </c>
      <c r="AS41" s="279">
        <f t="shared" si="29"/>
        <v>0</v>
      </c>
      <c r="AT41" s="288">
        <f t="shared" si="30"/>
        <v>0</v>
      </c>
      <c r="AU41" s="289">
        <f t="shared" si="31"/>
        <v>0</v>
      </c>
      <c r="AV41" s="279">
        <f t="shared" si="32"/>
        <v>0</v>
      </c>
      <c r="AW41" s="288">
        <f t="shared" si="33"/>
        <v>0</v>
      </c>
      <c r="AX41" s="289">
        <f t="shared" si="34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35"/>
        <v/>
      </c>
      <c r="BM41" s="270"/>
      <c r="BN41" s="271"/>
      <c r="BO41" s="272" t="str">
        <f t="shared" ca="1" si="36"/>
        <v/>
      </c>
      <c r="BP41" s="270"/>
      <c r="BQ41" s="271"/>
      <c r="BR41" s="272" t="str">
        <f t="shared" ca="1" si="37"/>
        <v/>
      </c>
      <c r="BS41" s="270"/>
      <c r="BT41" s="271"/>
      <c r="BU41" s="272" t="str">
        <f t="shared" ca="1" si="38"/>
        <v/>
      </c>
      <c r="BV41" s="270"/>
      <c r="BW41" s="271"/>
      <c r="BX41" s="272" t="str">
        <f t="shared" ca="1" si="39"/>
        <v/>
      </c>
      <c r="BY41" s="270"/>
      <c r="BZ41" s="271"/>
      <c r="CA41" s="272" t="str">
        <f t="shared" ca="1" si="40"/>
        <v/>
      </c>
      <c r="CB41" s="270"/>
      <c r="CC41" s="271"/>
      <c r="CD41" s="272" t="str">
        <f t="shared" ca="1" si="41"/>
        <v/>
      </c>
      <c r="CE41" s="270"/>
      <c r="CF41" s="271"/>
      <c r="CG41" s="272" t="str">
        <f t="shared" ca="1" si="42"/>
        <v/>
      </c>
      <c r="CH41" s="270"/>
      <c r="CI41" s="271"/>
      <c r="CJ41" s="272" t="str">
        <f t="shared" ca="1" si="43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45"/>
        <v/>
      </c>
      <c r="CU41" s="264"/>
      <c r="CV41" s="265"/>
      <c r="CW41" s="264"/>
      <c r="CX41" s="264"/>
      <c r="CY41" s="264" t="str">
        <f t="shared" si="46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6"/>
        <v>0</v>
      </c>
      <c r="DN41" s="295" t="str">
        <f t="shared" si="47"/>
        <v/>
      </c>
    </row>
    <row r="42" spans="1:118" x14ac:dyDescent="0.25">
      <c r="A42" s="599" t="str">
        <f t="shared" si="5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7"/>
        <v/>
      </c>
      <c r="J42" s="312"/>
      <c r="K42" s="268"/>
      <c r="L42" s="277"/>
      <c r="M42" s="279"/>
      <c r="N42" s="280"/>
      <c r="O42" s="280"/>
      <c r="P42" s="455"/>
      <c r="Q42" s="281" t="str">
        <f t="shared" si="8"/>
        <v/>
      </c>
      <c r="R42" s="282">
        <f t="shared" si="9"/>
        <v>0</v>
      </c>
      <c r="S42" s="268"/>
      <c r="T42" s="283">
        <f t="shared" si="44"/>
        <v>0</v>
      </c>
      <c r="U42" s="284">
        <f>IF(M42=0,0,IF(G42="Annulation","",IF(assurance="ALPTIS",M42*12*T42/100*'1805 Data'!$K$4,IF(assurance="APRIL",M42*12*T42/100*'1805 Data'!$F$4,IF(assurance="ASAF",M42*12*T42/100*'1805 Data'!$I$4,IF(assurance="NEOLIANE",('1805 Data'!$G$5+M42*12*'1805 Data'!$G$4)*T42/100,IF(assurance="NEOLIANE Prev",('1805 Data'!$H$5+M42*12*'1805 Data'!$H$4)*T42/100,IF(assurance="SWISSLIFE",M42*12*T42/100*'1805 Data'!$J$4,IF(assurance="AVIVA",M42*12*T42/100*'1805 Data'!$L$4,IF(assurance="CIPRES",M42*12*T42/100*'1805 Data'!$M$4,IF(assurance="CEGEMA",M42*12*T42/100*'1805 Data'!$N$4,IF(assurance=0,0))))))))))))</f>
        <v>0</v>
      </c>
      <c r="V42" s="298" t="str">
        <f t="shared" si="10"/>
        <v/>
      </c>
      <c r="W42" s="298" t="str">
        <f t="shared" si="11"/>
        <v/>
      </c>
      <c r="X42" s="299">
        <f t="shared" si="12"/>
        <v>0</v>
      </c>
      <c r="Y42" s="368">
        <f t="shared" si="13"/>
        <v>0</v>
      </c>
      <c r="Z42" s="314"/>
      <c r="AA42" s="313" t="str">
        <f t="shared" si="14"/>
        <v/>
      </c>
      <c r="AB42" s="268" t="s">
        <v>13</v>
      </c>
      <c r="AC42" s="277"/>
      <c r="AD42" s="309" t="str">
        <f t="shared" si="15"/>
        <v/>
      </c>
      <c r="AE42" s="286" t="str">
        <f t="shared" si="16"/>
        <v/>
      </c>
      <c r="AF42" s="277"/>
      <c r="AG42" s="275" t="str">
        <f t="shared" si="17"/>
        <v/>
      </c>
      <c r="AH42" s="287" t="str">
        <f t="shared" ca="1" si="18"/>
        <v/>
      </c>
      <c r="AI42" s="373" t="str">
        <f t="shared" ca="1" si="19"/>
        <v/>
      </c>
      <c r="AJ42" s="296" t="str">
        <f t="shared" si="20"/>
        <v/>
      </c>
      <c r="AK42" s="296" t="str">
        <f t="shared" si="21"/>
        <v/>
      </c>
      <c r="AL42" s="287" t="str">
        <f t="shared" si="22"/>
        <v/>
      </c>
      <c r="AM42" s="279">
        <f t="shared" si="23"/>
        <v>0</v>
      </c>
      <c r="AN42" s="279">
        <f t="shared" si="24"/>
        <v>0</v>
      </c>
      <c r="AO42" s="288">
        <f t="shared" si="25"/>
        <v>0</v>
      </c>
      <c r="AP42" s="279">
        <f t="shared" si="26"/>
        <v>0</v>
      </c>
      <c r="AQ42" s="288">
        <f t="shared" si="27"/>
        <v>0</v>
      </c>
      <c r="AR42" s="289">
        <f t="shared" si="28"/>
        <v>0</v>
      </c>
      <c r="AS42" s="279">
        <f t="shared" si="29"/>
        <v>0</v>
      </c>
      <c r="AT42" s="288">
        <f t="shared" si="30"/>
        <v>0</v>
      </c>
      <c r="AU42" s="289">
        <f t="shared" si="31"/>
        <v>0</v>
      </c>
      <c r="AV42" s="279">
        <f t="shared" si="32"/>
        <v>0</v>
      </c>
      <c r="AW42" s="288">
        <f t="shared" si="33"/>
        <v>0</v>
      </c>
      <c r="AX42" s="289">
        <f t="shared" si="34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35"/>
        <v/>
      </c>
      <c r="BM42" s="270"/>
      <c r="BN42" s="271"/>
      <c r="BO42" s="272" t="str">
        <f t="shared" ca="1" si="36"/>
        <v/>
      </c>
      <c r="BP42" s="270"/>
      <c r="BQ42" s="271"/>
      <c r="BR42" s="272" t="str">
        <f t="shared" ca="1" si="37"/>
        <v/>
      </c>
      <c r="BS42" s="270"/>
      <c r="BT42" s="271"/>
      <c r="BU42" s="272" t="str">
        <f t="shared" ca="1" si="38"/>
        <v/>
      </c>
      <c r="BV42" s="270"/>
      <c r="BW42" s="271"/>
      <c r="BX42" s="272" t="str">
        <f t="shared" ca="1" si="39"/>
        <v/>
      </c>
      <c r="BY42" s="270"/>
      <c r="BZ42" s="271"/>
      <c r="CA42" s="272" t="str">
        <f t="shared" ca="1" si="40"/>
        <v/>
      </c>
      <c r="CB42" s="270"/>
      <c r="CC42" s="271"/>
      <c r="CD42" s="272" t="str">
        <f t="shared" ca="1" si="41"/>
        <v/>
      </c>
      <c r="CE42" s="270"/>
      <c r="CF42" s="271"/>
      <c r="CG42" s="272" t="str">
        <f t="shared" ca="1" si="42"/>
        <v/>
      </c>
      <c r="CH42" s="270"/>
      <c r="CI42" s="271"/>
      <c r="CJ42" s="272" t="str">
        <f t="shared" ca="1" si="43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45"/>
        <v/>
      </c>
      <c r="CU42" s="264"/>
      <c r="CV42" s="265"/>
      <c r="CW42" s="264"/>
      <c r="CX42" s="264"/>
      <c r="CY42" s="264" t="str">
        <f t="shared" si="46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6"/>
        <v>0</v>
      </c>
      <c r="DN42" s="295" t="str">
        <f t="shared" si="47"/>
        <v/>
      </c>
    </row>
    <row r="43" spans="1:118" x14ac:dyDescent="0.25">
      <c r="A43" s="599" t="str">
        <f t="shared" si="5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7"/>
        <v/>
      </c>
      <c r="J43" s="312"/>
      <c r="K43" s="268"/>
      <c r="L43" s="277"/>
      <c r="M43" s="279"/>
      <c r="N43" s="280"/>
      <c r="O43" s="280"/>
      <c r="P43" s="455"/>
      <c r="Q43" s="281" t="str">
        <f t="shared" si="8"/>
        <v/>
      </c>
      <c r="R43" s="282">
        <f t="shared" si="9"/>
        <v>0</v>
      </c>
      <c r="S43" s="268"/>
      <c r="T43" s="283">
        <f t="shared" si="44"/>
        <v>0</v>
      </c>
      <c r="U43" s="284">
        <f>IF(M43=0,0,IF(G43="Annulation","",IF(assurance="ALPTIS",M43*12*T43/100*'1805 Data'!$K$4,IF(assurance="APRIL",M43*12*T43/100*'1805 Data'!$F$4,IF(assurance="ASAF",M43*12*T43/100*'1805 Data'!$I$4,IF(assurance="NEOLIANE",('1805 Data'!$G$5+M43*12*'1805 Data'!$G$4)*T43/100,IF(assurance="NEOLIANE Prev",('1805 Data'!$H$5+M43*12*'1805 Data'!$H$4)*T43/100,IF(assurance="SWISSLIFE",M43*12*T43/100*'1805 Data'!$J$4,IF(assurance="AVIVA",M43*12*T43/100*'1805 Data'!$L$4,IF(assurance="CIPRES",M43*12*T43/100*'1805 Data'!$M$4,IF(assurance="CEGEMA",M43*12*T43/100*'1805 Data'!$N$4,IF(assurance=0,0))))))))))))</f>
        <v>0</v>
      </c>
      <c r="V43" s="298" t="str">
        <f t="shared" si="10"/>
        <v/>
      </c>
      <c r="W43" s="298" t="str">
        <f t="shared" si="11"/>
        <v/>
      </c>
      <c r="X43" s="299">
        <f t="shared" si="12"/>
        <v>0</v>
      </c>
      <c r="Y43" s="368">
        <f t="shared" si="13"/>
        <v>0</v>
      </c>
      <c r="Z43" s="314"/>
      <c r="AA43" s="313" t="str">
        <f t="shared" si="14"/>
        <v/>
      </c>
      <c r="AB43" s="268" t="s">
        <v>13</v>
      </c>
      <c r="AC43" s="277"/>
      <c r="AD43" s="309" t="str">
        <f t="shared" si="15"/>
        <v/>
      </c>
      <c r="AE43" s="286" t="str">
        <f t="shared" si="16"/>
        <v/>
      </c>
      <c r="AF43" s="277"/>
      <c r="AG43" s="275" t="str">
        <f t="shared" si="17"/>
        <v/>
      </c>
      <c r="AH43" s="287" t="str">
        <f t="shared" ca="1" si="18"/>
        <v/>
      </c>
      <c r="AI43" s="373" t="str">
        <f t="shared" ca="1" si="19"/>
        <v/>
      </c>
      <c r="AJ43" s="296" t="str">
        <f t="shared" si="20"/>
        <v/>
      </c>
      <c r="AK43" s="296" t="str">
        <f t="shared" si="21"/>
        <v/>
      </c>
      <c r="AL43" s="287" t="str">
        <f t="shared" si="22"/>
        <v/>
      </c>
      <c r="AM43" s="279">
        <f t="shared" si="23"/>
        <v>0</v>
      </c>
      <c r="AN43" s="279">
        <f t="shared" si="24"/>
        <v>0</v>
      </c>
      <c r="AO43" s="288">
        <f t="shared" si="25"/>
        <v>0</v>
      </c>
      <c r="AP43" s="279">
        <f t="shared" si="26"/>
        <v>0</v>
      </c>
      <c r="AQ43" s="288">
        <f t="shared" si="27"/>
        <v>0</v>
      </c>
      <c r="AR43" s="289">
        <f t="shared" si="28"/>
        <v>0</v>
      </c>
      <c r="AS43" s="279">
        <f t="shared" si="29"/>
        <v>0</v>
      </c>
      <c r="AT43" s="288">
        <f t="shared" si="30"/>
        <v>0</v>
      </c>
      <c r="AU43" s="289">
        <f t="shared" si="31"/>
        <v>0</v>
      </c>
      <c r="AV43" s="279">
        <f t="shared" si="32"/>
        <v>0</v>
      </c>
      <c r="AW43" s="288">
        <f t="shared" si="33"/>
        <v>0</v>
      </c>
      <c r="AX43" s="289">
        <f t="shared" si="34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35"/>
        <v/>
      </c>
      <c r="BM43" s="270"/>
      <c r="BN43" s="271"/>
      <c r="BO43" s="272" t="str">
        <f t="shared" ca="1" si="36"/>
        <v/>
      </c>
      <c r="BP43" s="270"/>
      <c r="BQ43" s="271"/>
      <c r="BR43" s="272" t="str">
        <f t="shared" ca="1" si="37"/>
        <v/>
      </c>
      <c r="BS43" s="270"/>
      <c r="BT43" s="271"/>
      <c r="BU43" s="272" t="str">
        <f t="shared" ca="1" si="38"/>
        <v/>
      </c>
      <c r="BV43" s="270"/>
      <c r="BW43" s="271"/>
      <c r="BX43" s="272" t="str">
        <f t="shared" ca="1" si="39"/>
        <v/>
      </c>
      <c r="BY43" s="270"/>
      <c r="BZ43" s="271"/>
      <c r="CA43" s="272" t="str">
        <f t="shared" ca="1" si="40"/>
        <v/>
      </c>
      <c r="CB43" s="270"/>
      <c r="CC43" s="271"/>
      <c r="CD43" s="272" t="str">
        <f t="shared" ca="1" si="41"/>
        <v/>
      </c>
      <c r="CE43" s="270"/>
      <c r="CF43" s="271"/>
      <c r="CG43" s="272" t="str">
        <f t="shared" ca="1" si="42"/>
        <v/>
      </c>
      <c r="CH43" s="270"/>
      <c r="CI43" s="271"/>
      <c r="CJ43" s="272" t="str">
        <f t="shared" ca="1" si="43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45"/>
        <v/>
      </c>
      <c r="CU43" s="264"/>
      <c r="CV43" s="265"/>
      <c r="CW43" s="264"/>
      <c r="CX43" s="264"/>
      <c r="CY43" s="264" t="str">
        <f t="shared" si="46"/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6"/>
        <v>0</v>
      </c>
      <c r="DN43" s="295" t="str">
        <f t="shared" si="47"/>
        <v/>
      </c>
    </row>
    <row r="44" spans="1:118" x14ac:dyDescent="0.25">
      <c r="A44" s="599" t="str">
        <f t="shared" si="5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7"/>
        <v/>
      </c>
      <c r="J44" s="312"/>
      <c r="K44" s="268"/>
      <c r="L44" s="277"/>
      <c r="M44" s="279"/>
      <c r="N44" s="280"/>
      <c r="O44" s="280"/>
      <c r="P44" s="455"/>
      <c r="Q44" s="281" t="str">
        <f t="shared" si="8"/>
        <v/>
      </c>
      <c r="R44" s="282">
        <f t="shared" si="9"/>
        <v>0</v>
      </c>
      <c r="S44" s="268"/>
      <c r="T44" s="283">
        <f t="shared" si="44"/>
        <v>0</v>
      </c>
      <c r="U44" s="284">
        <f>IF(M44=0,0,IF(G44="Annulation","",IF(assurance="ALPTIS",M44*12*T44/100*'1805 Data'!$K$4,IF(assurance="APRIL",M44*12*T44/100*'1805 Data'!$F$4,IF(assurance="ASAF",M44*12*T44/100*'1805 Data'!$I$4,IF(assurance="NEOLIANE",('1805 Data'!$G$5+M44*12*'1805 Data'!$G$4)*T44/100,IF(assurance="NEOLIANE Prev",('1805 Data'!$H$5+M44*12*'1805 Data'!$H$4)*T44/100,IF(assurance="SWISSLIFE",M44*12*T44/100*'1805 Data'!$J$4,IF(assurance="AVIVA",M44*12*T44/100*'1805 Data'!$L$4,IF(assurance="CIPRES",M44*12*T44/100*'1805 Data'!$M$4,IF(assurance="CEGEMA",M44*12*T44/100*'1805 Data'!$N$4,IF(assurance=0,0))))))))))))</f>
        <v>0</v>
      </c>
      <c r="V44" s="298" t="str">
        <f t="shared" si="10"/>
        <v/>
      </c>
      <c r="W44" s="298" t="str">
        <f t="shared" si="11"/>
        <v/>
      </c>
      <c r="X44" s="299">
        <f t="shared" si="12"/>
        <v>0</v>
      </c>
      <c r="Y44" s="368">
        <f t="shared" si="13"/>
        <v>0</v>
      </c>
      <c r="Z44" s="314"/>
      <c r="AA44" s="313" t="str">
        <f t="shared" si="14"/>
        <v/>
      </c>
      <c r="AB44" s="268" t="s">
        <v>13</v>
      </c>
      <c r="AC44" s="277"/>
      <c r="AD44" s="309" t="str">
        <f t="shared" si="15"/>
        <v/>
      </c>
      <c r="AE44" s="286" t="str">
        <f t="shared" si="16"/>
        <v/>
      </c>
      <c r="AF44" s="277"/>
      <c r="AG44" s="275" t="str">
        <f t="shared" si="17"/>
        <v/>
      </c>
      <c r="AH44" s="287" t="str">
        <f t="shared" ca="1" si="18"/>
        <v/>
      </c>
      <c r="AI44" s="373" t="str">
        <f t="shared" ca="1" si="19"/>
        <v/>
      </c>
      <c r="AJ44" s="296" t="str">
        <f t="shared" si="20"/>
        <v/>
      </c>
      <c r="AK44" s="296" t="str">
        <f t="shared" si="21"/>
        <v/>
      </c>
      <c r="AL44" s="287" t="str">
        <f t="shared" si="22"/>
        <v/>
      </c>
      <c r="AM44" s="279">
        <f t="shared" si="23"/>
        <v>0</v>
      </c>
      <c r="AN44" s="279">
        <f t="shared" si="24"/>
        <v>0</v>
      </c>
      <c r="AO44" s="288">
        <f t="shared" si="25"/>
        <v>0</v>
      </c>
      <c r="AP44" s="279">
        <f t="shared" si="26"/>
        <v>0</v>
      </c>
      <c r="AQ44" s="288">
        <f t="shared" si="27"/>
        <v>0</v>
      </c>
      <c r="AR44" s="289">
        <f t="shared" si="28"/>
        <v>0</v>
      </c>
      <c r="AS44" s="279">
        <f t="shared" si="29"/>
        <v>0</v>
      </c>
      <c r="AT44" s="288">
        <f t="shared" si="30"/>
        <v>0</v>
      </c>
      <c r="AU44" s="289">
        <f t="shared" si="31"/>
        <v>0</v>
      </c>
      <c r="AV44" s="279">
        <f t="shared" si="32"/>
        <v>0</v>
      </c>
      <c r="AW44" s="288">
        <f t="shared" si="33"/>
        <v>0</v>
      </c>
      <c r="AX44" s="289">
        <f t="shared" si="34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35"/>
        <v/>
      </c>
      <c r="BM44" s="270"/>
      <c r="BN44" s="271"/>
      <c r="BO44" s="272" t="str">
        <f t="shared" ca="1" si="36"/>
        <v/>
      </c>
      <c r="BP44" s="270"/>
      <c r="BQ44" s="271"/>
      <c r="BR44" s="272" t="str">
        <f t="shared" ca="1" si="37"/>
        <v/>
      </c>
      <c r="BS44" s="270"/>
      <c r="BT44" s="271"/>
      <c r="BU44" s="272" t="str">
        <f t="shared" ca="1" si="38"/>
        <v/>
      </c>
      <c r="BV44" s="270"/>
      <c r="BW44" s="271"/>
      <c r="BX44" s="272" t="str">
        <f t="shared" ca="1" si="39"/>
        <v/>
      </c>
      <c r="BY44" s="270"/>
      <c r="BZ44" s="271"/>
      <c r="CA44" s="272" t="str">
        <f t="shared" ca="1" si="40"/>
        <v/>
      </c>
      <c r="CB44" s="270"/>
      <c r="CC44" s="271"/>
      <c r="CD44" s="272" t="str">
        <f t="shared" ca="1" si="41"/>
        <v/>
      </c>
      <c r="CE44" s="270"/>
      <c r="CF44" s="271"/>
      <c r="CG44" s="272" t="str">
        <f t="shared" ca="1" si="42"/>
        <v/>
      </c>
      <c r="CH44" s="270"/>
      <c r="CI44" s="271"/>
      <c r="CJ44" s="272" t="str">
        <f t="shared" ca="1" si="43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45"/>
        <v/>
      </c>
      <c r="CU44" s="264"/>
      <c r="CV44" s="265"/>
      <c r="CW44" s="264"/>
      <c r="CX44" s="264"/>
      <c r="CY44" s="264" t="str">
        <f t="shared" si="46"/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6"/>
        <v>0</v>
      </c>
      <c r="DN44" s="295" t="str">
        <f t="shared" si="47"/>
        <v/>
      </c>
    </row>
    <row r="45" spans="1:118" x14ac:dyDescent="0.25">
      <c r="A45" s="599" t="str">
        <f t="shared" si="5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7"/>
        <v/>
      </c>
      <c r="J45" s="312"/>
      <c r="K45" s="268"/>
      <c r="L45" s="277"/>
      <c r="M45" s="279"/>
      <c r="N45" s="280"/>
      <c r="O45" s="280"/>
      <c r="P45" s="455"/>
      <c r="Q45" s="281" t="str">
        <f t="shared" si="8"/>
        <v/>
      </c>
      <c r="R45" s="282">
        <f t="shared" si="9"/>
        <v>0</v>
      </c>
      <c r="S45" s="268"/>
      <c r="T45" s="283">
        <f t="shared" si="44"/>
        <v>0</v>
      </c>
      <c r="U45" s="284">
        <f>IF(M45=0,0,IF(G45="Annulation","",IF(assurance="ALPTIS",M45*12*T45/100*'1805 Data'!$K$4,IF(assurance="APRIL",M45*12*T45/100*'1805 Data'!$F$4,IF(assurance="ASAF",M45*12*T45/100*'1805 Data'!$I$4,IF(assurance="NEOLIANE",('1805 Data'!$G$5+M45*12*'1805 Data'!$G$4)*T45/100,IF(assurance="NEOLIANE Prev",('1805 Data'!$H$5+M45*12*'1805 Data'!$H$4)*T45/100,IF(assurance="SWISSLIFE",M45*12*T45/100*'1805 Data'!$J$4,IF(assurance="AVIVA",M45*12*T45/100*'1805 Data'!$L$4,IF(assurance="CIPRES",M45*12*T45/100*'1805 Data'!$M$4,IF(assurance="CEGEMA",M45*12*T45/100*'1805 Data'!$N$4,IF(assurance=0,0))))))))))))</f>
        <v>0</v>
      </c>
      <c r="V45" s="298" t="str">
        <f t="shared" si="10"/>
        <v/>
      </c>
      <c r="W45" s="298" t="str">
        <f t="shared" si="11"/>
        <v/>
      </c>
      <c r="X45" s="299">
        <f t="shared" si="12"/>
        <v>0</v>
      </c>
      <c r="Y45" s="368">
        <f t="shared" si="13"/>
        <v>0</v>
      </c>
      <c r="Z45" s="314"/>
      <c r="AA45" s="313" t="str">
        <f t="shared" si="14"/>
        <v/>
      </c>
      <c r="AB45" s="268" t="s">
        <v>13</v>
      </c>
      <c r="AC45" s="277"/>
      <c r="AD45" s="309" t="str">
        <f t="shared" si="15"/>
        <v/>
      </c>
      <c r="AE45" s="286" t="str">
        <f t="shared" si="16"/>
        <v/>
      </c>
      <c r="AF45" s="277"/>
      <c r="AG45" s="275" t="str">
        <f t="shared" si="17"/>
        <v/>
      </c>
      <c r="AH45" s="287" t="str">
        <f t="shared" ca="1" si="18"/>
        <v/>
      </c>
      <c r="AI45" s="373" t="str">
        <f t="shared" ca="1" si="19"/>
        <v/>
      </c>
      <c r="AJ45" s="296" t="str">
        <f t="shared" si="20"/>
        <v/>
      </c>
      <c r="AK45" s="296" t="str">
        <f t="shared" si="21"/>
        <v/>
      </c>
      <c r="AL45" s="287" t="str">
        <f t="shared" si="22"/>
        <v/>
      </c>
      <c r="AM45" s="279">
        <f t="shared" si="23"/>
        <v>0</v>
      </c>
      <c r="AN45" s="279">
        <f t="shared" si="24"/>
        <v>0</v>
      </c>
      <c r="AO45" s="288">
        <f t="shared" si="25"/>
        <v>0</v>
      </c>
      <c r="AP45" s="279">
        <f t="shared" si="26"/>
        <v>0</v>
      </c>
      <c r="AQ45" s="288">
        <f t="shared" si="27"/>
        <v>0</v>
      </c>
      <c r="AR45" s="289">
        <f t="shared" si="28"/>
        <v>0</v>
      </c>
      <c r="AS45" s="279">
        <f t="shared" si="29"/>
        <v>0</v>
      </c>
      <c r="AT45" s="288">
        <f t="shared" si="30"/>
        <v>0</v>
      </c>
      <c r="AU45" s="289">
        <f t="shared" si="31"/>
        <v>0</v>
      </c>
      <c r="AV45" s="279">
        <f t="shared" si="32"/>
        <v>0</v>
      </c>
      <c r="AW45" s="288">
        <f t="shared" si="33"/>
        <v>0</v>
      </c>
      <c r="AX45" s="289">
        <f t="shared" si="34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35"/>
        <v/>
      </c>
      <c r="BM45" s="270"/>
      <c r="BN45" s="271"/>
      <c r="BO45" s="272" t="str">
        <f t="shared" ca="1" si="36"/>
        <v/>
      </c>
      <c r="BP45" s="270"/>
      <c r="BQ45" s="271"/>
      <c r="BR45" s="272" t="str">
        <f t="shared" ca="1" si="37"/>
        <v/>
      </c>
      <c r="BS45" s="270"/>
      <c r="BT45" s="271"/>
      <c r="BU45" s="272" t="str">
        <f t="shared" ca="1" si="38"/>
        <v/>
      </c>
      <c r="BV45" s="270"/>
      <c r="BW45" s="271"/>
      <c r="BX45" s="272" t="str">
        <f t="shared" ca="1" si="39"/>
        <v/>
      </c>
      <c r="BY45" s="270"/>
      <c r="BZ45" s="271"/>
      <c r="CA45" s="272" t="str">
        <f t="shared" ca="1" si="40"/>
        <v/>
      </c>
      <c r="CB45" s="270"/>
      <c r="CC45" s="271"/>
      <c r="CD45" s="272" t="str">
        <f t="shared" ca="1" si="41"/>
        <v/>
      </c>
      <c r="CE45" s="270"/>
      <c r="CF45" s="271"/>
      <c r="CG45" s="272" t="str">
        <f t="shared" ca="1" si="42"/>
        <v/>
      </c>
      <c r="CH45" s="270"/>
      <c r="CI45" s="271"/>
      <c r="CJ45" s="272" t="str">
        <f t="shared" ca="1" si="43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45"/>
        <v/>
      </c>
      <c r="CU45" s="264"/>
      <c r="CV45" s="265"/>
      <c r="CW45" s="264"/>
      <c r="CX45" s="264"/>
      <c r="CY45" s="264" t="str">
        <f t="shared" si="46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6"/>
        <v>0</v>
      </c>
      <c r="DN45" s="295" t="str">
        <f t="shared" si="47"/>
        <v/>
      </c>
    </row>
    <row r="46" spans="1:118" x14ac:dyDescent="0.25">
      <c r="A46" s="599" t="str">
        <f t="shared" si="5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7"/>
        <v/>
      </c>
      <c r="J46" s="312"/>
      <c r="K46" s="268"/>
      <c r="L46" s="277"/>
      <c r="M46" s="279"/>
      <c r="N46" s="280"/>
      <c r="O46" s="280"/>
      <c r="P46" s="455"/>
      <c r="Q46" s="281" t="str">
        <f t="shared" si="8"/>
        <v/>
      </c>
      <c r="R46" s="282">
        <f t="shared" si="9"/>
        <v>0</v>
      </c>
      <c r="S46" s="268"/>
      <c r="T46" s="283">
        <f t="shared" si="44"/>
        <v>0</v>
      </c>
      <c r="U46" s="284">
        <f>IF(M46=0,0,IF(G46="Annulation","",IF(assurance="ALPTIS",M46*12*T46/100*'1805 Data'!$K$4,IF(assurance="APRIL",M46*12*T46/100*'1805 Data'!$F$4,IF(assurance="ASAF",M46*12*T46/100*'1805 Data'!$I$4,IF(assurance="NEOLIANE",('1805 Data'!$G$5+M46*12*'1805 Data'!$G$4)*T46/100,IF(assurance="NEOLIANE Prev",('1805 Data'!$H$5+M46*12*'1805 Data'!$H$4)*T46/100,IF(assurance="SWISSLIFE",M46*12*T46/100*'1805 Data'!$J$4,IF(assurance="AVIVA",M46*12*T46/100*'1805 Data'!$L$4,IF(assurance="CIPRES",M46*12*T46/100*'1805 Data'!$M$4,IF(assurance="CEGEMA",M46*12*T46/100*'1805 Data'!$N$4,IF(assurance=0,0))))))))))))</f>
        <v>0</v>
      </c>
      <c r="V46" s="298" t="str">
        <f t="shared" si="10"/>
        <v/>
      </c>
      <c r="W46" s="298" t="str">
        <f t="shared" si="11"/>
        <v/>
      </c>
      <c r="X46" s="299">
        <f t="shared" si="12"/>
        <v>0</v>
      </c>
      <c r="Y46" s="368">
        <f t="shared" si="13"/>
        <v>0</v>
      </c>
      <c r="Z46" s="314"/>
      <c r="AA46" s="313" t="str">
        <f t="shared" si="14"/>
        <v/>
      </c>
      <c r="AB46" s="268" t="s">
        <v>13</v>
      </c>
      <c r="AC46" s="277"/>
      <c r="AD46" s="309" t="str">
        <f t="shared" si="15"/>
        <v/>
      </c>
      <c r="AE46" s="286" t="str">
        <f t="shared" si="16"/>
        <v/>
      </c>
      <c r="AF46" s="277"/>
      <c r="AG46" s="275" t="str">
        <f t="shared" si="17"/>
        <v/>
      </c>
      <c r="AH46" s="287" t="str">
        <f t="shared" ca="1" si="18"/>
        <v/>
      </c>
      <c r="AI46" s="373" t="str">
        <f t="shared" ca="1" si="19"/>
        <v/>
      </c>
      <c r="AJ46" s="296" t="str">
        <f t="shared" si="20"/>
        <v/>
      </c>
      <c r="AK46" s="296" t="str">
        <f t="shared" si="21"/>
        <v/>
      </c>
      <c r="AL46" s="287" t="str">
        <f t="shared" si="22"/>
        <v/>
      </c>
      <c r="AM46" s="279">
        <f t="shared" si="23"/>
        <v>0</v>
      </c>
      <c r="AN46" s="279">
        <f t="shared" si="24"/>
        <v>0</v>
      </c>
      <c r="AO46" s="288">
        <f t="shared" si="25"/>
        <v>0</v>
      </c>
      <c r="AP46" s="279">
        <f t="shared" si="26"/>
        <v>0</v>
      </c>
      <c r="AQ46" s="288">
        <f t="shared" si="27"/>
        <v>0</v>
      </c>
      <c r="AR46" s="289">
        <f t="shared" si="28"/>
        <v>0</v>
      </c>
      <c r="AS46" s="279">
        <f t="shared" si="29"/>
        <v>0</v>
      </c>
      <c r="AT46" s="288">
        <f t="shared" si="30"/>
        <v>0</v>
      </c>
      <c r="AU46" s="289">
        <f t="shared" si="31"/>
        <v>0</v>
      </c>
      <c r="AV46" s="279">
        <f t="shared" si="32"/>
        <v>0</v>
      </c>
      <c r="AW46" s="288">
        <f t="shared" si="33"/>
        <v>0</v>
      </c>
      <c r="AX46" s="289">
        <f t="shared" si="34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35"/>
        <v/>
      </c>
      <c r="BM46" s="270"/>
      <c r="BN46" s="271"/>
      <c r="BO46" s="272" t="str">
        <f t="shared" ca="1" si="36"/>
        <v/>
      </c>
      <c r="BP46" s="270"/>
      <c r="BQ46" s="271"/>
      <c r="BR46" s="272" t="str">
        <f t="shared" ca="1" si="37"/>
        <v/>
      </c>
      <c r="BS46" s="270"/>
      <c r="BT46" s="271"/>
      <c r="BU46" s="272" t="str">
        <f t="shared" ca="1" si="38"/>
        <v/>
      </c>
      <c r="BV46" s="270"/>
      <c r="BW46" s="271"/>
      <c r="BX46" s="272" t="str">
        <f t="shared" ca="1" si="39"/>
        <v/>
      </c>
      <c r="BY46" s="270"/>
      <c r="BZ46" s="271"/>
      <c r="CA46" s="272" t="str">
        <f t="shared" ca="1" si="40"/>
        <v/>
      </c>
      <c r="CB46" s="270"/>
      <c r="CC46" s="271"/>
      <c r="CD46" s="272" t="str">
        <f t="shared" ca="1" si="41"/>
        <v/>
      </c>
      <c r="CE46" s="270"/>
      <c r="CF46" s="271"/>
      <c r="CG46" s="272" t="str">
        <f t="shared" ca="1" si="42"/>
        <v/>
      </c>
      <c r="CH46" s="270"/>
      <c r="CI46" s="271"/>
      <c r="CJ46" s="272" t="str">
        <f t="shared" ca="1" si="43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45"/>
        <v/>
      </c>
      <c r="CU46" s="264"/>
      <c r="CV46" s="265"/>
      <c r="CW46" s="264"/>
      <c r="CX46" s="264"/>
      <c r="CY46" s="264" t="str">
        <f t="shared" si="46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6"/>
        <v>0</v>
      </c>
      <c r="DN46" s="295" t="str">
        <f t="shared" si="47"/>
        <v/>
      </c>
    </row>
    <row r="47" spans="1:118" x14ac:dyDescent="0.25">
      <c r="A47" s="599" t="str">
        <f t="shared" si="5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7"/>
        <v/>
      </c>
      <c r="J47" s="312"/>
      <c r="K47" s="268"/>
      <c r="L47" s="277"/>
      <c r="M47" s="279"/>
      <c r="N47" s="280"/>
      <c r="O47" s="280"/>
      <c r="P47" s="455"/>
      <c r="Q47" s="281" t="str">
        <f t="shared" si="8"/>
        <v/>
      </c>
      <c r="R47" s="282">
        <f t="shared" si="9"/>
        <v>0</v>
      </c>
      <c r="S47" s="268"/>
      <c r="T47" s="283">
        <f t="shared" si="44"/>
        <v>0</v>
      </c>
      <c r="U47" s="284">
        <f>IF(M47=0,0,IF(G47="Annulation","",IF(assurance="ALPTIS",M47*12*T47/100*'1805 Data'!$K$4,IF(assurance="APRIL",M47*12*T47/100*'1805 Data'!$F$4,IF(assurance="ASAF",M47*12*T47/100*'1805 Data'!$I$4,IF(assurance="NEOLIANE",('1805 Data'!$G$5+M47*12*'1805 Data'!$G$4)*T47/100,IF(assurance="NEOLIANE Prev",('1805 Data'!$H$5+M47*12*'1805 Data'!$H$4)*T47/100,IF(assurance="SWISSLIFE",M47*12*T47/100*'1805 Data'!$J$4,IF(assurance="AVIVA",M47*12*T47/100*'1805 Data'!$L$4,IF(assurance="CIPRES",M47*12*T47/100*'1805 Data'!$M$4,IF(assurance="CEGEMA",M47*12*T47/100*'1805 Data'!$N$4,IF(assurance=0,0))))))))))))</f>
        <v>0</v>
      </c>
      <c r="V47" s="298" t="str">
        <f t="shared" si="10"/>
        <v/>
      </c>
      <c r="W47" s="298" t="str">
        <f t="shared" si="11"/>
        <v/>
      </c>
      <c r="X47" s="299">
        <f t="shared" si="12"/>
        <v>0</v>
      </c>
      <c r="Y47" s="368">
        <f t="shared" si="13"/>
        <v>0</v>
      </c>
      <c r="Z47" s="314"/>
      <c r="AA47" s="313" t="str">
        <f t="shared" si="14"/>
        <v/>
      </c>
      <c r="AB47" s="268" t="s">
        <v>13</v>
      </c>
      <c r="AC47" s="277"/>
      <c r="AD47" s="309" t="str">
        <f t="shared" si="15"/>
        <v/>
      </c>
      <c r="AE47" s="286" t="str">
        <f t="shared" si="16"/>
        <v/>
      </c>
      <c r="AF47" s="277"/>
      <c r="AG47" s="275" t="str">
        <f t="shared" si="17"/>
        <v/>
      </c>
      <c r="AH47" s="287" t="str">
        <f t="shared" ca="1" si="18"/>
        <v/>
      </c>
      <c r="AI47" s="373" t="str">
        <f t="shared" ca="1" si="19"/>
        <v/>
      </c>
      <c r="AJ47" s="296" t="str">
        <f t="shared" si="20"/>
        <v/>
      </c>
      <c r="AK47" s="296" t="str">
        <f t="shared" si="21"/>
        <v/>
      </c>
      <c r="AL47" s="287" t="str">
        <f t="shared" si="22"/>
        <v/>
      </c>
      <c r="AM47" s="279">
        <f t="shared" si="23"/>
        <v>0</v>
      </c>
      <c r="AN47" s="279">
        <f t="shared" si="24"/>
        <v>0</v>
      </c>
      <c r="AO47" s="288">
        <f t="shared" si="25"/>
        <v>0</v>
      </c>
      <c r="AP47" s="279">
        <f t="shared" si="26"/>
        <v>0</v>
      </c>
      <c r="AQ47" s="288">
        <f t="shared" si="27"/>
        <v>0</v>
      </c>
      <c r="AR47" s="289">
        <f t="shared" si="28"/>
        <v>0</v>
      </c>
      <c r="AS47" s="279">
        <f t="shared" si="29"/>
        <v>0</v>
      </c>
      <c r="AT47" s="288">
        <f t="shared" si="30"/>
        <v>0</v>
      </c>
      <c r="AU47" s="289">
        <f t="shared" si="31"/>
        <v>0</v>
      </c>
      <c r="AV47" s="279">
        <f t="shared" si="32"/>
        <v>0</v>
      </c>
      <c r="AW47" s="288">
        <f t="shared" si="33"/>
        <v>0</v>
      </c>
      <c r="AX47" s="289">
        <f t="shared" si="34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35"/>
        <v/>
      </c>
      <c r="BM47" s="270"/>
      <c r="BN47" s="271"/>
      <c r="BO47" s="272" t="str">
        <f t="shared" ca="1" si="36"/>
        <v/>
      </c>
      <c r="BP47" s="270"/>
      <c r="BQ47" s="271"/>
      <c r="BR47" s="272" t="str">
        <f t="shared" ca="1" si="37"/>
        <v/>
      </c>
      <c r="BS47" s="270"/>
      <c r="BT47" s="271"/>
      <c r="BU47" s="272" t="str">
        <f t="shared" ca="1" si="38"/>
        <v/>
      </c>
      <c r="BV47" s="270"/>
      <c r="BW47" s="271"/>
      <c r="BX47" s="272" t="str">
        <f t="shared" ca="1" si="39"/>
        <v/>
      </c>
      <c r="BY47" s="270"/>
      <c r="BZ47" s="271"/>
      <c r="CA47" s="272" t="str">
        <f t="shared" ca="1" si="40"/>
        <v/>
      </c>
      <c r="CB47" s="270"/>
      <c r="CC47" s="271"/>
      <c r="CD47" s="272" t="str">
        <f t="shared" ca="1" si="41"/>
        <v/>
      </c>
      <c r="CE47" s="270"/>
      <c r="CF47" s="271"/>
      <c r="CG47" s="272" t="str">
        <f t="shared" ca="1" si="42"/>
        <v/>
      </c>
      <c r="CH47" s="270"/>
      <c r="CI47" s="271"/>
      <c r="CJ47" s="272" t="str">
        <f t="shared" ca="1" si="43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45"/>
        <v/>
      </c>
      <c r="CU47" s="264"/>
      <c r="CV47" s="265"/>
      <c r="CW47" s="264"/>
      <c r="CX47" s="264"/>
      <c r="CY47" s="264" t="str">
        <f t="shared" si="46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6"/>
        <v>0</v>
      </c>
      <c r="DN47" s="295" t="str">
        <f t="shared" si="47"/>
        <v/>
      </c>
    </row>
    <row r="48" spans="1:118" x14ac:dyDescent="0.25">
      <c r="A48" s="599" t="str">
        <f t="shared" si="5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7"/>
        <v/>
      </c>
      <c r="J48" s="312"/>
      <c r="K48" s="268"/>
      <c r="L48" s="277"/>
      <c r="M48" s="279"/>
      <c r="N48" s="280"/>
      <c r="O48" s="280"/>
      <c r="P48" s="455"/>
      <c r="Q48" s="281" t="str">
        <f t="shared" si="8"/>
        <v/>
      </c>
      <c r="R48" s="282">
        <f t="shared" si="9"/>
        <v>0</v>
      </c>
      <c r="S48" s="268"/>
      <c r="T48" s="283">
        <f t="shared" si="44"/>
        <v>0</v>
      </c>
      <c r="U48" s="284">
        <f>IF(M48=0,0,IF(G48="Annulation","",IF(assurance="ALPTIS",M48*12*T48/100*'1805 Data'!$K$4,IF(assurance="APRIL",M48*12*T48/100*'1805 Data'!$F$4,IF(assurance="ASAF",M48*12*T48/100*'1805 Data'!$I$4,IF(assurance="NEOLIANE",('1805 Data'!$G$5+M48*12*'1805 Data'!$G$4)*T48/100,IF(assurance="NEOLIANE Prev",('1805 Data'!$H$5+M48*12*'1805 Data'!$H$4)*T48/100,IF(assurance="SWISSLIFE",M48*12*T48/100*'1805 Data'!$J$4,IF(assurance="AVIVA",M48*12*T48/100*'1805 Data'!$L$4,IF(assurance="CIPRES",M48*12*T48/100*'1805 Data'!$M$4,IF(assurance="CEGEMA",M48*12*T48/100*'1805 Data'!$N$4,IF(assurance=0,0))))))))))))</f>
        <v>0</v>
      </c>
      <c r="V48" s="298" t="str">
        <f t="shared" si="10"/>
        <v/>
      </c>
      <c r="W48" s="298" t="str">
        <f t="shared" si="11"/>
        <v/>
      </c>
      <c r="X48" s="299">
        <f t="shared" si="12"/>
        <v>0</v>
      </c>
      <c r="Y48" s="368">
        <f t="shared" si="13"/>
        <v>0</v>
      </c>
      <c r="Z48" s="314"/>
      <c r="AA48" s="313" t="str">
        <f t="shared" si="14"/>
        <v/>
      </c>
      <c r="AB48" s="268" t="s">
        <v>13</v>
      </c>
      <c r="AC48" s="277"/>
      <c r="AD48" s="309" t="str">
        <f t="shared" si="15"/>
        <v/>
      </c>
      <c r="AE48" s="286" t="str">
        <f t="shared" si="16"/>
        <v/>
      </c>
      <c r="AF48" s="277"/>
      <c r="AG48" s="275" t="str">
        <f t="shared" si="17"/>
        <v/>
      </c>
      <c r="AH48" s="287" t="str">
        <f t="shared" ca="1" si="18"/>
        <v/>
      </c>
      <c r="AI48" s="373" t="str">
        <f t="shared" ca="1" si="19"/>
        <v/>
      </c>
      <c r="AJ48" s="296" t="str">
        <f t="shared" si="20"/>
        <v/>
      </c>
      <c r="AK48" s="296" t="str">
        <f t="shared" si="21"/>
        <v/>
      </c>
      <c r="AL48" s="287" t="str">
        <f t="shared" si="22"/>
        <v/>
      </c>
      <c r="AM48" s="279">
        <f t="shared" si="23"/>
        <v>0</v>
      </c>
      <c r="AN48" s="279">
        <f t="shared" si="24"/>
        <v>0</v>
      </c>
      <c r="AO48" s="288">
        <f t="shared" si="25"/>
        <v>0</v>
      </c>
      <c r="AP48" s="279">
        <f t="shared" si="26"/>
        <v>0</v>
      </c>
      <c r="AQ48" s="288">
        <f t="shared" si="27"/>
        <v>0</v>
      </c>
      <c r="AR48" s="289">
        <f t="shared" si="28"/>
        <v>0</v>
      </c>
      <c r="AS48" s="279">
        <f t="shared" si="29"/>
        <v>0</v>
      </c>
      <c r="AT48" s="288">
        <f t="shared" si="30"/>
        <v>0</v>
      </c>
      <c r="AU48" s="289">
        <f t="shared" si="31"/>
        <v>0</v>
      </c>
      <c r="AV48" s="279">
        <f t="shared" si="32"/>
        <v>0</v>
      </c>
      <c r="AW48" s="288">
        <f t="shared" si="33"/>
        <v>0</v>
      </c>
      <c r="AX48" s="289">
        <f t="shared" si="34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35"/>
        <v/>
      </c>
      <c r="BM48" s="270"/>
      <c r="BN48" s="271"/>
      <c r="BO48" s="272" t="str">
        <f t="shared" ca="1" si="36"/>
        <v/>
      </c>
      <c r="BP48" s="270"/>
      <c r="BQ48" s="271"/>
      <c r="BR48" s="272" t="str">
        <f t="shared" ca="1" si="37"/>
        <v/>
      </c>
      <c r="BS48" s="270"/>
      <c r="BT48" s="271"/>
      <c r="BU48" s="272" t="str">
        <f t="shared" ca="1" si="38"/>
        <v/>
      </c>
      <c r="BV48" s="270"/>
      <c r="BW48" s="271"/>
      <c r="BX48" s="272" t="str">
        <f t="shared" ca="1" si="39"/>
        <v/>
      </c>
      <c r="BY48" s="270"/>
      <c r="BZ48" s="271"/>
      <c r="CA48" s="272" t="str">
        <f t="shared" ca="1" si="40"/>
        <v/>
      </c>
      <c r="CB48" s="270"/>
      <c r="CC48" s="271"/>
      <c r="CD48" s="272" t="str">
        <f t="shared" ca="1" si="41"/>
        <v/>
      </c>
      <c r="CE48" s="270"/>
      <c r="CF48" s="271"/>
      <c r="CG48" s="272" t="str">
        <f t="shared" ca="1" si="42"/>
        <v/>
      </c>
      <c r="CH48" s="270"/>
      <c r="CI48" s="271"/>
      <c r="CJ48" s="272" t="str">
        <f t="shared" ca="1" si="43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45"/>
        <v/>
      </c>
      <c r="CU48" s="264"/>
      <c r="CV48" s="265"/>
      <c r="CW48" s="264"/>
      <c r="CX48" s="264"/>
      <c r="CY48" s="264" t="str">
        <f t="shared" si="46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6"/>
        <v>0</v>
      </c>
      <c r="DN48" s="295" t="str">
        <f t="shared" si="47"/>
        <v/>
      </c>
    </row>
    <row r="49" spans="1:118" x14ac:dyDescent="0.25">
      <c r="A49" s="599" t="str">
        <f t="shared" si="5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7"/>
        <v/>
      </c>
      <c r="J49" s="312"/>
      <c r="K49" s="268"/>
      <c r="L49" s="277"/>
      <c r="M49" s="279"/>
      <c r="N49" s="280"/>
      <c r="O49" s="280"/>
      <c r="P49" s="455"/>
      <c r="Q49" s="281" t="str">
        <f t="shared" si="8"/>
        <v/>
      </c>
      <c r="R49" s="282">
        <f t="shared" si="9"/>
        <v>0</v>
      </c>
      <c r="S49" s="268"/>
      <c r="T49" s="283">
        <f t="shared" si="44"/>
        <v>0</v>
      </c>
      <c r="U49" s="284">
        <f>IF(M49=0,0,IF(G49="Annulation","",IF(assurance="ALPTIS",M49*12*T49/100*'1805 Data'!$K$4,IF(assurance="APRIL",M49*12*T49/100*'1805 Data'!$F$4,IF(assurance="ASAF",M49*12*T49/100*'1805 Data'!$I$4,IF(assurance="NEOLIANE",('1805 Data'!$G$5+M49*12*'1805 Data'!$G$4)*T49/100,IF(assurance="NEOLIANE Prev",('1805 Data'!$H$5+M49*12*'1805 Data'!$H$4)*T49/100,IF(assurance="SWISSLIFE",M49*12*T49/100*'1805 Data'!$J$4,IF(assurance="AVIVA",M49*12*T49/100*'1805 Data'!$L$4,IF(assurance="CIPRES",M49*12*T49/100*'1805 Data'!$M$4,IF(assurance="CEGEMA",M49*12*T49/100*'1805 Data'!$N$4,IF(assurance=0,0))))))))))))</f>
        <v>0</v>
      </c>
      <c r="V49" s="298" t="str">
        <f t="shared" si="10"/>
        <v/>
      </c>
      <c r="W49" s="298" t="str">
        <f t="shared" si="11"/>
        <v/>
      </c>
      <c r="X49" s="299">
        <f t="shared" si="12"/>
        <v>0</v>
      </c>
      <c r="Y49" s="368">
        <f t="shared" si="13"/>
        <v>0</v>
      </c>
      <c r="Z49" s="314"/>
      <c r="AA49" s="313" t="str">
        <f t="shared" si="14"/>
        <v/>
      </c>
      <c r="AB49" s="268" t="s">
        <v>13</v>
      </c>
      <c r="AC49" s="277"/>
      <c r="AD49" s="309" t="str">
        <f t="shared" si="15"/>
        <v/>
      </c>
      <c r="AE49" s="286" t="str">
        <f t="shared" si="16"/>
        <v/>
      </c>
      <c r="AF49" s="277"/>
      <c r="AG49" s="275" t="str">
        <f t="shared" si="17"/>
        <v/>
      </c>
      <c r="AH49" s="287" t="str">
        <f t="shared" ca="1" si="18"/>
        <v/>
      </c>
      <c r="AI49" s="373" t="str">
        <f t="shared" ca="1" si="19"/>
        <v/>
      </c>
      <c r="AJ49" s="296" t="str">
        <f t="shared" si="20"/>
        <v/>
      </c>
      <c r="AK49" s="296" t="str">
        <f t="shared" si="21"/>
        <v/>
      </c>
      <c r="AL49" s="287" t="str">
        <f t="shared" si="22"/>
        <v/>
      </c>
      <c r="AM49" s="279">
        <f t="shared" si="23"/>
        <v>0</v>
      </c>
      <c r="AN49" s="279">
        <f t="shared" si="24"/>
        <v>0</v>
      </c>
      <c r="AO49" s="288">
        <f t="shared" si="25"/>
        <v>0</v>
      </c>
      <c r="AP49" s="279">
        <f t="shared" si="26"/>
        <v>0</v>
      </c>
      <c r="AQ49" s="288">
        <f t="shared" si="27"/>
        <v>0</v>
      </c>
      <c r="AR49" s="289">
        <f t="shared" si="28"/>
        <v>0</v>
      </c>
      <c r="AS49" s="279">
        <f t="shared" si="29"/>
        <v>0</v>
      </c>
      <c r="AT49" s="288">
        <f t="shared" si="30"/>
        <v>0</v>
      </c>
      <c r="AU49" s="289">
        <f t="shared" si="31"/>
        <v>0</v>
      </c>
      <c r="AV49" s="279">
        <f t="shared" si="32"/>
        <v>0</v>
      </c>
      <c r="AW49" s="288">
        <f t="shared" si="33"/>
        <v>0</v>
      </c>
      <c r="AX49" s="289">
        <f t="shared" si="34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35"/>
        <v/>
      </c>
      <c r="BM49" s="270"/>
      <c r="BN49" s="271"/>
      <c r="BO49" s="272" t="str">
        <f t="shared" ca="1" si="36"/>
        <v/>
      </c>
      <c r="BP49" s="270"/>
      <c r="BQ49" s="271"/>
      <c r="BR49" s="272" t="str">
        <f t="shared" ca="1" si="37"/>
        <v/>
      </c>
      <c r="BS49" s="270"/>
      <c r="BT49" s="271"/>
      <c r="BU49" s="272" t="str">
        <f t="shared" ca="1" si="38"/>
        <v/>
      </c>
      <c r="BV49" s="270"/>
      <c r="BW49" s="271"/>
      <c r="BX49" s="272" t="str">
        <f t="shared" ca="1" si="39"/>
        <v/>
      </c>
      <c r="BY49" s="270"/>
      <c r="BZ49" s="271"/>
      <c r="CA49" s="272" t="str">
        <f t="shared" ca="1" si="40"/>
        <v/>
      </c>
      <c r="CB49" s="270"/>
      <c r="CC49" s="271"/>
      <c r="CD49" s="272" t="str">
        <f t="shared" ca="1" si="41"/>
        <v/>
      </c>
      <c r="CE49" s="270"/>
      <c r="CF49" s="271"/>
      <c r="CG49" s="272" t="str">
        <f t="shared" ca="1" si="42"/>
        <v/>
      </c>
      <c r="CH49" s="270"/>
      <c r="CI49" s="271"/>
      <c r="CJ49" s="272" t="str">
        <f t="shared" ca="1" si="43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45"/>
        <v/>
      </c>
      <c r="CU49" s="264"/>
      <c r="CV49" s="265"/>
      <c r="CW49" s="264"/>
      <c r="CX49" s="264"/>
      <c r="CY49" s="264" t="str">
        <f t="shared" si="46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6"/>
        <v>0</v>
      </c>
      <c r="DN49" s="295" t="str">
        <f t="shared" si="47"/>
        <v/>
      </c>
    </row>
    <row r="50" spans="1:118" x14ac:dyDescent="0.25">
      <c r="A50" s="599" t="str">
        <f t="shared" si="5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7"/>
        <v/>
      </c>
      <c r="J50" s="312"/>
      <c r="K50" s="268"/>
      <c r="L50" s="277"/>
      <c r="M50" s="279"/>
      <c r="N50" s="280"/>
      <c r="O50" s="280"/>
      <c r="P50" s="455"/>
      <c r="Q50" s="281" t="str">
        <f t="shared" si="8"/>
        <v/>
      </c>
      <c r="R50" s="282">
        <f t="shared" si="9"/>
        <v>0</v>
      </c>
      <c r="S50" s="268"/>
      <c r="T50" s="283">
        <f t="shared" si="44"/>
        <v>0</v>
      </c>
      <c r="U50" s="284">
        <f>IF(M50=0,0,IF(G50="Annulation","",IF(assurance="ALPTIS",M50*12*T50/100*'1805 Data'!$K$4,IF(assurance="APRIL",M50*12*T50/100*'1805 Data'!$F$4,IF(assurance="ASAF",M50*12*T50/100*'1805 Data'!$I$4,IF(assurance="NEOLIANE",('1805 Data'!$G$5+M50*12*'1805 Data'!$G$4)*T50/100,IF(assurance="NEOLIANE Prev",('1805 Data'!$H$5+M50*12*'1805 Data'!$H$4)*T50/100,IF(assurance="SWISSLIFE",M50*12*T50/100*'1805 Data'!$J$4,IF(assurance="AVIVA",M50*12*T50/100*'1805 Data'!$L$4,IF(assurance="CIPRES",M50*12*T50/100*'1805 Data'!$M$4,IF(assurance="CEGEMA",M50*12*T50/100*'1805 Data'!$N$4,IF(assurance=0,0))))))))))))</f>
        <v>0</v>
      </c>
      <c r="V50" s="298" t="str">
        <f t="shared" si="10"/>
        <v/>
      </c>
      <c r="W50" s="298" t="str">
        <f t="shared" si="11"/>
        <v/>
      </c>
      <c r="X50" s="299">
        <f t="shared" si="12"/>
        <v>0</v>
      </c>
      <c r="Y50" s="368">
        <f t="shared" si="13"/>
        <v>0</v>
      </c>
      <c r="Z50" s="314"/>
      <c r="AA50" s="313" t="str">
        <f t="shared" si="14"/>
        <v/>
      </c>
      <c r="AB50" s="268" t="s">
        <v>13</v>
      </c>
      <c r="AC50" s="277"/>
      <c r="AD50" s="309" t="str">
        <f t="shared" si="15"/>
        <v/>
      </c>
      <c r="AE50" s="286" t="str">
        <f t="shared" si="16"/>
        <v/>
      </c>
      <c r="AF50" s="277"/>
      <c r="AG50" s="275" t="str">
        <f t="shared" si="17"/>
        <v/>
      </c>
      <c r="AH50" s="287" t="str">
        <f t="shared" ca="1" si="18"/>
        <v/>
      </c>
      <c r="AI50" s="373" t="str">
        <f t="shared" ca="1" si="19"/>
        <v/>
      </c>
      <c r="AJ50" s="296" t="str">
        <f t="shared" si="20"/>
        <v/>
      </c>
      <c r="AK50" s="296" t="str">
        <f t="shared" si="21"/>
        <v/>
      </c>
      <c r="AL50" s="287" t="str">
        <f t="shared" si="22"/>
        <v/>
      </c>
      <c r="AM50" s="279">
        <f t="shared" si="23"/>
        <v>0</v>
      </c>
      <c r="AN50" s="279">
        <f t="shared" si="24"/>
        <v>0</v>
      </c>
      <c r="AO50" s="288">
        <f t="shared" si="25"/>
        <v>0</v>
      </c>
      <c r="AP50" s="279">
        <f t="shared" si="26"/>
        <v>0</v>
      </c>
      <c r="AQ50" s="288">
        <f t="shared" si="27"/>
        <v>0</v>
      </c>
      <c r="AR50" s="289">
        <f t="shared" si="28"/>
        <v>0</v>
      </c>
      <c r="AS50" s="279">
        <f t="shared" si="29"/>
        <v>0</v>
      </c>
      <c r="AT50" s="288">
        <f t="shared" si="30"/>
        <v>0</v>
      </c>
      <c r="AU50" s="289">
        <f t="shared" si="31"/>
        <v>0</v>
      </c>
      <c r="AV50" s="279">
        <f t="shared" si="32"/>
        <v>0</v>
      </c>
      <c r="AW50" s="288">
        <f t="shared" si="33"/>
        <v>0</v>
      </c>
      <c r="AX50" s="289">
        <f t="shared" si="34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35"/>
        <v/>
      </c>
      <c r="BM50" s="270"/>
      <c r="BN50" s="271"/>
      <c r="BO50" s="272" t="str">
        <f t="shared" ca="1" si="36"/>
        <v/>
      </c>
      <c r="BP50" s="270"/>
      <c r="BQ50" s="271"/>
      <c r="BR50" s="272" t="str">
        <f t="shared" ca="1" si="37"/>
        <v/>
      </c>
      <c r="BS50" s="270"/>
      <c r="BT50" s="271"/>
      <c r="BU50" s="272" t="str">
        <f t="shared" ca="1" si="38"/>
        <v/>
      </c>
      <c r="BV50" s="270"/>
      <c r="BW50" s="271"/>
      <c r="BX50" s="272" t="str">
        <f t="shared" ca="1" si="39"/>
        <v/>
      </c>
      <c r="BY50" s="270"/>
      <c r="BZ50" s="271"/>
      <c r="CA50" s="272" t="str">
        <f t="shared" ca="1" si="40"/>
        <v/>
      </c>
      <c r="CB50" s="270"/>
      <c r="CC50" s="271"/>
      <c r="CD50" s="272" t="str">
        <f t="shared" ca="1" si="41"/>
        <v/>
      </c>
      <c r="CE50" s="270"/>
      <c r="CF50" s="271"/>
      <c r="CG50" s="272" t="str">
        <f t="shared" ca="1" si="42"/>
        <v/>
      </c>
      <c r="CH50" s="270"/>
      <c r="CI50" s="271"/>
      <c r="CJ50" s="272" t="str">
        <f t="shared" ca="1" si="43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45"/>
        <v/>
      </c>
      <c r="CU50" s="264"/>
      <c r="CV50" s="265"/>
      <c r="CW50" s="264"/>
      <c r="CX50" s="264"/>
      <c r="CY50" s="264" t="str">
        <f t="shared" si="46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6"/>
        <v>0</v>
      </c>
      <c r="DN50" s="295" t="str">
        <f t="shared" si="47"/>
        <v/>
      </c>
    </row>
    <row r="51" spans="1:118" x14ac:dyDescent="0.25">
      <c r="A51" s="599" t="str">
        <f t="shared" si="5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7"/>
        <v/>
      </c>
      <c r="J51" s="312"/>
      <c r="K51" s="268"/>
      <c r="L51" s="277"/>
      <c r="M51" s="279"/>
      <c r="N51" s="280"/>
      <c r="O51" s="280"/>
      <c r="P51" s="455"/>
      <c r="Q51" s="281" t="str">
        <f t="shared" si="8"/>
        <v/>
      </c>
      <c r="R51" s="282">
        <f t="shared" si="9"/>
        <v>0</v>
      </c>
      <c r="S51" s="268"/>
      <c r="T51" s="283">
        <f t="shared" si="44"/>
        <v>0</v>
      </c>
      <c r="U51" s="284">
        <f>IF(M51=0,0,IF(G51="Annulation","",IF(assurance="ALPTIS",M51*12*T51/100*'1805 Data'!$K$4,IF(assurance="APRIL",M51*12*T51/100*'1805 Data'!$F$4,IF(assurance="ASAF",M51*12*T51/100*'1805 Data'!$I$4,IF(assurance="NEOLIANE",('1805 Data'!$G$5+M51*12*'1805 Data'!$G$4)*T51/100,IF(assurance="NEOLIANE Prev",('1805 Data'!$H$5+M51*12*'1805 Data'!$H$4)*T51/100,IF(assurance="SWISSLIFE",M51*12*T51/100*'1805 Data'!$J$4,IF(assurance="AVIVA",M51*12*T51/100*'1805 Data'!$L$4,IF(assurance="CIPRES",M51*12*T51/100*'1805 Data'!$M$4,IF(assurance="CEGEMA",M51*12*T51/100*'1805 Data'!$N$4,IF(assurance=0,0))))))))))))</f>
        <v>0</v>
      </c>
      <c r="V51" s="298" t="str">
        <f t="shared" si="10"/>
        <v/>
      </c>
      <c r="W51" s="298" t="str">
        <f t="shared" si="11"/>
        <v/>
      </c>
      <c r="X51" s="299">
        <f t="shared" si="12"/>
        <v>0</v>
      </c>
      <c r="Y51" s="368">
        <f t="shared" si="13"/>
        <v>0</v>
      </c>
      <c r="Z51" s="314"/>
      <c r="AA51" s="313" t="str">
        <f t="shared" si="14"/>
        <v/>
      </c>
      <c r="AB51" s="268" t="s">
        <v>13</v>
      </c>
      <c r="AC51" s="277"/>
      <c r="AD51" s="309" t="str">
        <f t="shared" si="15"/>
        <v/>
      </c>
      <c r="AE51" s="286" t="str">
        <f t="shared" si="16"/>
        <v/>
      </c>
      <c r="AF51" s="277"/>
      <c r="AG51" s="275" t="str">
        <f t="shared" si="17"/>
        <v/>
      </c>
      <c r="AH51" s="287" t="str">
        <f t="shared" ca="1" si="18"/>
        <v/>
      </c>
      <c r="AI51" s="373" t="str">
        <f t="shared" ca="1" si="19"/>
        <v/>
      </c>
      <c r="AJ51" s="296" t="str">
        <f t="shared" si="20"/>
        <v/>
      </c>
      <c r="AK51" s="296" t="str">
        <f t="shared" si="21"/>
        <v/>
      </c>
      <c r="AL51" s="287" t="str">
        <f t="shared" si="22"/>
        <v/>
      </c>
      <c r="AM51" s="279">
        <f t="shared" si="23"/>
        <v>0</v>
      </c>
      <c r="AN51" s="279">
        <f t="shared" si="24"/>
        <v>0</v>
      </c>
      <c r="AO51" s="288">
        <f t="shared" si="25"/>
        <v>0</v>
      </c>
      <c r="AP51" s="279">
        <f t="shared" si="26"/>
        <v>0</v>
      </c>
      <c r="AQ51" s="288">
        <f t="shared" si="27"/>
        <v>0</v>
      </c>
      <c r="AR51" s="289">
        <f t="shared" si="28"/>
        <v>0</v>
      </c>
      <c r="AS51" s="279">
        <f t="shared" si="29"/>
        <v>0</v>
      </c>
      <c r="AT51" s="288">
        <f t="shared" si="30"/>
        <v>0</v>
      </c>
      <c r="AU51" s="289">
        <f t="shared" si="31"/>
        <v>0</v>
      </c>
      <c r="AV51" s="279">
        <f t="shared" si="32"/>
        <v>0</v>
      </c>
      <c r="AW51" s="288">
        <f t="shared" si="33"/>
        <v>0</v>
      </c>
      <c r="AX51" s="289">
        <f t="shared" si="34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35"/>
        <v/>
      </c>
      <c r="BM51" s="270"/>
      <c r="BN51" s="271"/>
      <c r="BO51" s="272" t="str">
        <f t="shared" ca="1" si="36"/>
        <v/>
      </c>
      <c r="BP51" s="270"/>
      <c r="BQ51" s="271"/>
      <c r="BR51" s="272" t="str">
        <f t="shared" ca="1" si="37"/>
        <v/>
      </c>
      <c r="BS51" s="270"/>
      <c r="BT51" s="271"/>
      <c r="BU51" s="272" t="str">
        <f t="shared" ca="1" si="38"/>
        <v/>
      </c>
      <c r="BV51" s="270"/>
      <c r="BW51" s="271"/>
      <c r="BX51" s="272" t="str">
        <f t="shared" ca="1" si="39"/>
        <v/>
      </c>
      <c r="BY51" s="270"/>
      <c r="BZ51" s="271"/>
      <c r="CA51" s="272" t="str">
        <f t="shared" ca="1" si="40"/>
        <v/>
      </c>
      <c r="CB51" s="270"/>
      <c r="CC51" s="271"/>
      <c r="CD51" s="272" t="str">
        <f t="shared" ca="1" si="41"/>
        <v/>
      </c>
      <c r="CE51" s="270"/>
      <c r="CF51" s="271"/>
      <c r="CG51" s="272" t="str">
        <f t="shared" ca="1" si="42"/>
        <v/>
      </c>
      <c r="CH51" s="270"/>
      <c r="CI51" s="271"/>
      <c r="CJ51" s="272" t="str">
        <f t="shared" ca="1" si="43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45"/>
        <v/>
      </c>
      <c r="CU51" s="264"/>
      <c r="CV51" s="265"/>
      <c r="CW51" s="264"/>
      <c r="CX51" s="264"/>
      <c r="CY51" s="264" t="str">
        <f t="shared" si="46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6"/>
        <v>0</v>
      </c>
      <c r="DN51" s="295" t="str">
        <f t="shared" si="47"/>
        <v/>
      </c>
    </row>
    <row r="52" spans="1:118" x14ac:dyDescent="0.25">
      <c r="A52" s="599" t="str">
        <f t="shared" si="5"/>
        <v xml:space="preserve">  -  - </v>
      </c>
      <c r="B52" s="306"/>
      <c r="C52" s="305"/>
      <c r="D52" s="301"/>
      <c r="E52" s="276"/>
      <c r="F52" s="278"/>
      <c r="G52" s="311"/>
      <c r="H52" s="276"/>
      <c r="I52" s="313" t="str">
        <f t="shared" si="7"/>
        <v/>
      </c>
      <c r="J52" s="312"/>
      <c r="K52" s="268"/>
      <c r="L52" s="277"/>
      <c r="M52" s="279"/>
      <c r="N52" s="280"/>
      <c r="O52" s="280"/>
      <c r="P52" s="455"/>
      <c r="Q52" s="281" t="str">
        <f t="shared" si="8"/>
        <v/>
      </c>
      <c r="R52" s="282">
        <f t="shared" si="9"/>
        <v>0</v>
      </c>
      <c r="S52" s="268"/>
      <c r="T52" s="283">
        <f t="shared" si="44"/>
        <v>0</v>
      </c>
      <c r="U52" s="284">
        <f>IF(M52=0,0,IF(G52="Annulation","",IF(assurance="ALPTIS",M52*12*T52/100*'1805 Data'!$K$4,IF(assurance="APRIL",M52*12*T52/100*'1805 Data'!$F$4,IF(assurance="ASAF",M52*12*T52/100*'1805 Data'!$I$4,IF(assurance="NEOLIANE",('1805 Data'!$G$5+M52*12*'1805 Data'!$G$4)*T52/100,IF(assurance="NEOLIANE Prev",('1805 Data'!$H$5+M52*12*'1805 Data'!$H$4)*T52/100,IF(assurance="SWISSLIFE",M52*12*T52/100*'1805 Data'!$J$4,IF(assurance="AVIVA",M52*12*T52/100*'1805 Data'!$L$4,IF(assurance="CIPRES",M52*12*T52/100*'1805 Data'!$M$4,IF(assurance="CEGEMA",M52*12*T52/100*'1805 Data'!$N$4,IF(assurance=0,0))))))))))))</f>
        <v>0</v>
      </c>
      <c r="V52" s="298" t="str">
        <f t="shared" si="10"/>
        <v/>
      </c>
      <c r="W52" s="298" t="str">
        <f t="shared" si="11"/>
        <v/>
      </c>
      <c r="X52" s="299">
        <f t="shared" si="12"/>
        <v>0</v>
      </c>
      <c r="Y52" s="368">
        <f t="shared" si="13"/>
        <v>0</v>
      </c>
      <c r="Z52" s="314"/>
      <c r="AA52" s="313" t="str">
        <f t="shared" si="14"/>
        <v/>
      </c>
      <c r="AB52" s="268" t="s">
        <v>13</v>
      </c>
      <c r="AC52" s="277"/>
      <c r="AD52" s="309" t="str">
        <f t="shared" si="15"/>
        <v/>
      </c>
      <c r="AE52" s="286" t="str">
        <f t="shared" si="16"/>
        <v/>
      </c>
      <c r="AF52" s="277"/>
      <c r="AG52" s="275" t="str">
        <f t="shared" si="17"/>
        <v/>
      </c>
      <c r="AH52" s="287" t="str">
        <f t="shared" ca="1" si="18"/>
        <v/>
      </c>
      <c r="AI52" s="373" t="str">
        <f t="shared" ca="1" si="19"/>
        <v/>
      </c>
      <c r="AJ52" s="296" t="str">
        <f t="shared" si="20"/>
        <v/>
      </c>
      <c r="AK52" s="296" t="str">
        <f t="shared" si="21"/>
        <v/>
      </c>
      <c r="AL52" s="287" t="str">
        <f t="shared" si="22"/>
        <v/>
      </c>
      <c r="AM52" s="279">
        <f t="shared" si="23"/>
        <v>0</v>
      </c>
      <c r="AN52" s="279">
        <f t="shared" si="24"/>
        <v>0</v>
      </c>
      <c r="AO52" s="288">
        <f t="shared" si="25"/>
        <v>0</v>
      </c>
      <c r="AP52" s="279">
        <f t="shared" si="26"/>
        <v>0</v>
      </c>
      <c r="AQ52" s="288">
        <f t="shared" si="27"/>
        <v>0</v>
      </c>
      <c r="AR52" s="289">
        <f t="shared" si="28"/>
        <v>0</v>
      </c>
      <c r="AS52" s="279">
        <f t="shared" si="29"/>
        <v>0</v>
      </c>
      <c r="AT52" s="288">
        <f t="shared" si="30"/>
        <v>0</v>
      </c>
      <c r="AU52" s="289">
        <f t="shared" si="31"/>
        <v>0</v>
      </c>
      <c r="AV52" s="279">
        <f t="shared" si="32"/>
        <v>0</v>
      </c>
      <c r="AW52" s="288">
        <f t="shared" si="33"/>
        <v>0</v>
      </c>
      <c r="AX52" s="289">
        <f t="shared" si="34"/>
        <v>0</v>
      </c>
      <c r="AY52" s="268"/>
      <c r="AZ52" s="291"/>
      <c r="BA52" s="292"/>
      <c r="BB52" s="303"/>
      <c r="BC52" s="293"/>
      <c r="BD52" s="293"/>
      <c r="BE52" s="304"/>
      <c r="BF52" s="274"/>
      <c r="BG52" s="377"/>
      <c r="BH52" s="268">
        <v>1</v>
      </c>
      <c r="BI52" s="273">
        <v>0</v>
      </c>
      <c r="BJ52" s="276"/>
      <c r="BK52" s="294"/>
      <c r="BL52" s="269" t="str">
        <f t="shared" ca="1" si="35"/>
        <v/>
      </c>
      <c r="BM52" s="270"/>
      <c r="BN52" s="271"/>
      <c r="BO52" s="272" t="str">
        <f t="shared" ca="1" si="36"/>
        <v/>
      </c>
      <c r="BP52" s="270"/>
      <c r="BQ52" s="271"/>
      <c r="BR52" s="272" t="str">
        <f t="shared" ca="1" si="37"/>
        <v/>
      </c>
      <c r="BS52" s="270"/>
      <c r="BT52" s="271"/>
      <c r="BU52" s="272" t="str">
        <f t="shared" ca="1" si="38"/>
        <v/>
      </c>
      <c r="BV52" s="270"/>
      <c r="BW52" s="271"/>
      <c r="BX52" s="272" t="str">
        <f t="shared" ca="1" si="39"/>
        <v/>
      </c>
      <c r="BY52" s="270"/>
      <c r="BZ52" s="271"/>
      <c r="CA52" s="272" t="str">
        <f t="shared" ca="1" si="40"/>
        <v/>
      </c>
      <c r="CB52" s="270"/>
      <c r="CC52" s="271"/>
      <c r="CD52" s="272" t="str">
        <f t="shared" ca="1" si="41"/>
        <v/>
      </c>
      <c r="CE52" s="270"/>
      <c r="CF52" s="271"/>
      <c r="CG52" s="272" t="str">
        <f t="shared" ca="1" si="42"/>
        <v/>
      </c>
      <c r="CH52" s="270"/>
      <c r="CI52" s="271"/>
      <c r="CJ52" s="272" t="str">
        <f t="shared" ca="1" si="43"/>
        <v/>
      </c>
      <c r="CK52" s="262"/>
      <c r="CL52" s="264"/>
      <c r="CM52" s="264"/>
      <c r="CN52" s="264"/>
      <c r="CO52" s="264"/>
      <c r="CP52" s="264"/>
      <c r="CQ52" s="264"/>
      <c r="CR52" s="262"/>
      <c r="CS52" s="263"/>
      <c r="CT52" s="297" t="str">
        <f t="shared" si="45"/>
        <v/>
      </c>
      <c r="CU52" s="264"/>
      <c r="CV52" s="265"/>
      <c r="CW52" s="264"/>
      <c r="CX52" s="264"/>
      <c r="CY52" s="264" t="str">
        <f t="shared" si="46"/>
        <v/>
      </c>
      <c r="CZ52" s="264"/>
      <c r="DA52" s="264"/>
      <c r="DB52" s="266"/>
      <c r="DC52" s="264"/>
      <c r="DD52" s="264"/>
      <c r="DE52" s="266"/>
      <c r="DF52" s="266"/>
      <c r="DG52" s="264"/>
      <c r="DH52" s="266"/>
      <c r="DI52" s="266"/>
      <c r="DJ52" s="264"/>
      <c r="DK52" s="264"/>
      <c r="DL52" s="267"/>
      <c r="DM52" s="261">
        <f t="shared" si="6"/>
        <v>0</v>
      </c>
      <c r="DN52" s="295" t="str">
        <f t="shared" si="47"/>
        <v/>
      </c>
    </row>
    <row r="53" spans="1:118" x14ac:dyDescent="0.25">
      <c r="A53" s="599" t="str">
        <f t="shared" si="5"/>
        <v xml:space="preserve">  -  - </v>
      </c>
      <c r="B53" s="306"/>
      <c r="C53" s="305"/>
      <c r="D53" s="301"/>
      <c r="E53" s="276"/>
      <c r="F53" s="278"/>
      <c r="G53" s="311"/>
      <c r="H53" s="276"/>
      <c r="I53" s="313" t="str">
        <f t="shared" si="7"/>
        <v/>
      </c>
      <c r="J53" s="312"/>
      <c r="K53" s="268"/>
      <c r="L53" s="277"/>
      <c r="M53" s="279"/>
      <c r="N53" s="280"/>
      <c r="O53" s="280"/>
      <c r="P53" s="455"/>
      <c r="Q53" s="281" t="str">
        <f t="shared" si="8"/>
        <v/>
      </c>
      <c r="R53" s="282">
        <f t="shared" si="9"/>
        <v>0</v>
      </c>
      <c r="S53" s="268"/>
      <c r="T53" s="283">
        <f t="shared" si="44"/>
        <v>0</v>
      </c>
      <c r="U53" s="284">
        <f>IF(M53=0,0,IF(G53="Annulation","",IF(assurance="ALPTIS",M53*12*T53/100*'1805 Data'!$K$4,IF(assurance="APRIL",M53*12*T53/100*'1805 Data'!$F$4,IF(assurance="ASAF",M53*12*T53/100*'1805 Data'!$I$4,IF(assurance="NEOLIANE",('1805 Data'!$G$5+M53*12*'1805 Data'!$G$4)*T53/100,IF(assurance="NEOLIANE Prev",('1805 Data'!$H$5+M53*12*'1805 Data'!$H$4)*T53/100,IF(assurance="SWISSLIFE",M53*12*T53/100*'1805 Data'!$J$4,IF(assurance="AVIVA",M53*12*T53/100*'1805 Data'!$L$4,IF(assurance="CIPRES",M53*12*T53/100*'1805 Data'!$M$4,IF(assurance="CEGEMA",M53*12*T53/100*'1805 Data'!$N$4,IF(assurance=0,0))))))))))))</f>
        <v>0</v>
      </c>
      <c r="V53" s="298" t="str">
        <f t="shared" si="10"/>
        <v/>
      </c>
      <c r="W53" s="298" t="str">
        <f t="shared" si="11"/>
        <v/>
      </c>
      <c r="X53" s="299">
        <f t="shared" si="12"/>
        <v>0</v>
      </c>
      <c r="Y53" s="368">
        <f t="shared" si="13"/>
        <v>0</v>
      </c>
      <c r="Z53" s="314"/>
      <c r="AA53" s="313" t="str">
        <f t="shared" si="14"/>
        <v/>
      </c>
      <c r="AB53" s="268" t="s">
        <v>13</v>
      </c>
      <c r="AC53" s="277"/>
      <c r="AD53" s="309" t="str">
        <f t="shared" si="15"/>
        <v/>
      </c>
      <c r="AE53" s="286" t="str">
        <f t="shared" si="16"/>
        <v/>
      </c>
      <c r="AF53" s="277"/>
      <c r="AG53" s="275" t="str">
        <f t="shared" si="17"/>
        <v/>
      </c>
      <c r="AH53" s="287" t="str">
        <f t="shared" ca="1" si="18"/>
        <v/>
      </c>
      <c r="AI53" s="373" t="str">
        <f t="shared" ca="1" si="19"/>
        <v/>
      </c>
      <c r="AJ53" s="296" t="str">
        <f t="shared" si="20"/>
        <v/>
      </c>
      <c r="AK53" s="296" t="str">
        <f t="shared" si="21"/>
        <v/>
      </c>
      <c r="AL53" s="287" t="str">
        <f t="shared" si="22"/>
        <v/>
      </c>
      <c r="AM53" s="279">
        <f t="shared" si="23"/>
        <v>0</v>
      </c>
      <c r="AN53" s="279">
        <f t="shared" si="24"/>
        <v>0</v>
      </c>
      <c r="AO53" s="288">
        <f t="shared" si="25"/>
        <v>0</v>
      </c>
      <c r="AP53" s="279">
        <f t="shared" si="26"/>
        <v>0</v>
      </c>
      <c r="AQ53" s="288">
        <f t="shared" si="27"/>
        <v>0</v>
      </c>
      <c r="AR53" s="289">
        <f t="shared" si="28"/>
        <v>0</v>
      </c>
      <c r="AS53" s="279">
        <f t="shared" si="29"/>
        <v>0</v>
      </c>
      <c r="AT53" s="288">
        <f t="shared" si="30"/>
        <v>0</v>
      </c>
      <c r="AU53" s="289">
        <f t="shared" si="31"/>
        <v>0</v>
      </c>
      <c r="AV53" s="279">
        <f t="shared" si="32"/>
        <v>0</v>
      </c>
      <c r="AW53" s="288">
        <f t="shared" si="33"/>
        <v>0</v>
      </c>
      <c r="AX53" s="289">
        <f t="shared" si="34"/>
        <v>0</v>
      </c>
      <c r="AY53" s="268"/>
      <c r="AZ53" s="291"/>
      <c r="BA53" s="292"/>
      <c r="BB53" s="303"/>
      <c r="BC53" s="293"/>
      <c r="BD53" s="293"/>
      <c r="BE53" s="304"/>
      <c r="BF53" s="274"/>
      <c r="BG53" s="377"/>
      <c r="BH53" s="268">
        <v>1</v>
      </c>
      <c r="BI53" s="273">
        <v>0</v>
      </c>
      <c r="BJ53" s="276"/>
      <c r="BK53" s="294"/>
      <c r="BL53" s="269" t="str">
        <f t="shared" ca="1" si="35"/>
        <v/>
      </c>
      <c r="BM53" s="270"/>
      <c r="BN53" s="271"/>
      <c r="BO53" s="272" t="str">
        <f t="shared" ca="1" si="36"/>
        <v/>
      </c>
      <c r="BP53" s="270"/>
      <c r="BQ53" s="271"/>
      <c r="BR53" s="272" t="str">
        <f t="shared" ca="1" si="37"/>
        <v/>
      </c>
      <c r="BS53" s="270"/>
      <c r="BT53" s="271"/>
      <c r="BU53" s="272" t="str">
        <f t="shared" ca="1" si="38"/>
        <v/>
      </c>
      <c r="BV53" s="270"/>
      <c r="BW53" s="271"/>
      <c r="BX53" s="272" t="str">
        <f t="shared" ca="1" si="39"/>
        <v/>
      </c>
      <c r="BY53" s="270"/>
      <c r="BZ53" s="271"/>
      <c r="CA53" s="272" t="str">
        <f t="shared" ca="1" si="40"/>
        <v/>
      </c>
      <c r="CB53" s="270"/>
      <c r="CC53" s="271"/>
      <c r="CD53" s="272" t="str">
        <f t="shared" ca="1" si="41"/>
        <v/>
      </c>
      <c r="CE53" s="270"/>
      <c r="CF53" s="271"/>
      <c r="CG53" s="272" t="str">
        <f t="shared" ca="1" si="42"/>
        <v/>
      </c>
      <c r="CH53" s="270"/>
      <c r="CI53" s="271"/>
      <c r="CJ53" s="272" t="str">
        <f t="shared" ca="1" si="43"/>
        <v/>
      </c>
      <c r="CK53" s="262"/>
      <c r="CL53" s="264"/>
      <c r="CM53" s="264"/>
      <c r="CN53" s="264"/>
      <c r="CO53" s="264"/>
      <c r="CP53" s="264"/>
      <c r="CQ53" s="264"/>
      <c r="CR53" s="262"/>
      <c r="CS53" s="263"/>
      <c r="CT53" s="297" t="str">
        <f t="shared" si="45"/>
        <v/>
      </c>
      <c r="CU53" s="264"/>
      <c r="CV53" s="265"/>
      <c r="CW53" s="264"/>
      <c r="CX53" s="264"/>
      <c r="CY53" s="264" t="str">
        <f t="shared" si="46"/>
        <v/>
      </c>
      <c r="CZ53" s="264"/>
      <c r="DA53" s="264"/>
      <c r="DB53" s="266"/>
      <c r="DC53" s="264"/>
      <c r="DD53" s="264"/>
      <c r="DE53" s="266"/>
      <c r="DF53" s="266"/>
      <c r="DG53" s="264"/>
      <c r="DH53" s="266"/>
      <c r="DI53" s="266"/>
      <c r="DJ53" s="264"/>
      <c r="DK53" s="264"/>
      <c r="DL53" s="267"/>
      <c r="DM53" s="261">
        <f t="shared" si="6"/>
        <v>0</v>
      </c>
      <c r="DN53" s="295" t="str">
        <f t="shared" si="47"/>
        <v/>
      </c>
    </row>
    <row r="54" spans="1:118" x14ac:dyDescent="0.25">
      <c r="A54" s="599" t="str">
        <f t="shared" si="5"/>
        <v xml:space="preserve">  -  - </v>
      </c>
      <c r="B54" s="306"/>
      <c r="C54" s="305"/>
      <c r="D54" s="301"/>
      <c r="E54" s="276"/>
      <c r="F54" s="278"/>
      <c r="G54" s="311"/>
      <c r="H54" s="276"/>
      <c r="I54" s="313" t="str">
        <f t="shared" si="7"/>
        <v/>
      </c>
      <c r="J54" s="312"/>
      <c r="K54" s="268"/>
      <c r="L54" s="277"/>
      <c r="M54" s="279"/>
      <c r="N54" s="280"/>
      <c r="O54" s="280"/>
      <c r="P54" s="455"/>
      <c r="Q54" s="281" t="str">
        <f t="shared" si="8"/>
        <v/>
      </c>
      <c r="R54" s="282">
        <f t="shared" si="9"/>
        <v>0</v>
      </c>
      <c r="S54" s="268"/>
      <c r="T54" s="283">
        <f t="shared" si="44"/>
        <v>0</v>
      </c>
      <c r="U54" s="284">
        <f>IF(M54=0,0,IF(G54="Annulation","",IF(assurance="ALPTIS",M54*12*T54/100*'1805 Data'!$K$4,IF(assurance="APRIL",M54*12*T54/100*'1805 Data'!$F$4,IF(assurance="ASAF",M54*12*T54/100*'1805 Data'!$I$4,IF(assurance="NEOLIANE",('1805 Data'!$G$5+M54*12*'1805 Data'!$G$4)*T54/100,IF(assurance="NEOLIANE Prev",('1805 Data'!$H$5+M54*12*'1805 Data'!$H$4)*T54/100,IF(assurance="SWISSLIFE",M54*12*T54/100*'1805 Data'!$J$4,IF(assurance="AVIVA",M54*12*T54/100*'1805 Data'!$L$4,IF(assurance="CIPRES",M54*12*T54/100*'1805 Data'!$M$4,IF(assurance="CEGEMA",M54*12*T54/100*'1805 Data'!$N$4,IF(assurance=0,0))))))))))))</f>
        <v>0</v>
      </c>
      <c r="V54" s="298" t="str">
        <f t="shared" si="10"/>
        <v/>
      </c>
      <c r="W54" s="298" t="str">
        <f t="shared" si="11"/>
        <v/>
      </c>
      <c r="X54" s="299">
        <f t="shared" si="12"/>
        <v>0</v>
      </c>
      <c r="Y54" s="368">
        <f t="shared" si="13"/>
        <v>0</v>
      </c>
      <c r="Z54" s="314"/>
      <c r="AA54" s="313" t="str">
        <f t="shared" si="14"/>
        <v/>
      </c>
      <c r="AB54" s="268" t="s">
        <v>13</v>
      </c>
      <c r="AC54" s="277"/>
      <c r="AD54" s="309" t="str">
        <f t="shared" si="15"/>
        <v/>
      </c>
      <c r="AE54" s="286" t="str">
        <f t="shared" si="16"/>
        <v/>
      </c>
      <c r="AF54" s="277"/>
      <c r="AG54" s="275" t="str">
        <f t="shared" si="17"/>
        <v/>
      </c>
      <c r="AH54" s="287" t="str">
        <f t="shared" ca="1" si="18"/>
        <v/>
      </c>
      <c r="AI54" s="373" t="str">
        <f t="shared" ca="1" si="19"/>
        <v/>
      </c>
      <c r="AJ54" s="296" t="str">
        <f t="shared" si="20"/>
        <v/>
      </c>
      <c r="AK54" s="296" t="str">
        <f t="shared" si="21"/>
        <v/>
      </c>
      <c r="AL54" s="287" t="str">
        <f t="shared" si="22"/>
        <v/>
      </c>
      <c r="AM54" s="279">
        <f t="shared" si="23"/>
        <v>0</v>
      </c>
      <c r="AN54" s="279">
        <f t="shared" si="24"/>
        <v>0</v>
      </c>
      <c r="AO54" s="288">
        <f t="shared" si="25"/>
        <v>0</v>
      </c>
      <c r="AP54" s="279">
        <f t="shared" si="26"/>
        <v>0</v>
      </c>
      <c r="AQ54" s="288">
        <f t="shared" si="27"/>
        <v>0</v>
      </c>
      <c r="AR54" s="289">
        <f t="shared" si="28"/>
        <v>0</v>
      </c>
      <c r="AS54" s="279">
        <f t="shared" si="29"/>
        <v>0</v>
      </c>
      <c r="AT54" s="288">
        <f t="shared" si="30"/>
        <v>0</v>
      </c>
      <c r="AU54" s="289">
        <f t="shared" si="31"/>
        <v>0</v>
      </c>
      <c r="AV54" s="279">
        <f t="shared" si="32"/>
        <v>0</v>
      </c>
      <c r="AW54" s="288">
        <f t="shared" si="33"/>
        <v>0</v>
      </c>
      <c r="AX54" s="289">
        <f t="shared" si="34"/>
        <v>0</v>
      </c>
      <c r="AY54" s="268"/>
      <c r="AZ54" s="291"/>
      <c r="BA54" s="292"/>
      <c r="BB54" s="303"/>
      <c r="BC54" s="293"/>
      <c r="BD54" s="293"/>
      <c r="BE54" s="304"/>
      <c r="BF54" s="274"/>
      <c r="BG54" s="377"/>
      <c r="BH54" s="268">
        <v>1</v>
      </c>
      <c r="BI54" s="273">
        <v>0</v>
      </c>
      <c r="BJ54" s="276"/>
      <c r="BK54" s="294"/>
      <c r="BL54" s="269" t="str">
        <f t="shared" ca="1" si="35"/>
        <v/>
      </c>
      <c r="BM54" s="270"/>
      <c r="BN54" s="271"/>
      <c r="BO54" s="272" t="str">
        <f t="shared" ca="1" si="36"/>
        <v/>
      </c>
      <c r="BP54" s="270"/>
      <c r="BQ54" s="271"/>
      <c r="BR54" s="272" t="str">
        <f t="shared" ca="1" si="37"/>
        <v/>
      </c>
      <c r="BS54" s="270"/>
      <c r="BT54" s="271"/>
      <c r="BU54" s="272" t="str">
        <f t="shared" ca="1" si="38"/>
        <v/>
      </c>
      <c r="BV54" s="270"/>
      <c r="BW54" s="271"/>
      <c r="BX54" s="272" t="str">
        <f t="shared" ca="1" si="39"/>
        <v/>
      </c>
      <c r="BY54" s="270"/>
      <c r="BZ54" s="271"/>
      <c r="CA54" s="272" t="str">
        <f t="shared" ca="1" si="40"/>
        <v/>
      </c>
      <c r="CB54" s="270"/>
      <c r="CC54" s="271"/>
      <c r="CD54" s="272" t="str">
        <f t="shared" ca="1" si="41"/>
        <v/>
      </c>
      <c r="CE54" s="270"/>
      <c r="CF54" s="271"/>
      <c r="CG54" s="272" t="str">
        <f t="shared" ca="1" si="42"/>
        <v/>
      </c>
      <c r="CH54" s="270"/>
      <c r="CI54" s="271"/>
      <c r="CJ54" s="272" t="str">
        <f t="shared" ca="1" si="43"/>
        <v/>
      </c>
      <c r="CK54" s="262"/>
      <c r="CL54" s="264"/>
      <c r="CM54" s="264"/>
      <c r="CN54" s="264"/>
      <c r="CO54" s="264"/>
      <c r="CP54" s="264"/>
      <c r="CQ54" s="264"/>
      <c r="CR54" s="262"/>
      <c r="CS54" s="263"/>
      <c r="CT54" s="297" t="str">
        <f t="shared" si="45"/>
        <v/>
      </c>
      <c r="CU54" s="264"/>
      <c r="CV54" s="265"/>
      <c r="CW54" s="264"/>
      <c r="CX54" s="264"/>
      <c r="CY54" s="264" t="str">
        <f t="shared" si="46"/>
        <v/>
      </c>
      <c r="CZ54" s="264"/>
      <c r="DA54" s="264"/>
      <c r="DB54" s="266"/>
      <c r="DC54" s="264"/>
      <c r="DD54" s="264"/>
      <c r="DE54" s="266"/>
      <c r="DF54" s="266"/>
      <c r="DG54" s="264"/>
      <c r="DH54" s="266"/>
      <c r="DI54" s="266"/>
      <c r="DJ54" s="264"/>
      <c r="DK54" s="264"/>
      <c r="DL54" s="267"/>
      <c r="DM54" s="261">
        <f t="shared" si="6"/>
        <v>0</v>
      </c>
      <c r="DN54" s="295" t="str">
        <f t="shared" si="47"/>
        <v/>
      </c>
    </row>
    <row r="55" spans="1:118" x14ac:dyDescent="0.25">
      <c r="A55" s="599" t="str">
        <f t="shared" si="5"/>
        <v xml:space="preserve">  -  - </v>
      </c>
      <c r="B55" s="306"/>
      <c r="C55" s="305"/>
      <c r="D55" s="301"/>
      <c r="E55" s="276"/>
      <c r="F55" s="278"/>
      <c r="G55" s="311"/>
      <c r="H55" s="276"/>
      <c r="I55" s="313" t="str">
        <f t="shared" si="7"/>
        <v/>
      </c>
      <c r="J55" s="312"/>
      <c r="K55" s="268"/>
      <c r="L55" s="277"/>
      <c r="M55" s="279"/>
      <c r="N55" s="280"/>
      <c r="O55" s="280"/>
      <c r="P55" s="455"/>
      <c r="Q55" s="281" t="str">
        <f t="shared" si="8"/>
        <v/>
      </c>
      <c r="R55" s="282">
        <f t="shared" si="9"/>
        <v>0</v>
      </c>
      <c r="S55" s="268"/>
      <c r="T55" s="283">
        <f t="shared" si="44"/>
        <v>0</v>
      </c>
      <c r="U55" s="284">
        <f>IF(M55=0,0,IF(G55="Annulation","",IF(assurance="ALPTIS",M55*12*T55/100*'1805 Data'!$K$4,IF(assurance="APRIL",M55*12*T55/100*'1805 Data'!$F$4,IF(assurance="ASAF",M55*12*T55/100*'1805 Data'!$I$4,IF(assurance="NEOLIANE",('1805 Data'!$G$5+M55*12*'1805 Data'!$G$4)*T55/100,IF(assurance="NEOLIANE Prev",('1805 Data'!$H$5+M55*12*'1805 Data'!$H$4)*T55/100,IF(assurance="SWISSLIFE",M55*12*T55/100*'1805 Data'!$J$4,IF(assurance="AVIVA",M55*12*T55/100*'1805 Data'!$L$4,IF(assurance="CIPRES",M55*12*T55/100*'1805 Data'!$M$4,IF(assurance="CEGEMA",M55*12*T55/100*'1805 Data'!$N$4,IF(assurance=0,0))))))))))))</f>
        <v>0</v>
      </c>
      <c r="V55" s="298" t="str">
        <f t="shared" si="10"/>
        <v/>
      </c>
      <c r="W55" s="298" t="str">
        <f t="shared" si="11"/>
        <v/>
      </c>
      <c r="X55" s="299">
        <f t="shared" si="12"/>
        <v>0</v>
      </c>
      <c r="Y55" s="368">
        <f t="shared" si="13"/>
        <v>0</v>
      </c>
      <c r="Z55" s="314"/>
      <c r="AA55" s="313" t="str">
        <f t="shared" si="14"/>
        <v/>
      </c>
      <c r="AB55" s="268" t="s">
        <v>13</v>
      </c>
      <c r="AC55" s="277"/>
      <c r="AD55" s="309" t="str">
        <f t="shared" si="15"/>
        <v/>
      </c>
      <c r="AE55" s="286" t="str">
        <f t="shared" si="16"/>
        <v/>
      </c>
      <c r="AF55" s="277"/>
      <c r="AG55" s="275" t="str">
        <f t="shared" si="17"/>
        <v/>
      </c>
      <c r="AH55" s="287" t="str">
        <f t="shared" ca="1" si="18"/>
        <v/>
      </c>
      <c r="AI55" s="373" t="str">
        <f t="shared" ca="1" si="19"/>
        <v/>
      </c>
      <c r="AJ55" s="296" t="str">
        <f t="shared" si="20"/>
        <v/>
      </c>
      <c r="AK55" s="296" t="str">
        <f t="shared" si="21"/>
        <v/>
      </c>
      <c r="AL55" s="287" t="str">
        <f t="shared" si="22"/>
        <v/>
      </c>
      <c r="AM55" s="279">
        <f t="shared" si="23"/>
        <v>0</v>
      </c>
      <c r="AN55" s="279">
        <f t="shared" si="24"/>
        <v>0</v>
      </c>
      <c r="AO55" s="288">
        <f t="shared" si="25"/>
        <v>0</v>
      </c>
      <c r="AP55" s="279">
        <f t="shared" si="26"/>
        <v>0</v>
      </c>
      <c r="AQ55" s="288">
        <f t="shared" si="27"/>
        <v>0</v>
      </c>
      <c r="AR55" s="289">
        <f t="shared" si="28"/>
        <v>0</v>
      </c>
      <c r="AS55" s="279">
        <f t="shared" si="29"/>
        <v>0</v>
      </c>
      <c r="AT55" s="288">
        <f t="shared" si="30"/>
        <v>0</v>
      </c>
      <c r="AU55" s="289">
        <f t="shared" si="31"/>
        <v>0</v>
      </c>
      <c r="AV55" s="279">
        <f t="shared" si="32"/>
        <v>0</v>
      </c>
      <c r="AW55" s="288">
        <f t="shared" si="33"/>
        <v>0</v>
      </c>
      <c r="AX55" s="289">
        <f t="shared" si="34"/>
        <v>0</v>
      </c>
      <c r="AY55" s="268"/>
      <c r="AZ55" s="291"/>
      <c r="BA55" s="292"/>
      <c r="BB55" s="303"/>
      <c r="BC55" s="293"/>
      <c r="BD55" s="293"/>
      <c r="BE55" s="304"/>
      <c r="BF55" s="274"/>
      <c r="BG55" s="377"/>
      <c r="BH55" s="268">
        <v>1</v>
      </c>
      <c r="BI55" s="273">
        <v>0</v>
      </c>
      <c r="BJ55" s="276"/>
      <c r="BK55" s="294"/>
      <c r="BL55" s="269" t="str">
        <f t="shared" ca="1" si="35"/>
        <v/>
      </c>
      <c r="BM55" s="270"/>
      <c r="BN55" s="271"/>
      <c r="BO55" s="272" t="str">
        <f t="shared" ca="1" si="36"/>
        <v/>
      </c>
      <c r="BP55" s="270"/>
      <c r="BQ55" s="271"/>
      <c r="BR55" s="272" t="str">
        <f t="shared" ca="1" si="37"/>
        <v/>
      </c>
      <c r="BS55" s="270"/>
      <c r="BT55" s="271"/>
      <c r="BU55" s="272" t="str">
        <f t="shared" ca="1" si="38"/>
        <v/>
      </c>
      <c r="BV55" s="270"/>
      <c r="BW55" s="271"/>
      <c r="BX55" s="272" t="str">
        <f t="shared" ca="1" si="39"/>
        <v/>
      </c>
      <c r="BY55" s="270"/>
      <c r="BZ55" s="271"/>
      <c r="CA55" s="272" t="str">
        <f t="shared" ca="1" si="40"/>
        <v/>
      </c>
      <c r="CB55" s="270"/>
      <c r="CC55" s="271"/>
      <c r="CD55" s="272" t="str">
        <f t="shared" ca="1" si="41"/>
        <v/>
      </c>
      <c r="CE55" s="270"/>
      <c r="CF55" s="271"/>
      <c r="CG55" s="272" t="str">
        <f t="shared" ca="1" si="42"/>
        <v/>
      </c>
      <c r="CH55" s="270"/>
      <c r="CI55" s="271"/>
      <c r="CJ55" s="272" t="str">
        <f t="shared" ca="1" si="43"/>
        <v/>
      </c>
      <c r="CK55" s="262"/>
      <c r="CL55" s="264"/>
      <c r="CM55" s="264"/>
      <c r="CN55" s="264"/>
      <c r="CO55" s="264"/>
      <c r="CP55" s="264"/>
      <c r="CQ55" s="264"/>
      <c r="CR55" s="262"/>
      <c r="CS55" s="263"/>
      <c r="CT55" s="297" t="str">
        <f t="shared" si="45"/>
        <v/>
      </c>
      <c r="CU55" s="264"/>
      <c r="CV55" s="265"/>
      <c r="CW55" s="264"/>
      <c r="CX55" s="264"/>
      <c r="CY55" s="264" t="str">
        <f t="shared" si="46"/>
        <v/>
      </c>
      <c r="CZ55" s="264"/>
      <c r="DA55" s="264"/>
      <c r="DB55" s="266"/>
      <c r="DC55" s="264"/>
      <c r="DD55" s="264"/>
      <c r="DE55" s="266"/>
      <c r="DF55" s="266"/>
      <c r="DG55" s="264"/>
      <c r="DH55" s="266"/>
      <c r="DI55" s="266"/>
      <c r="DJ55" s="264"/>
      <c r="DK55" s="264"/>
      <c r="DL55" s="267"/>
      <c r="DM55" s="261">
        <f t="shared" si="6"/>
        <v>0</v>
      </c>
      <c r="DN55" s="295" t="str">
        <f t="shared" si="47"/>
        <v/>
      </c>
    </row>
    <row r="56" spans="1:118" x14ac:dyDescent="0.25">
      <c r="A56" s="599" t="str">
        <f t="shared" si="5"/>
        <v xml:space="preserve">  -  - </v>
      </c>
      <c r="B56" s="306"/>
      <c r="C56" s="305"/>
      <c r="D56" s="301"/>
      <c r="E56" s="276"/>
      <c r="F56" s="278"/>
      <c r="G56" s="311"/>
      <c r="H56" s="276"/>
      <c r="I56" s="313" t="str">
        <f t="shared" si="7"/>
        <v/>
      </c>
      <c r="J56" s="312"/>
      <c r="K56" s="268"/>
      <c r="L56" s="277"/>
      <c r="M56" s="279"/>
      <c r="N56" s="280"/>
      <c r="O56" s="280"/>
      <c r="P56" s="455"/>
      <c r="Q56" s="281" t="str">
        <f t="shared" si="8"/>
        <v/>
      </c>
      <c r="R56" s="282">
        <f t="shared" si="9"/>
        <v>0</v>
      </c>
      <c r="S56" s="268"/>
      <c r="T56" s="283">
        <f t="shared" si="44"/>
        <v>0</v>
      </c>
      <c r="U56" s="284">
        <f>IF(M56=0,0,IF(G56="Annulation","",IF(assurance="ALPTIS",M56*12*T56/100*'1805 Data'!$K$4,IF(assurance="APRIL",M56*12*T56/100*'1805 Data'!$F$4,IF(assurance="ASAF",M56*12*T56/100*'1805 Data'!$I$4,IF(assurance="NEOLIANE",('1805 Data'!$G$5+M56*12*'1805 Data'!$G$4)*T56/100,IF(assurance="NEOLIANE Prev",('1805 Data'!$H$5+M56*12*'1805 Data'!$H$4)*T56/100,IF(assurance="SWISSLIFE",M56*12*T56/100*'1805 Data'!$J$4,IF(assurance="AVIVA",M56*12*T56/100*'1805 Data'!$L$4,IF(assurance="CIPRES",M56*12*T56/100*'1805 Data'!$M$4,IF(assurance="CEGEMA",M56*12*T56/100*'1805 Data'!$N$4,IF(assurance=0,0))))))))))))</f>
        <v>0</v>
      </c>
      <c r="V56" s="298" t="str">
        <f t="shared" si="10"/>
        <v/>
      </c>
      <c r="W56" s="298" t="str">
        <f t="shared" si="11"/>
        <v/>
      </c>
      <c r="X56" s="299">
        <f t="shared" si="12"/>
        <v>0</v>
      </c>
      <c r="Y56" s="368">
        <f t="shared" si="13"/>
        <v>0</v>
      </c>
      <c r="Z56" s="314"/>
      <c r="AA56" s="313" t="str">
        <f t="shared" si="14"/>
        <v/>
      </c>
      <c r="AB56" s="268" t="s">
        <v>13</v>
      </c>
      <c r="AC56" s="277"/>
      <c r="AD56" s="309" t="str">
        <f t="shared" si="15"/>
        <v/>
      </c>
      <c r="AE56" s="286" t="str">
        <f t="shared" si="16"/>
        <v/>
      </c>
      <c r="AF56" s="277"/>
      <c r="AG56" s="275" t="str">
        <f t="shared" si="17"/>
        <v/>
      </c>
      <c r="AH56" s="287" t="str">
        <f t="shared" ca="1" si="18"/>
        <v/>
      </c>
      <c r="AI56" s="373" t="str">
        <f t="shared" ca="1" si="19"/>
        <v/>
      </c>
      <c r="AJ56" s="296" t="str">
        <f t="shared" si="20"/>
        <v/>
      </c>
      <c r="AK56" s="296" t="str">
        <f t="shared" si="21"/>
        <v/>
      </c>
      <c r="AL56" s="287" t="str">
        <f t="shared" si="22"/>
        <v/>
      </c>
      <c r="AM56" s="279">
        <f t="shared" si="23"/>
        <v>0</v>
      </c>
      <c r="AN56" s="279">
        <f t="shared" si="24"/>
        <v>0</v>
      </c>
      <c r="AO56" s="288">
        <f t="shared" si="25"/>
        <v>0</v>
      </c>
      <c r="AP56" s="279">
        <f t="shared" si="26"/>
        <v>0</v>
      </c>
      <c r="AQ56" s="288">
        <f t="shared" si="27"/>
        <v>0</v>
      </c>
      <c r="AR56" s="289">
        <f t="shared" si="28"/>
        <v>0</v>
      </c>
      <c r="AS56" s="279">
        <f t="shared" si="29"/>
        <v>0</v>
      </c>
      <c r="AT56" s="288">
        <f t="shared" si="30"/>
        <v>0</v>
      </c>
      <c r="AU56" s="289">
        <f t="shared" si="31"/>
        <v>0</v>
      </c>
      <c r="AV56" s="279">
        <f t="shared" si="32"/>
        <v>0</v>
      </c>
      <c r="AW56" s="288">
        <f t="shared" si="33"/>
        <v>0</v>
      </c>
      <c r="AX56" s="289">
        <f t="shared" si="34"/>
        <v>0</v>
      </c>
      <c r="AY56" s="268"/>
      <c r="AZ56" s="291"/>
      <c r="BA56" s="292"/>
      <c r="BB56" s="303"/>
      <c r="BC56" s="293"/>
      <c r="BD56" s="293"/>
      <c r="BE56" s="304"/>
      <c r="BF56" s="274"/>
      <c r="BG56" s="377"/>
      <c r="BH56" s="268">
        <v>1</v>
      </c>
      <c r="BI56" s="273">
        <v>0</v>
      </c>
      <c r="BJ56" s="276"/>
      <c r="BK56" s="294"/>
      <c r="BL56" s="269" t="str">
        <f t="shared" ca="1" si="35"/>
        <v/>
      </c>
      <c r="BM56" s="270"/>
      <c r="BN56" s="271"/>
      <c r="BO56" s="272" t="str">
        <f t="shared" ca="1" si="36"/>
        <v/>
      </c>
      <c r="BP56" s="270"/>
      <c r="BQ56" s="271"/>
      <c r="BR56" s="272" t="str">
        <f t="shared" ca="1" si="37"/>
        <v/>
      </c>
      <c r="BS56" s="270"/>
      <c r="BT56" s="271"/>
      <c r="BU56" s="272" t="str">
        <f t="shared" ca="1" si="38"/>
        <v/>
      </c>
      <c r="BV56" s="270"/>
      <c r="BW56" s="271"/>
      <c r="BX56" s="272" t="str">
        <f t="shared" ca="1" si="39"/>
        <v/>
      </c>
      <c r="BY56" s="270"/>
      <c r="BZ56" s="271"/>
      <c r="CA56" s="272" t="str">
        <f t="shared" ca="1" si="40"/>
        <v/>
      </c>
      <c r="CB56" s="270"/>
      <c r="CC56" s="271"/>
      <c r="CD56" s="272" t="str">
        <f t="shared" ca="1" si="41"/>
        <v/>
      </c>
      <c r="CE56" s="270"/>
      <c r="CF56" s="271"/>
      <c r="CG56" s="272" t="str">
        <f t="shared" ca="1" si="42"/>
        <v/>
      </c>
      <c r="CH56" s="270"/>
      <c r="CI56" s="271"/>
      <c r="CJ56" s="272" t="str">
        <f t="shared" ca="1" si="43"/>
        <v/>
      </c>
      <c r="CK56" s="262"/>
      <c r="CL56" s="264"/>
      <c r="CM56" s="264"/>
      <c r="CN56" s="264"/>
      <c r="CO56" s="264"/>
      <c r="CP56" s="264"/>
      <c r="CQ56" s="264"/>
      <c r="CR56" s="262"/>
      <c r="CS56" s="263"/>
      <c r="CT56" s="297" t="str">
        <f t="shared" si="45"/>
        <v/>
      </c>
      <c r="CU56" s="264"/>
      <c r="CV56" s="265"/>
      <c r="CW56" s="264"/>
      <c r="CX56" s="264"/>
      <c r="CY56" s="264" t="str">
        <f t="shared" si="46"/>
        <v/>
      </c>
      <c r="CZ56" s="264"/>
      <c r="DA56" s="264"/>
      <c r="DB56" s="266"/>
      <c r="DC56" s="264"/>
      <c r="DD56" s="264"/>
      <c r="DE56" s="266"/>
      <c r="DF56" s="266"/>
      <c r="DG56" s="264"/>
      <c r="DH56" s="266"/>
      <c r="DI56" s="266"/>
      <c r="DJ56" s="264"/>
      <c r="DK56" s="264"/>
      <c r="DL56" s="267"/>
      <c r="DM56" s="261">
        <f t="shared" si="6"/>
        <v>0</v>
      </c>
      <c r="DN56" s="295" t="str">
        <f t="shared" si="47"/>
        <v/>
      </c>
    </row>
    <row r="57" spans="1:118" x14ac:dyDescent="0.25">
      <c r="A57" s="599" t="str">
        <f t="shared" si="5"/>
        <v xml:space="preserve">  -  - </v>
      </c>
      <c r="B57" s="306"/>
      <c r="C57" s="305"/>
      <c r="D57" s="301"/>
      <c r="E57" s="276"/>
      <c r="F57" s="278"/>
      <c r="G57" s="311"/>
      <c r="H57" s="276"/>
      <c r="I57" s="313" t="str">
        <f t="shared" si="7"/>
        <v/>
      </c>
      <c r="J57" s="312"/>
      <c r="K57" s="268"/>
      <c r="L57" s="277"/>
      <c r="M57" s="279"/>
      <c r="N57" s="280"/>
      <c r="O57" s="280"/>
      <c r="P57" s="455"/>
      <c r="Q57" s="281" t="str">
        <f t="shared" si="8"/>
        <v/>
      </c>
      <c r="R57" s="282">
        <f t="shared" si="9"/>
        <v>0</v>
      </c>
      <c r="S57" s="268"/>
      <c r="T57" s="283">
        <f t="shared" si="44"/>
        <v>0</v>
      </c>
      <c r="U57" s="284">
        <f>IF(M57=0,0,IF(G57="Annulation","",IF(assurance="ALPTIS",M57*12*T57/100*'1805 Data'!$K$4,IF(assurance="APRIL",M57*12*T57/100*'1805 Data'!$F$4,IF(assurance="ASAF",M57*12*T57/100*'1805 Data'!$I$4,IF(assurance="NEOLIANE",('1805 Data'!$G$5+M57*12*'1805 Data'!$G$4)*T57/100,IF(assurance="NEOLIANE Prev",('1805 Data'!$H$5+M57*12*'1805 Data'!$H$4)*T57/100,IF(assurance="SWISSLIFE",M57*12*T57/100*'1805 Data'!$J$4,IF(assurance="AVIVA",M57*12*T57/100*'1805 Data'!$L$4,IF(assurance="CIPRES",M57*12*T57/100*'1805 Data'!$M$4,IF(assurance="CEGEMA",M57*12*T57/100*'1805 Data'!$N$4,IF(assurance=0,0))))))))))))</f>
        <v>0</v>
      </c>
      <c r="V57" s="298" t="str">
        <f t="shared" si="10"/>
        <v/>
      </c>
      <c r="W57" s="298" t="str">
        <f t="shared" si="11"/>
        <v/>
      </c>
      <c r="X57" s="299">
        <f t="shared" si="12"/>
        <v>0</v>
      </c>
      <c r="Y57" s="368">
        <f t="shared" si="13"/>
        <v>0</v>
      </c>
      <c r="Z57" s="314"/>
      <c r="AA57" s="313" t="str">
        <f t="shared" si="14"/>
        <v/>
      </c>
      <c r="AB57" s="268" t="s">
        <v>13</v>
      </c>
      <c r="AC57" s="277"/>
      <c r="AD57" s="309" t="str">
        <f t="shared" si="15"/>
        <v/>
      </c>
      <c r="AE57" s="286" t="str">
        <f t="shared" si="16"/>
        <v/>
      </c>
      <c r="AF57" s="277"/>
      <c r="AG57" s="275" t="str">
        <f t="shared" si="17"/>
        <v/>
      </c>
      <c r="AH57" s="287" t="str">
        <f t="shared" ca="1" si="18"/>
        <v/>
      </c>
      <c r="AI57" s="373" t="str">
        <f t="shared" ca="1" si="19"/>
        <v/>
      </c>
      <c r="AJ57" s="296" t="str">
        <f t="shared" si="20"/>
        <v/>
      </c>
      <c r="AK57" s="296" t="str">
        <f t="shared" si="21"/>
        <v/>
      </c>
      <c r="AL57" s="287" t="str">
        <f t="shared" si="22"/>
        <v/>
      </c>
      <c r="AM57" s="279">
        <f t="shared" si="23"/>
        <v>0</v>
      </c>
      <c r="AN57" s="279">
        <f t="shared" si="24"/>
        <v>0</v>
      </c>
      <c r="AO57" s="288">
        <f t="shared" si="25"/>
        <v>0</v>
      </c>
      <c r="AP57" s="279">
        <f t="shared" si="26"/>
        <v>0</v>
      </c>
      <c r="AQ57" s="288">
        <f t="shared" si="27"/>
        <v>0</v>
      </c>
      <c r="AR57" s="289">
        <f t="shared" si="28"/>
        <v>0</v>
      </c>
      <c r="AS57" s="279">
        <f t="shared" si="29"/>
        <v>0</v>
      </c>
      <c r="AT57" s="288">
        <f t="shared" si="30"/>
        <v>0</v>
      </c>
      <c r="AU57" s="289">
        <f t="shared" si="31"/>
        <v>0</v>
      </c>
      <c r="AV57" s="279">
        <f t="shared" si="32"/>
        <v>0</v>
      </c>
      <c r="AW57" s="288">
        <f t="shared" si="33"/>
        <v>0</v>
      </c>
      <c r="AX57" s="289">
        <f t="shared" si="34"/>
        <v>0</v>
      </c>
      <c r="AY57" s="268"/>
      <c r="AZ57" s="291"/>
      <c r="BA57" s="292"/>
      <c r="BB57" s="303"/>
      <c r="BC57" s="293"/>
      <c r="BD57" s="293"/>
      <c r="BE57" s="304"/>
      <c r="BF57" s="274"/>
      <c r="BG57" s="377"/>
      <c r="BH57" s="268">
        <v>1</v>
      </c>
      <c r="BI57" s="273">
        <v>0</v>
      </c>
      <c r="BJ57" s="276"/>
      <c r="BK57" s="294"/>
      <c r="BL57" s="269" t="str">
        <f t="shared" ca="1" si="35"/>
        <v/>
      </c>
      <c r="BM57" s="270"/>
      <c r="BN57" s="271"/>
      <c r="BO57" s="272" t="str">
        <f t="shared" ca="1" si="36"/>
        <v/>
      </c>
      <c r="BP57" s="270"/>
      <c r="BQ57" s="271"/>
      <c r="BR57" s="272" t="str">
        <f t="shared" ca="1" si="37"/>
        <v/>
      </c>
      <c r="BS57" s="270"/>
      <c r="BT57" s="271"/>
      <c r="BU57" s="272" t="str">
        <f t="shared" ca="1" si="38"/>
        <v/>
      </c>
      <c r="BV57" s="270"/>
      <c r="BW57" s="271"/>
      <c r="BX57" s="272" t="str">
        <f t="shared" ca="1" si="39"/>
        <v/>
      </c>
      <c r="BY57" s="270"/>
      <c r="BZ57" s="271"/>
      <c r="CA57" s="272" t="str">
        <f t="shared" ca="1" si="40"/>
        <v/>
      </c>
      <c r="CB57" s="270"/>
      <c r="CC57" s="271"/>
      <c r="CD57" s="272" t="str">
        <f t="shared" ca="1" si="41"/>
        <v/>
      </c>
      <c r="CE57" s="270"/>
      <c r="CF57" s="271"/>
      <c r="CG57" s="272" t="str">
        <f t="shared" ca="1" si="42"/>
        <v/>
      </c>
      <c r="CH57" s="270"/>
      <c r="CI57" s="271"/>
      <c r="CJ57" s="272" t="str">
        <f t="shared" ca="1" si="43"/>
        <v/>
      </c>
      <c r="CK57" s="262"/>
      <c r="CL57" s="264"/>
      <c r="CM57" s="264"/>
      <c r="CN57" s="264"/>
      <c r="CO57" s="264"/>
      <c r="CP57" s="264"/>
      <c r="CQ57" s="264"/>
      <c r="CR57" s="262"/>
      <c r="CS57" s="263"/>
      <c r="CT57" s="297" t="str">
        <f t="shared" si="45"/>
        <v/>
      </c>
      <c r="CU57" s="264"/>
      <c r="CV57" s="265"/>
      <c r="CW57" s="264"/>
      <c r="CX57" s="264"/>
      <c r="CY57" s="264" t="str">
        <f t="shared" si="46"/>
        <v/>
      </c>
      <c r="CZ57" s="264"/>
      <c r="DA57" s="264"/>
      <c r="DB57" s="266"/>
      <c r="DC57" s="264"/>
      <c r="DD57" s="264"/>
      <c r="DE57" s="266"/>
      <c r="DF57" s="266"/>
      <c r="DG57" s="264"/>
      <c r="DH57" s="266"/>
      <c r="DI57" s="266"/>
      <c r="DJ57" s="264"/>
      <c r="DK57" s="264"/>
      <c r="DL57" s="267"/>
      <c r="DM57" s="261">
        <f t="shared" si="6"/>
        <v>0</v>
      </c>
      <c r="DN57" s="295" t="str">
        <f t="shared" si="47"/>
        <v/>
      </c>
    </row>
    <row r="58" spans="1:118" x14ac:dyDescent="0.25">
      <c r="A58" s="599" t="str">
        <f t="shared" si="5"/>
        <v xml:space="preserve">  -  - </v>
      </c>
      <c r="B58" s="306"/>
      <c r="C58" s="305"/>
      <c r="D58" s="301"/>
      <c r="E58" s="276"/>
      <c r="F58" s="278"/>
      <c r="G58" s="311"/>
      <c r="H58" s="276"/>
      <c r="I58" s="313" t="str">
        <f t="shared" si="7"/>
        <v/>
      </c>
      <c r="J58" s="312"/>
      <c r="K58" s="268"/>
      <c r="L58" s="277"/>
      <c r="M58" s="279"/>
      <c r="N58" s="280"/>
      <c r="O58" s="280"/>
      <c r="P58" s="455"/>
      <c r="Q58" s="281" t="str">
        <f t="shared" si="8"/>
        <v/>
      </c>
      <c r="R58" s="282">
        <f t="shared" si="9"/>
        <v>0</v>
      </c>
      <c r="S58" s="268"/>
      <c r="T58" s="283">
        <f t="shared" si="44"/>
        <v>0</v>
      </c>
      <c r="U58" s="284">
        <f>IF(M58=0,0,IF(G58="Annulation","",IF(assurance="ALPTIS",M58*12*T58/100*'1805 Data'!$K$4,IF(assurance="APRIL",M58*12*T58/100*'1805 Data'!$F$4,IF(assurance="ASAF",M58*12*T58/100*'1805 Data'!$I$4,IF(assurance="NEOLIANE",('1805 Data'!$G$5+M58*12*'1805 Data'!$G$4)*T58/100,IF(assurance="NEOLIANE Prev",('1805 Data'!$H$5+M58*12*'1805 Data'!$H$4)*T58/100,IF(assurance="SWISSLIFE",M58*12*T58/100*'1805 Data'!$J$4,IF(assurance="AVIVA",M58*12*T58/100*'1805 Data'!$L$4,IF(assurance="CIPRES",M58*12*T58/100*'1805 Data'!$M$4,IF(assurance="CEGEMA",M58*12*T58/100*'1805 Data'!$N$4,IF(assurance=0,0))))))))))))</f>
        <v>0</v>
      </c>
      <c r="V58" s="298" t="str">
        <f t="shared" si="10"/>
        <v/>
      </c>
      <c r="W58" s="298" t="str">
        <f t="shared" si="11"/>
        <v/>
      </c>
      <c r="X58" s="299">
        <f t="shared" si="12"/>
        <v>0</v>
      </c>
      <c r="Y58" s="368">
        <f t="shared" si="13"/>
        <v>0</v>
      </c>
      <c r="Z58" s="314"/>
      <c r="AA58" s="313" t="str">
        <f t="shared" si="14"/>
        <v/>
      </c>
      <c r="AB58" s="268" t="s">
        <v>13</v>
      </c>
      <c r="AC58" s="277"/>
      <c r="AD58" s="309" t="str">
        <f t="shared" si="15"/>
        <v/>
      </c>
      <c r="AE58" s="286" t="str">
        <f t="shared" si="16"/>
        <v/>
      </c>
      <c r="AF58" s="277"/>
      <c r="AG58" s="275" t="str">
        <f t="shared" si="17"/>
        <v/>
      </c>
      <c r="AH58" s="287" t="str">
        <f t="shared" ca="1" si="18"/>
        <v/>
      </c>
      <c r="AI58" s="373" t="str">
        <f t="shared" ca="1" si="19"/>
        <v/>
      </c>
      <c r="AJ58" s="296" t="str">
        <f t="shared" si="20"/>
        <v/>
      </c>
      <c r="AK58" s="296" t="str">
        <f t="shared" si="21"/>
        <v/>
      </c>
      <c r="AL58" s="287" t="str">
        <f t="shared" si="22"/>
        <v/>
      </c>
      <c r="AM58" s="279">
        <f t="shared" si="23"/>
        <v>0</v>
      </c>
      <c r="AN58" s="279">
        <f t="shared" si="24"/>
        <v>0</v>
      </c>
      <c r="AO58" s="288">
        <f t="shared" si="25"/>
        <v>0</v>
      </c>
      <c r="AP58" s="279">
        <f t="shared" si="26"/>
        <v>0</v>
      </c>
      <c r="AQ58" s="288">
        <f t="shared" si="27"/>
        <v>0</v>
      </c>
      <c r="AR58" s="289">
        <f t="shared" si="28"/>
        <v>0</v>
      </c>
      <c r="AS58" s="279">
        <f t="shared" si="29"/>
        <v>0</v>
      </c>
      <c r="AT58" s="288">
        <f t="shared" si="30"/>
        <v>0</v>
      </c>
      <c r="AU58" s="289">
        <f t="shared" si="31"/>
        <v>0</v>
      </c>
      <c r="AV58" s="279">
        <f t="shared" si="32"/>
        <v>0</v>
      </c>
      <c r="AW58" s="288">
        <f t="shared" si="33"/>
        <v>0</v>
      </c>
      <c r="AX58" s="289">
        <f t="shared" si="34"/>
        <v>0</v>
      </c>
      <c r="AY58" s="268"/>
      <c r="AZ58" s="291"/>
      <c r="BA58" s="292"/>
      <c r="BB58" s="303"/>
      <c r="BC58" s="293"/>
      <c r="BD58" s="293"/>
      <c r="BE58" s="304"/>
      <c r="BF58" s="274"/>
      <c r="BG58" s="377"/>
      <c r="BH58" s="268">
        <v>1</v>
      </c>
      <c r="BI58" s="273">
        <v>0</v>
      </c>
      <c r="BJ58" s="276"/>
      <c r="BK58" s="294"/>
      <c r="BL58" s="269" t="str">
        <f t="shared" ca="1" si="35"/>
        <v/>
      </c>
      <c r="BM58" s="270"/>
      <c r="BN58" s="271"/>
      <c r="BO58" s="272" t="str">
        <f t="shared" ca="1" si="36"/>
        <v/>
      </c>
      <c r="BP58" s="270"/>
      <c r="BQ58" s="271"/>
      <c r="BR58" s="272" t="str">
        <f t="shared" ca="1" si="37"/>
        <v/>
      </c>
      <c r="BS58" s="270"/>
      <c r="BT58" s="271"/>
      <c r="BU58" s="272" t="str">
        <f t="shared" ca="1" si="38"/>
        <v/>
      </c>
      <c r="BV58" s="270"/>
      <c r="BW58" s="271"/>
      <c r="BX58" s="272" t="str">
        <f t="shared" ca="1" si="39"/>
        <v/>
      </c>
      <c r="BY58" s="270"/>
      <c r="BZ58" s="271"/>
      <c r="CA58" s="272" t="str">
        <f t="shared" ca="1" si="40"/>
        <v/>
      </c>
      <c r="CB58" s="270"/>
      <c r="CC58" s="271"/>
      <c r="CD58" s="272" t="str">
        <f t="shared" ca="1" si="41"/>
        <v/>
      </c>
      <c r="CE58" s="270"/>
      <c r="CF58" s="271"/>
      <c r="CG58" s="272" t="str">
        <f t="shared" ca="1" si="42"/>
        <v/>
      </c>
      <c r="CH58" s="270"/>
      <c r="CI58" s="271"/>
      <c r="CJ58" s="272" t="str">
        <f t="shared" ca="1" si="43"/>
        <v/>
      </c>
      <c r="CK58" s="262"/>
      <c r="CL58" s="264"/>
      <c r="CM58" s="264"/>
      <c r="CN58" s="264"/>
      <c r="CO58" s="264"/>
      <c r="CP58" s="264"/>
      <c r="CQ58" s="264"/>
      <c r="CR58" s="262"/>
      <c r="CS58" s="263"/>
      <c r="CT58" s="297" t="str">
        <f t="shared" si="45"/>
        <v/>
      </c>
      <c r="CU58" s="264"/>
      <c r="CV58" s="265"/>
      <c r="CW58" s="264"/>
      <c r="CX58" s="264"/>
      <c r="CY58" s="264" t="str">
        <f t="shared" si="46"/>
        <v/>
      </c>
      <c r="CZ58" s="264"/>
      <c r="DA58" s="264"/>
      <c r="DB58" s="266"/>
      <c r="DC58" s="264"/>
      <c r="DD58" s="264"/>
      <c r="DE58" s="266"/>
      <c r="DF58" s="266"/>
      <c r="DG58" s="264"/>
      <c r="DH58" s="266"/>
      <c r="DI58" s="266"/>
      <c r="DJ58" s="264"/>
      <c r="DK58" s="264"/>
      <c r="DL58" s="267"/>
      <c r="DM58" s="261">
        <f t="shared" si="6"/>
        <v>0</v>
      </c>
      <c r="DN58" s="295" t="str">
        <f t="shared" si="47"/>
        <v/>
      </c>
    </row>
  </sheetData>
  <sortState ref="C2:DO58">
    <sortCondition ref="E1"/>
  </sortState>
  <mergeCells count="1">
    <mergeCell ref="A1:B1"/>
  </mergeCells>
  <conditionalFormatting sqref="CH2:CH5 BM2:BM5 CE2:CE58 CB2:CB58 BY2:BY58 BV2:BV58 BP2:BP58 BS1:BS58">
    <cfRule type="expression" dxfId="2925" priority="1527">
      <formula>$J1="Santé Individuelle"</formula>
    </cfRule>
  </conditionalFormatting>
  <conditionalFormatting sqref="BU1:BU5 BX2:BX58 CA2:CA58 CD2:CD58 CG2:CG58 CJ2:CJ58 BO6:BO58 BR2:BR58">
    <cfRule type="expression" dxfId="2924" priority="1528">
      <formula>$J1="Santé Individuelle"</formula>
    </cfRule>
  </conditionalFormatting>
  <conditionalFormatting sqref="BV1">
    <cfRule type="expression" dxfId="2923" priority="1523">
      <formula>$J1="Santé Individuelle"</formula>
    </cfRule>
  </conditionalFormatting>
  <conditionalFormatting sqref="BX1">
    <cfRule type="expression" dxfId="2922" priority="1524">
      <formula>$J1="Santé Individuelle"</formula>
    </cfRule>
  </conditionalFormatting>
  <conditionalFormatting sqref="BY1">
    <cfRule type="expression" dxfId="2921" priority="1519">
      <formula>$J1="Santé Individuelle"</formula>
    </cfRule>
  </conditionalFormatting>
  <conditionalFormatting sqref="CA1">
    <cfRule type="expression" dxfId="2920" priority="1520">
      <formula>$J1="Santé Individuelle"</formula>
    </cfRule>
  </conditionalFormatting>
  <conditionalFormatting sqref="CB1">
    <cfRule type="expression" dxfId="2919" priority="1515">
      <formula>$J1="Santé Individuelle"</formula>
    </cfRule>
  </conditionalFormatting>
  <conditionalFormatting sqref="CD1">
    <cfRule type="expression" dxfId="2918" priority="1516">
      <formula>$J1="Santé Individuelle"</formula>
    </cfRule>
  </conditionalFormatting>
  <conditionalFormatting sqref="CE1">
    <cfRule type="expression" dxfId="2917" priority="1511">
      <formula>$J1="Santé Individuelle"</formula>
    </cfRule>
  </conditionalFormatting>
  <conditionalFormatting sqref="CG1">
    <cfRule type="expression" dxfId="2916" priority="1512">
      <formula>$J1="Santé Individuelle"</formula>
    </cfRule>
  </conditionalFormatting>
  <conditionalFormatting sqref="CH1">
    <cfRule type="expression" dxfId="2915" priority="1507">
      <formula>$J1="Santé Individuelle"</formula>
    </cfRule>
  </conditionalFormatting>
  <conditionalFormatting sqref="CJ1">
    <cfRule type="expression" dxfId="2914" priority="1508">
      <formula>$J1="Santé Individuelle"</formula>
    </cfRule>
  </conditionalFormatting>
  <conditionalFormatting sqref="BM1">
    <cfRule type="expression" dxfId="2913" priority="1533">
      <formula>$BH1=1</formula>
    </cfRule>
  </conditionalFormatting>
  <conditionalFormatting sqref="BO1">
    <cfRule type="expression" dxfId="2912" priority="1534">
      <formula>$BH1=1</formula>
    </cfRule>
  </conditionalFormatting>
  <conditionalFormatting sqref="BP1">
    <cfRule type="expression" dxfId="2911" priority="1531">
      <formula>$J1="Santé Individuelle"</formula>
    </cfRule>
  </conditionalFormatting>
  <conditionalFormatting sqref="BR1">
    <cfRule type="expression" dxfId="2910" priority="1532">
      <formula>$J1="Santé Individuelle"</formula>
    </cfRule>
  </conditionalFormatting>
  <conditionalFormatting sqref="BP1">
    <cfRule type="expression" dxfId="2909" priority="1530">
      <formula>$BI1=0</formula>
    </cfRule>
  </conditionalFormatting>
  <conditionalFormatting sqref="BR1">
    <cfRule type="expression" dxfId="2908" priority="1529">
      <formula>$BI1=0</formula>
    </cfRule>
  </conditionalFormatting>
  <conditionalFormatting sqref="BS1">
    <cfRule type="expression" dxfId="2907" priority="1526">
      <formula>$BI1&lt;2</formula>
    </cfRule>
  </conditionalFormatting>
  <conditionalFormatting sqref="BU1">
    <cfRule type="expression" dxfId="2906" priority="1525">
      <formula>$BI1&lt;2</formula>
    </cfRule>
  </conditionalFormatting>
  <conditionalFormatting sqref="BV1">
    <cfRule type="expression" dxfId="2905" priority="1522">
      <formula>$BI1&lt;3</formula>
    </cfRule>
  </conditionalFormatting>
  <conditionalFormatting sqref="BX1">
    <cfRule type="expression" dxfId="2904" priority="1521">
      <formula>$BI1&lt;3</formula>
    </cfRule>
  </conditionalFormatting>
  <conditionalFormatting sqref="BY1">
    <cfRule type="expression" dxfId="2903" priority="1518">
      <formula>$BI1&lt;4</formula>
    </cfRule>
  </conditionalFormatting>
  <conditionalFormatting sqref="CA1">
    <cfRule type="expression" dxfId="2902" priority="1517">
      <formula>$BI1&lt;4</formula>
    </cfRule>
  </conditionalFormatting>
  <conditionalFormatting sqref="CB1">
    <cfRule type="expression" dxfId="2901" priority="1514">
      <formula>$BI1&lt;5</formula>
    </cfRule>
  </conditionalFormatting>
  <conditionalFormatting sqref="CD1">
    <cfRule type="expression" dxfId="2900" priority="1513">
      <formula>$BI1&lt;5</formula>
    </cfRule>
  </conditionalFormatting>
  <conditionalFormatting sqref="CE1">
    <cfRule type="expression" dxfId="2899" priority="1510">
      <formula>$BI1&lt;6</formula>
    </cfRule>
  </conditionalFormatting>
  <conditionalFormatting sqref="CG1">
    <cfRule type="expression" dxfId="2898" priority="1509">
      <formula>$BI1&lt;6</formula>
    </cfRule>
  </conditionalFormatting>
  <conditionalFormatting sqref="CH1">
    <cfRule type="expression" dxfId="2897" priority="1506">
      <formula>$BI1&lt;7</formula>
    </cfRule>
  </conditionalFormatting>
  <conditionalFormatting sqref="CJ1">
    <cfRule type="expression" dxfId="2896" priority="1505">
      <formula>$BI1&lt;7</formula>
    </cfRule>
  </conditionalFormatting>
  <conditionalFormatting sqref="C1:H1 AY1:DL1 J1:X1">
    <cfRule type="notContainsBlanks" dxfId="2895" priority="1504">
      <formula>LEN(TRIM(C1))&gt;0</formula>
    </cfRule>
  </conditionalFormatting>
  <conditionalFormatting sqref="AB1:AC1">
    <cfRule type="notContainsBlanks" dxfId="2894" priority="1503">
      <formula>LEN(TRIM(AB1))&gt;0</formula>
    </cfRule>
  </conditionalFormatting>
  <conditionalFormatting sqref="AD1">
    <cfRule type="notContainsBlanks" dxfId="2893" priority="1502">
      <formula>LEN(TRIM(AD1))&gt;0</formula>
    </cfRule>
  </conditionalFormatting>
  <conditionalFormatting sqref="DM1">
    <cfRule type="notContainsBlanks" dxfId="2892" priority="1493">
      <formula>LEN(TRIM(DM1))&gt;0</formula>
    </cfRule>
  </conditionalFormatting>
  <conditionalFormatting sqref="Y1:Z1">
    <cfRule type="notContainsBlanks" dxfId="2891" priority="1492">
      <formula>LEN(TRIM(Y1))&gt;0</formula>
    </cfRule>
  </conditionalFormatting>
  <conditionalFormatting sqref="R2:S5 I1:I5 R6:R58 AA2:AA58 M5:M58 AY6:AY58">
    <cfRule type="expression" dxfId="2890" priority="1485">
      <formula>$G1&lt;&gt;"Annulation"</formula>
    </cfRule>
  </conditionalFormatting>
  <conditionalFormatting sqref="I1 H2:I5 AG2:AH4 V2:W4 AA2:AD4 AA5:AE58 AG5:AN5 M5:M58 H6:H58 O6:S58 AG6:AO58 AQ6:AR58 BM6:CJ58 AY2:DL4 AS5:DL5 AT6:BK58 U6:W58">
    <cfRule type="expression" dxfId="2889" priority="1486">
      <formula>$G1="Annulation"</formula>
    </cfRule>
  </conditionalFormatting>
  <conditionalFormatting sqref="I1">
    <cfRule type="containsBlanks" dxfId="2888" priority="1487">
      <formula>LEN(TRIM(I1))=0</formula>
    </cfRule>
    <cfRule type="cellIs" dxfId="2887" priority="1488" operator="lessThan">
      <formula>31</formula>
    </cfRule>
  </conditionalFormatting>
  <conditionalFormatting sqref="I1:I5 AA6:AA58">
    <cfRule type="expression" dxfId="2886" priority="1489">
      <formula>$AA1&gt;122</formula>
    </cfRule>
  </conditionalFormatting>
  <conditionalFormatting sqref="AN1:AX1">
    <cfRule type="notContainsBlanks" dxfId="2885" priority="1497">
      <formula>LEN(TRIM(AN1))&gt;0</formula>
    </cfRule>
  </conditionalFormatting>
  <conditionalFormatting sqref="AM1">
    <cfRule type="notContainsBlanks" dxfId="2884" priority="1480">
      <formula>LEN(TRIM(AM1))&gt;0</formula>
    </cfRule>
  </conditionalFormatting>
  <conditionalFormatting sqref="AE1">
    <cfRule type="notContainsBlanks" dxfId="2883" priority="1478">
      <formula>LEN(TRIM(AE1))&gt;0</formula>
    </cfRule>
  </conditionalFormatting>
  <conditionalFormatting sqref="AG1">
    <cfRule type="notContainsBlanks" dxfId="2882" priority="1476">
      <formula>LEN(TRIM(AG1))&gt;0</formula>
    </cfRule>
  </conditionalFormatting>
  <conditionalFormatting sqref="AK1">
    <cfRule type="notContainsBlanks" dxfId="2881" priority="1475">
      <formula>LEN(TRIM(AK1))&gt;0</formula>
    </cfRule>
  </conditionalFormatting>
  <conditionalFormatting sqref="AF1">
    <cfRule type="notContainsBlanks" dxfId="2880" priority="1474">
      <formula>LEN(TRIM(AF1))&gt;0</formula>
    </cfRule>
  </conditionalFormatting>
  <conditionalFormatting sqref="AI1">
    <cfRule type="notContainsBlanks" dxfId="2879" priority="1471">
      <formula>LEN(TRIM(AI1))&gt;0</formula>
    </cfRule>
  </conditionalFormatting>
  <conditionalFormatting sqref="AJ1">
    <cfRule type="notContainsBlanks" dxfId="2878" priority="1469">
      <formula>LEN(TRIM(AJ1))&gt;0</formula>
    </cfRule>
  </conditionalFormatting>
  <conditionalFormatting sqref="AH1">
    <cfRule type="notContainsBlanks" dxfId="2877" priority="1465">
      <formula>LEN(TRIM(AH1))&gt;0</formula>
    </cfRule>
  </conditionalFormatting>
  <conditionalFormatting sqref="AL1">
    <cfRule type="notContainsBlanks" dxfId="2876" priority="1463">
      <formula>LEN(TRIM(AL1))&gt;0</formula>
    </cfRule>
  </conditionalFormatting>
  <conditionalFormatting sqref="AA1">
    <cfRule type="notContainsBlanks" dxfId="2875" priority="1461">
      <formula>LEN(TRIM(AA1))&gt;0</formula>
    </cfRule>
  </conditionalFormatting>
  <conditionalFormatting sqref="A1">
    <cfRule type="containsText" dxfId="2874" priority="1271" operator="containsText" text="Trans.">
      <formula>NOT(ISERROR(SEARCH("Trans.",A1)))</formula>
    </cfRule>
    <cfRule type="containsText" dxfId="2873" priority="1272" operator="containsText" text="Inter.">
      <formula>NOT(ISERROR(SEARCH("Inter.",A1)))</formula>
    </cfRule>
    <cfRule type="containsText" dxfId="2872" priority="1273" operator="containsText" text="Tout">
      <formula>NOT(ISERROR(SEARCH("Tout",A1)))</formula>
    </cfRule>
    <cfRule type="containsText" dxfId="2871" priority="1274" operator="containsText" text="Mini">
      <formula>NOT(ISERROR(SEARCH("Mini",A1)))</formula>
    </cfRule>
  </conditionalFormatting>
  <conditionalFormatting sqref="A1">
    <cfRule type="notContainsBlanks" dxfId="2870" priority="1270">
      <formula>LEN(TRIM(A1))&gt;0</formula>
    </cfRule>
  </conditionalFormatting>
  <conditionalFormatting sqref="DN1">
    <cfRule type="notContainsBlanks" dxfId="2869" priority="1269">
      <formula>LEN(TRIM(DN1))&gt;0</formula>
    </cfRule>
  </conditionalFormatting>
  <conditionalFormatting sqref="BG5">
    <cfRule type="expression" dxfId="2868" priority="651">
      <formula>$J5="Santé Individuelle"</formula>
    </cfRule>
  </conditionalFormatting>
  <conditionalFormatting sqref="BO5">
    <cfRule type="expression" dxfId="2867" priority="652">
      <formula>$J5="Santé Individuelle"</formula>
    </cfRule>
  </conditionalFormatting>
  <conditionalFormatting sqref="AB5 U5:X5 BJ5:BL5 AH5 G5:H5 BH5 U6:U58">
    <cfRule type="containsBlanks" dxfId="2866" priority="571">
      <formula>LEN(TRIM(G5))=0</formula>
    </cfRule>
    <cfRule type="cellIs" dxfId="2865" priority="648" operator="equal">
      <formula>0</formula>
    </cfRule>
  </conditionalFormatting>
  <conditionalFormatting sqref="O5:S5 U5:W5">
    <cfRule type="expression" dxfId="2864" priority="560">
      <formula>$G5="Annulation"</formula>
    </cfRule>
  </conditionalFormatting>
  <conditionalFormatting sqref="BJ5:BL5 U5:Z5 U6:U58 AG2:AH4 V2:X4 Z2:Z4 AB2:AD4 AB5:AE58 AG5:AN5 AS5:AX5 N2:N58 J2:L58 BH2:BH58 DM2:DM58 C2:H58 X6:Z58 AZ2:BE58 AG6:AO58 AQ6:AR58 AT6:AX58">
    <cfRule type="expression" dxfId="2863" priority="556">
      <formula>$G2&lt;&gt;"Annulation"</formula>
    </cfRule>
  </conditionalFormatting>
  <conditionalFormatting sqref="U5:U58">
    <cfRule type="expression" dxfId="2862" priority="550">
      <formula>$DM5="Trans."</formula>
    </cfRule>
  </conditionalFormatting>
  <conditionalFormatting sqref="P5">
    <cfRule type="cellIs" dxfId="2861" priority="621" operator="equal">
      <formula>"Refus Médical"</formula>
    </cfRule>
    <cfRule type="cellIs" dxfId="2860" priority="622" operator="equal">
      <formula>"Annulé"</formula>
    </cfRule>
    <cfRule type="cellIs" dxfId="2859" priority="623" operator="equal">
      <formula>"Déjà Signé"</formula>
    </cfRule>
    <cfRule type="cellIs" dxfId="2858" priority="624" operator="equal">
      <formula>"Sans Suite"</formula>
    </cfRule>
    <cfRule type="cellIs" dxfId="2857" priority="625" operator="equal">
      <formula>"Refus"</formula>
    </cfRule>
    <cfRule type="cellIs" dxfId="2856" priority="626" operator="equal">
      <formula>"Report + Médical"</formula>
    </cfRule>
    <cfRule type="cellIs" dxfId="2855" priority="627" operator="equal">
      <formula>"Report"</formula>
    </cfRule>
    <cfRule type="cellIs" dxfId="2854" priority="628" operator="equal">
      <formula>"Signature"</formula>
    </cfRule>
    <cfRule type="cellIs" dxfId="2853" priority="629" operator="equal">
      <formula>"Contrat Papier + Mécical"</formula>
    </cfRule>
    <cfRule type="cellIs" dxfId="2852" priority="630" operator="equal">
      <formula>"Validation Médicale"</formula>
    </cfRule>
    <cfRule type="cellIs" dxfId="2851" priority="631" operator="equal">
      <formula>"Contrat Papier"</formula>
    </cfRule>
    <cfRule type="cellIs" dxfId="2850" priority="632" operator="equal">
      <formula>"Validation Compagnie"</formula>
    </cfRule>
    <cfRule type="cellIs" dxfId="2849" priority="633" operator="equal">
      <formula>"V"</formula>
    </cfRule>
  </conditionalFormatting>
  <conditionalFormatting sqref="J5">
    <cfRule type="containsText" dxfId="2848" priority="634" operator="containsText" text="Autre">
      <formula>NOT(ISERROR(SEARCH("Autre",J5)))</formula>
    </cfRule>
    <cfRule type="containsText" dxfId="2847" priority="643" operator="containsText" text="Prev. Part">
      <formula>NOT(ISERROR(SEARCH("Prev. Part",J5)))</formula>
    </cfRule>
    <cfRule type="containsText" dxfId="2846" priority="644" operator="containsText" text="Santé Collective">
      <formula>NOT(ISERROR(SEARCH("Santé Collective",J5)))</formula>
    </cfRule>
    <cfRule type="containsText" dxfId="2845" priority="645" operator="containsText" text="Santé Individuelle">
      <formula>NOT(ISERROR(SEARCH("Santé Individuelle",J5)))</formula>
    </cfRule>
    <cfRule type="containsText" dxfId="2844" priority="646" operator="containsText" text="Prev. Pro">
      <formula>NOT(ISERROR(SEARCH("Prev. Pro",J5)))</formula>
    </cfRule>
  </conditionalFormatting>
  <conditionalFormatting sqref="K5">
    <cfRule type="containsText" dxfId="2843" priority="635" operator="containsText" text="CEGEMA">
      <formula>NOT(ISERROR(SEARCH("CEGEMA",K5)))</formula>
    </cfRule>
    <cfRule type="containsText" dxfId="2842" priority="636" operator="containsText" text="ASAF">
      <formula>NOT(ISERROR(SEARCH("ASAF",K5)))</formula>
    </cfRule>
    <cfRule type="containsText" dxfId="2841" priority="637" operator="containsText" text="AVIVA">
      <formula>NOT(ISERROR(SEARCH("AVIVA",K5)))</formula>
    </cfRule>
    <cfRule type="containsText" dxfId="2840" priority="638" operator="containsText" text="CIPRES">
      <formula>NOT(ISERROR(SEARCH("CIPRES",K5)))</formula>
    </cfRule>
    <cfRule type="containsText" dxfId="2839" priority="639" operator="containsText" text="ALPTIS">
      <formula>NOT(ISERROR(SEARCH("ALPTIS",K5)))</formula>
    </cfRule>
    <cfRule type="containsText" dxfId="2838" priority="640" operator="containsText" text="NEOLIANE">
      <formula>NOT(ISERROR(SEARCH("NEOLIANE",K5)))</formula>
    </cfRule>
    <cfRule type="containsText" dxfId="2837" priority="641" operator="containsText" text="SWISSLIFE">
      <formula>NOT(ISERROR(SEARCH("SWISSLIFE",K5)))</formula>
    </cfRule>
    <cfRule type="containsText" dxfId="2836" priority="642" operator="containsText" text="APRIL">
      <formula>NOT(ISERROR(SEARCH("APRIL",K5)))</formula>
    </cfRule>
  </conditionalFormatting>
  <conditionalFormatting sqref="P5">
    <cfRule type="containsText" dxfId="2835" priority="615" operator="containsText" text="Impayé">
      <formula>NOT(ISERROR(SEARCH("Impayé",P5)))</formula>
    </cfRule>
    <cfRule type="containsText" dxfId="2834" priority="616" operator="containsText" text="Résilié">
      <formula>NOT(ISERROR(SEARCH("Résilié",P5)))</formula>
    </cfRule>
    <cfRule type="containsText" dxfId="2833" priority="617" operator="containsText" text="Radié">
      <formula>NOT(ISERROR(SEARCH("Radié",P5)))</formula>
    </cfRule>
    <cfRule type="containsText" dxfId="2832" priority="618" operator="containsText" text="Pas Trouvé">
      <formula>NOT(ISERROR(SEARCH("Pas Trouvé",P5)))</formula>
    </cfRule>
    <cfRule type="containsText" dxfId="2831" priority="619" operator="containsText" text="A Jour">
      <formula>NOT(ISERROR(SEARCH("A Jour",P5)))</formula>
    </cfRule>
    <cfRule type="containsText" dxfId="2830" priority="620" operator="containsText" text="A Trouver">
      <formula>NOT(ISERROR(SEARCH("A Trouver",P5)))</formula>
    </cfRule>
  </conditionalFormatting>
  <conditionalFormatting sqref="AY5">
    <cfRule type="containsText" dxfId="2829" priority="609" operator="containsText" text="Sympathie">
      <formula>NOT(ISERROR(SEARCH("Sympathie",AY5)))</formula>
    </cfRule>
  </conditionalFormatting>
  <conditionalFormatting sqref="AY5">
    <cfRule type="containsText" dxfId="2828" priority="610" operator="containsText" text="Argent">
      <formula>NOT(ISERROR(SEARCH("Argent",AY5)))</formula>
    </cfRule>
    <cfRule type="containsText" dxfId="2827" priority="611" operator="containsText" text="Confort">
      <formula>NOT(ISERROR(SEARCH("Confort",AY5)))</formula>
    </cfRule>
    <cfRule type="containsText" dxfId="2826" priority="612" operator="containsText" text="Nouveauté">
      <formula>NOT(ISERROR(SEARCH("Nouveauté",AY5)))</formula>
    </cfRule>
    <cfRule type="containsText" dxfId="2825" priority="613" operator="containsText" text="Orgueil">
      <formula>NOT(ISERROR(SEARCH("Orgueil",AY5)))</formula>
    </cfRule>
    <cfRule type="containsText" dxfId="2824" priority="614" operator="containsText" text="Sécurité">
      <formula>NOT(ISERROR(SEARCH("Sécurité",AY5)))</formula>
    </cfRule>
  </conditionalFormatting>
  <conditionalFormatting sqref="DM5">
    <cfRule type="containsText" dxfId="2823" priority="607" operator="containsText" text="Tout">
      <formula>NOT(ISERROR(SEARCH("Tout",DM5)))</formula>
    </cfRule>
    <cfRule type="containsText" dxfId="2822" priority="608" operator="containsText" text="Mini">
      <formula>NOT(ISERROR(SEARCH("Mini",DM5)))</formula>
    </cfRule>
  </conditionalFormatting>
  <conditionalFormatting sqref="DM5">
    <cfRule type="containsText" dxfId="2821" priority="606" operator="containsText" text="Inter.">
      <formula>NOT(ISERROR(SEARCH("Inter.",DM5)))</formula>
    </cfRule>
  </conditionalFormatting>
  <conditionalFormatting sqref="DM5">
    <cfRule type="containsText" dxfId="2820" priority="570" operator="containsText" text="Trans.">
      <formula>NOT(ISERROR(SEARCH("Trans.",DM5)))</formula>
    </cfRule>
  </conditionalFormatting>
  <conditionalFormatting sqref="F5 N5:O5 AY5:BE5 Q5:S5">
    <cfRule type="cellIs" dxfId="2819" priority="605" operator="equal">
      <formula>0</formula>
    </cfRule>
    <cfRule type="containsBlanks" dxfId="2818" priority="647">
      <formula>LEN(TRIM(F5))=0</formula>
    </cfRule>
  </conditionalFormatting>
  <conditionalFormatting sqref="BL5 I2:I5 AG2:AH4 AW2:AX5 Q2:R58 V2:W58 AA2:AA58 AG5:AJ58 AL2:AL58 BU2:BU58 BX2:BX58 CA2:CA58 CD2:CD58 CG2:CG58 CJ2:CJ58 BO2:BO58 AT2:AU58 BR2:BR58 AQ2:AR58 AO2:AO58">
    <cfRule type="expression" dxfId="2817" priority="549">
      <formula>$DM2="Trans."</formula>
    </cfRule>
  </conditionalFormatting>
  <conditionalFormatting sqref="DL2:DL5 DH2:DI58 DE2:DF58 DB2:DB58 CV2:CV58 CR5:CS58">
    <cfRule type="expression" dxfId="2816" priority="604">
      <formula>$J2="Prev. Pro"</formula>
    </cfRule>
  </conditionalFormatting>
  <conditionalFormatting sqref="CY5">
    <cfRule type="expression" dxfId="2815" priority="603">
      <formula>$J5="Prev. Pro"</formula>
    </cfRule>
  </conditionalFormatting>
  <conditionalFormatting sqref="CZ2:DA5 CU2:CU58 CW2:CX58 DC2:DD58 DG2:DG58 DJ5:DK58">
    <cfRule type="expression" dxfId="2814" priority="602">
      <formula>$J2="Prev. Pro"</formula>
    </cfRule>
  </conditionalFormatting>
  <conditionalFormatting sqref="CK5:CQ5">
    <cfRule type="expression" dxfId="2813" priority="601" stopIfTrue="1">
      <formula>$J5="Santé Individuelle"</formula>
    </cfRule>
  </conditionalFormatting>
  <conditionalFormatting sqref="CT5">
    <cfRule type="expression" dxfId="2812" priority="600">
      <formula>$J5="Prev. Pro"</formula>
    </cfRule>
  </conditionalFormatting>
  <conditionalFormatting sqref="CT5">
    <cfRule type="expression" dxfId="2811" priority="551">
      <formula>$DM5="Trans."</formula>
    </cfRule>
  </conditionalFormatting>
  <conditionalFormatting sqref="C5:E5">
    <cfRule type="expression" dxfId="2810" priority="595">
      <formula>$G5="Annulation"</formula>
    </cfRule>
  </conditionalFormatting>
  <conditionalFormatting sqref="C5:E5">
    <cfRule type="expression" dxfId="2809" priority="596">
      <formula>$J5="Prev. Pro"</formula>
    </cfRule>
    <cfRule type="expression" dxfId="2808" priority="597">
      <formula>$J5&lt;&gt;"Santé Individuelle"</formula>
    </cfRule>
  </conditionalFormatting>
  <conditionalFormatting sqref="X5:Y5">
    <cfRule type="expression" dxfId="2807" priority="594">
      <formula>$P5="Annulé"</formula>
    </cfRule>
  </conditionalFormatting>
  <conditionalFormatting sqref="CI5 BI2:BI5 BN2:BN5 CF2:CF58 CC2:CC58 BZ2:BZ58 BW2:BW58 BT2:BT58 BQ2:BQ58">
    <cfRule type="expression" dxfId="2806" priority="598">
      <formula>$J2="Santé Individuelle"</formula>
    </cfRule>
  </conditionalFormatting>
  <conditionalFormatting sqref="BQ5">
    <cfRule type="expression" dxfId="2805" priority="593">
      <formula>$BI5=0</formula>
    </cfRule>
  </conditionalFormatting>
  <conditionalFormatting sqref="BP5 BR2:BR5">
    <cfRule type="expression" dxfId="2804" priority="592">
      <formula>$BI2=0</formula>
    </cfRule>
  </conditionalFormatting>
  <conditionalFormatting sqref="BT5">
    <cfRule type="expression" dxfId="2803" priority="590">
      <formula>$BI5&lt;2</formula>
    </cfRule>
  </conditionalFormatting>
  <conditionalFormatting sqref="BS5 BU2:BU5">
    <cfRule type="expression" dxfId="2802" priority="591">
      <formula>$BI2&lt;2</formula>
    </cfRule>
  </conditionalFormatting>
  <conditionalFormatting sqref="BW5">
    <cfRule type="expression" dxfId="2801" priority="588">
      <formula>$BI5&lt;3</formula>
    </cfRule>
  </conditionalFormatting>
  <conditionalFormatting sqref="BV5 BX2:BX5">
    <cfRule type="expression" dxfId="2800" priority="589">
      <formula>$BI2&lt;3</formula>
    </cfRule>
  </conditionalFormatting>
  <conditionalFormatting sqref="BZ5">
    <cfRule type="expression" dxfId="2799" priority="586">
      <formula>$BI5&lt;4</formula>
    </cfRule>
  </conditionalFormatting>
  <conditionalFormatting sqref="BY5 CA2:CA5">
    <cfRule type="expression" dxfId="2798" priority="587">
      <formula>$BI2&lt;4</formula>
    </cfRule>
  </conditionalFormatting>
  <conditionalFormatting sqref="CC5">
    <cfRule type="expression" dxfId="2797" priority="584">
      <formula>$BI5&lt;5</formula>
    </cfRule>
  </conditionalFormatting>
  <conditionalFormatting sqref="CB5 CD2:CD5">
    <cfRule type="expression" dxfId="2796" priority="585">
      <formula>$BI2&lt;5</formula>
    </cfRule>
  </conditionalFormatting>
  <conditionalFormatting sqref="CF5">
    <cfRule type="expression" dxfId="2795" priority="582">
      <formula>$BI5&lt;6</formula>
    </cfRule>
  </conditionalFormatting>
  <conditionalFormatting sqref="CE5 CG2:CG5">
    <cfRule type="expression" dxfId="2794" priority="583">
      <formula>$BI2&lt;6</formula>
    </cfRule>
  </conditionalFormatting>
  <conditionalFormatting sqref="CI5">
    <cfRule type="expression" dxfId="2793" priority="580">
      <formula>$BI5&lt;7</formula>
    </cfRule>
  </conditionalFormatting>
  <conditionalFormatting sqref="CH5 CJ2:CJ5">
    <cfRule type="expression" dxfId="2792" priority="581">
      <formula>$BI2&lt;7</formula>
    </cfRule>
  </conditionalFormatting>
  <conditionalFormatting sqref="BJ5:BK5">
    <cfRule type="containsBlanks" dxfId="2791" priority="579">
      <formula>LEN(TRIM(BJ5))=0</formula>
    </cfRule>
  </conditionalFormatting>
  <conditionalFormatting sqref="BF5">
    <cfRule type="expression" dxfId="2790" priority="578">
      <formula>$J5="Santé Individuelle"</formula>
    </cfRule>
  </conditionalFormatting>
  <conditionalFormatting sqref="BG5">
    <cfRule type="expression" dxfId="2789" priority="577">
      <formula>$BH5=1</formula>
    </cfRule>
  </conditionalFormatting>
  <conditionalFormatting sqref="CQ5">
    <cfRule type="expression" dxfId="2788" priority="576">
      <formula>$J5="Santé Individuelle"</formula>
    </cfRule>
  </conditionalFormatting>
  <conditionalFormatting sqref="L5:N5 L2:L4 N2:N4 DM2:DM58 J5:J58 X2:X58 G2:G58 AF2:AF58">
    <cfRule type="expression" dxfId="2787" priority="575">
      <formula>$G2="Annulation"</formula>
    </cfRule>
  </conditionalFormatting>
  <conditionalFormatting sqref="BM5">
    <cfRule type="expression" dxfId="2786" priority="574">
      <formula>$BH5&lt;=1</formula>
    </cfRule>
  </conditionalFormatting>
  <conditionalFormatting sqref="BN5">
    <cfRule type="expression" dxfId="2785" priority="573">
      <formula>$BH5&lt;=1</formula>
    </cfRule>
  </conditionalFormatting>
  <conditionalFormatting sqref="BO5">
    <cfRule type="expression" dxfId="2784" priority="572">
      <formula>$BH5&lt;=1</formula>
    </cfRule>
  </conditionalFormatting>
  <conditionalFormatting sqref="AE5">
    <cfRule type="expression" dxfId="2783" priority="548">
      <formula>$AB5="X"</formula>
    </cfRule>
  </conditionalFormatting>
  <conditionalFormatting sqref="AY5">
    <cfRule type="expression" dxfId="2782" priority="561">
      <formula>$G5&lt;&gt;"Annulation"</formula>
    </cfRule>
  </conditionalFormatting>
  <conditionalFormatting sqref="O5:S5 S6:S58">
    <cfRule type="expression" dxfId="2781" priority="599">
      <formula>$G5&lt;&gt;"Annulation"</formula>
    </cfRule>
  </conditionalFormatting>
  <conditionalFormatting sqref="Z5">
    <cfRule type="expression" dxfId="2780" priority="565">
      <formula>$AA5&lt;31</formula>
    </cfRule>
  </conditionalFormatting>
  <conditionalFormatting sqref="Z5">
    <cfRule type="expression" dxfId="2779" priority="564">
      <formula>$AA5&gt;122</formula>
    </cfRule>
  </conditionalFormatting>
  <conditionalFormatting sqref="AA5 I5">
    <cfRule type="containsBlanks" dxfId="2778" priority="563">
      <formula>LEN(TRIM(I5))=0</formula>
    </cfRule>
    <cfRule type="cellIs" dxfId="2777" priority="568" operator="lessThan">
      <formula>31</formula>
    </cfRule>
  </conditionalFormatting>
  <conditionalFormatting sqref="AA5">
    <cfRule type="expression" dxfId="2776" priority="569">
      <formula>$AA5&gt;122</formula>
    </cfRule>
  </conditionalFormatting>
  <conditionalFormatting sqref="AF5">
    <cfRule type="containsBlanks" dxfId="2775" priority="553">
      <formula>LEN(TRIM(AF5))=0</formula>
    </cfRule>
    <cfRule type="cellIs" dxfId="2774" priority="554" operator="equal">
      <formula>0</formula>
    </cfRule>
  </conditionalFormatting>
  <conditionalFormatting sqref="AF5">
    <cfRule type="expression" dxfId="2773" priority="555">
      <formula>$AB5="X"</formula>
    </cfRule>
  </conditionalFormatting>
  <conditionalFormatting sqref="AF5">
    <cfRule type="expression" dxfId="2772" priority="552">
      <formula>$AE5&lt;&gt;"Programmée"</formula>
    </cfRule>
  </conditionalFormatting>
  <conditionalFormatting sqref="AG5">
    <cfRule type="containsBlanks" dxfId="2771" priority="562">
      <formula>LEN(TRIM(AG5))=0</formula>
    </cfRule>
    <cfRule type="cellIs" dxfId="2770" priority="567" operator="equal">
      <formula>0</formula>
    </cfRule>
  </conditionalFormatting>
  <conditionalFormatting sqref="AH5">
    <cfRule type="cellIs" dxfId="2769" priority="559" operator="greaterThanOrEqual">
      <formula>2</formula>
    </cfRule>
    <cfRule type="cellIs" dxfId="2768" priority="649" operator="between">
      <formula>1</formula>
      <formula>1.99999999999999</formula>
    </cfRule>
    <cfRule type="cellIs" dxfId="2767" priority="650" operator="lessThan">
      <formula>1</formula>
    </cfRule>
  </conditionalFormatting>
  <conditionalFormatting sqref="AM5:AM58 AO2:AO5">
    <cfRule type="expression" dxfId="2766" priority="495">
      <formula>$Z2&gt;=42736</formula>
    </cfRule>
  </conditionalFormatting>
  <conditionalFormatting sqref="AN6:AO58 AN5 AQ2:AR5">
    <cfRule type="expression" dxfId="2765" priority="490">
      <formula>$Z2&gt;=(42736+365)</formula>
    </cfRule>
  </conditionalFormatting>
  <conditionalFormatting sqref="AT2:AU5">
    <cfRule type="expression" dxfId="2764" priority="491">
      <formula>$Z2&gt;=(42736+365+365)</formula>
    </cfRule>
  </conditionalFormatting>
  <conditionalFormatting sqref="AS5 AW2:AX5">
    <cfRule type="expression" dxfId="2763" priority="488">
      <formula>$Z2&gt;=(42736+365+365+365)</formula>
    </cfRule>
  </conditionalFormatting>
  <conditionalFormatting sqref="AN5 AS5 AV5">
    <cfRule type="containsBlanks" dxfId="2762" priority="532">
      <formula>LEN(TRIM(AN5))=0</formula>
    </cfRule>
    <cfRule type="cellIs" dxfId="2761" priority="533" operator="equal">
      <formula>0</formula>
    </cfRule>
  </conditionalFormatting>
  <conditionalFormatting sqref="AN5 AS5 AV5">
    <cfRule type="cellIs" dxfId="2760" priority="531" operator="equal">
      <formula>0</formula>
    </cfRule>
    <cfRule type="containsBlanks" dxfId="2759" priority="534">
      <formula>LEN(TRIM(AN5))=0</formula>
    </cfRule>
  </conditionalFormatting>
  <conditionalFormatting sqref="AM5">
    <cfRule type="containsBlanks" dxfId="2758" priority="535">
      <formula>LEN(TRIM(AM5))=0</formula>
    </cfRule>
    <cfRule type="cellIs" dxfId="2757" priority="536" operator="equal">
      <formula>0</formula>
    </cfRule>
  </conditionalFormatting>
  <conditionalFormatting sqref="AM5">
    <cfRule type="cellIs" dxfId="2756" priority="496" operator="equal">
      <formula>0</formula>
    </cfRule>
    <cfRule type="containsBlanks" dxfId="2755" priority="538">
      <formula>LEN(TRIM(AM5))=0</formula>
    </cfRule>
  </conditionalFormatting>
  <conditionalFormatting sqref="AK5">
    <cfRule type="expression" dxfId="2754" priority="542">
      <formula>$AK5-TODAY()&lt;30</formula>
    </cfRule>
  </conditionalFormatting>
  <conditionalFormatting sqref="AK5">
    <cfRule type="containsBlanks" dxfId="2753" priority="494">
      <formula>LEN(TRIM(AK5))=0</formula>
    </cfRule>
  </conditionalFormatting>
  <conditionalFormatting sqref="AJ5">
    <cfRule type="containsBlanks" dxfId="2752" priority="492">
      <formula>LEN(TRIM(AJ5))=0</formula>
    </cfRule>
    <cfRule type="cellIs" dxfId="2751" priority="493" operator="equal">
      <formula>0</formula>
    </cfRule>
  </conditionalFormatting>
  <conditionalFormatting sqref="AI5:AK5">
    <cfRule type="expression" dxfId="2750" priority="487">
      <formula>$G5="Annulation"</formula>
    </cfRule>
  </conditionalFormatting>
  <conditionalFormatting sqref="M5">
    <cfRule type="cellIs" dxfId="2749" priority="486" operator="greaterThan">
      <formula>0</formula>
    </cfRule>
  </conditionalFormatting>
  <conditionalFormatting sqref="Y5">
    <cfRule type="containsBlanks" dxfId="2748" priority="484">
      <formula>LEN(TRIM(Y5))=0</formula>
    </cfRule>
    <cfRule type="cellIs" dxfId="2747" priority="485" operator="equal">
      <formula>0</formula>
    </cfRule>
  </conditionalFormatting>
  <conditionalFormatting sqref="AI5">
    <cfRule type="containsBlanks" dxfId="2746" priority="482">
      <formula>LEN(TRIM(AI5))=0</formula>
    </cfRule>
    <cfRule type="cellIs" dxfId="2745" priority="483" operator="equal">
      <formula>0</formula>
    </cfRule>
  </conditionalFormatting>
  <conditionalFormatting sqref="AE5">
    <cfRule type="cellIs" dxfId="2744" priority="480" operator="equal">
      <formula>43404</formula>
    </cfRule>
  </conditionalFormatting>
  <conditionalFormatting sqref="AE5">
    <cfRule type="containsBlanks" dxfId="2743" priority="479">
      <formula>LEN(TRIM(AE5))=0</formula>
    </cfRule>
    <cfRule type="cellIs" dxfId="2742" priority="481" operator="equal">
      <formula>0</formula>
    </cfRule>
  </conditionalFormatting>
  <conditionalFormatting sqref="AE5">
    <cfRule type="expression" dxfId="2741" priority="478">
      <formula>$AD5&lt;&gt;"Programmée"</formula>
    </cfRule>
  </conditionalFormatting>
  <conditionalFormatting sqref="DN5">
    <cfRule type="containsText" dxfId="2740" priority="467" operator="containsText" text="OK">
      <formula>NOT(ISERROR(SEARCH("OK",DN5)))</formula>
    </cfRule>
  </conditionalFormatting>
  <conditionalFormatting sqref="DN5">
    <cfRule type="containsText" dxfId="2739" priority="466" operator="containsText" text="Mini">
      <formula>NOT(ISERROR(SEARCH("Mini",DN5)))</formula>
    </cfRule>
  </conditionalFormatting>
  <conditionalFormatting sqref="DN5">
    <cfRule type="containsText" dxfId="2738" priority="465" operator="containsText" text="KO">
      <formula>NOT(ISERROR(SEARCH("KO",DN5)))</formula>
    </cfRule>
  </conditionalFormatting>
  <conditionalFormatting sqref="DN5">
    <cfRule type="containsText" dxfId="2737" priority="464" operator="containsText" text="AJ">
      <formula>NOT(ISERROR(SEARCH("AJ",DN5)))</formula>
    </cfRule>
  </conditionalFormatting>
  <conditionalFormatting sqref="U2:U4">
    <cfRule type="containsBlanks" dxfId="2736" priority="462">
      <formula>LEN(TRIM(U2))=0</formula>
    </cfRule>
    <cfRule type="cellIs" dxfId="2735" priority="463" operator="equal">
      <formula>0</formula>
    </cfRule>
  </conditionalFormatting>
  <conditionalFormatting sqref="U2:U4">
    <cfRule type="expression" dxfId="2734" priority="461">
      <formula>$G2="Annulation"</formula>
    </cfRule>
  </conditionalFormatting>
  <conditionalFormatting sqref="U2:U4">
    <cfRule type="expression" dxfId="2733" priority="460">
      <formula>$G2&lt;&gt;"Annulation"</formula>
    </cfRule>
  </conditionalFormatting>
  <conditionalFormatting sqref="U2:U4">
    <cfRule type="expression" dxfId="2732" priority="459">
      <formula>$DM2="Trans."</formula>
    </cfRule>
  </conditionalFormatting>
  <conditionalFormatting sqref="BG2:BG4">
    <cfRule type="expression" dxfId="2731" priority="457">
      <formula>$J2="Santé Individuelle"</formula>
    </cfRule>
  </conditionalFormatting>
  <conditionalFormatting sqref="BO2:BO4">
    <cfRule type="expression" dxfId="2730" priority="458">
      <formula>$J2="Santé Individuelle"</formula>
    </cfRule>
  </conditionalFormatting>
  <conditionalFormatting sqref="BJ2:BL4 AH2:AH4 G2:H4 BH2:BH4 V2:X4 AB2:AD4 AC5:AD5">
    <cfRule type="containsBlanks" dxfId="2729" priority="369">
      <formula>LEN(TRIM(G2))=0</formula>
    </cfRule>
    <cfRule type="cellIs" dxfId="2728" priority="454" operator="equal">
      <formula>0</formula>
    </cfRule>
  </conditionalFormatting>
  <conditionalFormatting sqref="O2:S4">
    <cfRule type="expression" dxfId="2727" priority="358">
      <formula>$G2="Annulation"</formula>
    </cfRule>
  </conditionalFormatting>
  <conditionalFormatting sqref="BJ2:BL4">
    <cfRule type="expression" dxfId="2726" priority="354">
      <formula>$G2&lt;&gt;"Annulation"</formula>
    </cfRule>
  </conditionalFormatting>
  <conditionalFormatting sqref="P2:P4">
    <cfRule type="cellIs" dxfId="2725" priority="427" operator="equal">
      <formula>"Refus Médical"</formula>
    </cfRule>
    <cfRule type="cellIs" dxfId="2724" priority="428" operator="equal">
      <formula>"Annulé"</formula>
    </cfRule>
    <cfRule type="cellIs" dxfId="2723" priority="429" operator="equal">
      <formula>"Déjà Signé"</formula>
    </cfRule>
    <cfRule type="cellIs" dxfId="2722" priority="430" operator="equal">
      <formula>"Sans Suite"</formula>
    </cfRule>
    <cfRule type="cellIs" dxfId="2721" priority="431" operator="equal">
      <formula>"Refus"</formula>
    </cfRule>
    <cfRule type="cellIs" dxfId="2720" priority="432" operator="equal">
      <formula>"Report + Médical"</formula>
    </cfRule>
    <cfRule type="cellIs" dxfId="2719" priority="433" operator="equal">
      <formula>"Report"</formula>
    </cfRule>
    <cfRule type="cellIs" dxfId="2718" priority="434" operator="equal">
      <formula>"Signature"</formula>
    </cfRule>
    <cfRule type="cellIs" dxfId="2717" priority="435" operator="equal">
      <formula>"Contrat Papier + Mécical"</formula>
    </cfRule>
    <cfRule type="cellIs" dxfId="2716" priority="436" operator="equal">
      <formula>"Validation Médicale"</formula>
    </cfRule>
    <cfRule type="cellIs" dxfId="2715" priority="437" operator="equal">
      <formula>"Contrat Papier"</formula>
    </cfRule>
    <cfRule type="cellIs" dxfId="2714" priority="438" operator="equal">
      <formula>"Validation Compagnie"</formula>
    </cfRule>
    <cfRule type="cellIs" dxfId="2713" priority="439" operator="equal">
      <formula>"V"</formula>
    </cfRule>
  </conditionalFormatting>
  <conditionalFormatting sqref="AD2:AD5">
    <cfRule type="cellIs" dxfId="2712" priority="370" operator="equal">
      <formula>"KO"</formula>
    </cfRule>
    <cfRule type="cellIs" dxfId="2711" priority="371" operator="equal">
      <formula>"A faire"</formula>
    </cfRule>
    <cfRule type="cellIs" dxfId="2710" priority="372" operator="equal">
      <formula>"Report"</formula>
    </cfRule>
    <cfRule type="cellIs" dxfId="2709" priority="373" operator="equal">
      <formula>"Retour"</formula>
    </cfRule>
    <cfRule type="cellIs" dxfId="2708" priority="374" operator="equal">
      <formula>"Envoyée"</formula>
    </cfRule>
    <cfRule type="cellIs" dxfId="2707" priority="375" operator="equal">
      <formula>"Programmée"</formula>
    </cfRule>
    <cfRule type="cellIs" dxfId="2706" priority="376" operator="equal">
      <formula>"Reçue"</formula>
    </cfRule>
    <cfRule type="cellIs" dxfId="2705" priority="377" operator="equal">
      <formula>"OK"</formula>
    </cfRule>
  </conditionalFormatting>
  <conditionalFormatting sqref="J2:J4">
    <cfRule type="containsText" dxfId="2704" priority="440" operator="containsText" text="Autre">
      <formula>NOT(ISERROR(SEARCH("Autre",J2)))</formula>
    </cfRule>
    <cfRule type="containsText" dxfId="2703" priority="449" operator="containsText" text="Prev. Part">
      <formula>NOT(ISERROR(SEARCH("Prev. Part",J2)))</formula>
    </cfRule>
    <cfRule type="containsText" dxfId="2702" priority="450" operator="containsText" text="Santé Collective">
      <formula>NOT(ISERROR(SEARCH("Santé Collective",J2)))</formula>
    </cfRule>
    <cfRule type="containsText" dxfId="2701" priority="451" operator="containsText" text="Santé Individuelle">
      <formula>NOT(ISERROR(SEARCH("Santé Individuelle",J2)))</formula>
    </cfRule>
    <cfRule type="containsText" dxfId="2700" priority="452" operator="containsText" text="Prev. Pro">
      <formula>NOT(ISERROR(SEARCH("Prev. Pro",J2)))</formula>
    </cfRule>
  </conditionalFormatting>
  <conditionalFormatting sqref="K2:K4">
    <cfRule type="containsText" dxfId="2699" priority="441" operator="containsText" text="CEGEMA">
      <formula>NOT(ISERROR(SEARCH("CEGEMA",K2)))</formula>
    </cfRule>
    <cfRule type="containsText" dxfId="2698" priority="442" operator="containsText" text="ASAF">
      <formula>NOT(ISERROR(SEARCH("ASAF",K2)))</formula>
    </cfRule>
    <cfRule type="containsText" dxfId="2697" priority="443" operator="containsText" text="AVIVA">
      <formula>NOT(ISERROR(SEARCH("AVIVA",K2)))</formula>
    </cfRule>
    <cfRule type="containsText" dxfId="2696" priority="444" operator="containsText" text="CIPRES">
      <formula>NOT(ISERROR(SEARCH("CIPRES",K2)))</formula>
    </cfRule>
    <cfRule type="containsText" dxfId="2695" priority="445" operator="containsText" text="ALPTIS">
      <formula>NOT(ISERROR(SEARCH("ALPTIS",K2)))</formula>
    </cfRule>
    <cfRule type="containsText" dxfId="2694" priority="446" operator="containsText" text="NEOLIANE">
      <formula>NOT(ISERROR(SEARCH("NEOLIANE",K2)))</formula>
    </cfRule>
    <cfRule type="containsText" dxfId="2693" priority="447" operator="containsText" text="SWISSLIFE">
      <formula>NOT(ISERROR(SEARCH("SWISSLIFE",K2)))</formula>
    </cfRule>
    <cfRule type="containsText" dxfId="2692" priority="448" operator="containsText" text="APRIL">
      <formula>NOT(ISERROR(SEARCH("APRIL",K2)))</formula>
    </cfRule>
  </conditionalFormatting>
  <conditionalFormatting sqref="P2:P4">
    <cfRule type="containsText" dxfId="2691" priority="421" operator="containsText" text="Impayé">
      <formula>NOT(ISERROR(SEARCH("Impayé",P2)))</formula>
    </cfRule>
    <cfRule type="containsText" dxfId="2690" priority="422" operator="containsText" text="Résilié">
      <formula>NOT(ISERROR(SEARCH("Résilié",P2)))</formula>
    </cfRule>
    <cfRule type="containsText" dxfId="2689" priority="423" operator="containsText" text="Radié">
      <formula>NOT(ISERROR(SEARCH("Radié",P2)))</formula>
    </cfRule>
    <cfRule type="containsText" dxfId="2688" priority="424" operator="containsText" text="Pas Trouvé">
      <formula>NOT(ISERROR(SEARCH("Pas Trouvé",P2)))</formula>
    </cfRule>
    <cfRule type="containsText" dxfId="2687" priority="425" operator="containsText" text="A Jour">
      <formula>NOT(ISERROR(SEARCH("A Jour",P2)))</formula>
    </cfRule>
    <cfRule type="containsText" dxfId="2686" priority="426" operator="containsText" text="A Trouver">
      <formula>NOT(ISERROR(SEARCH("A Trouver",P2)))</formula>
    </cfRule>
  </conditionalFormatting>
  <conditionalFormatting sqref="AY2:AY4">
    <cfRule type="containsText" dxfId="2685" priority="415" operator="containsText" text="Sympathie">
      <formula>NOT(ISERROR(SEARCH("Sympathie",AY2)))</formula>
    </cfRule>
  </conditionalFormatting>
  <conditionalFormatting sqref="AY2:AY4">
    <cfRule type="containsText" dxfId="2684" priority="416" operator="containsText" text="Argent">
      <formula>NOT(ISERROR(SEARCH("Argent",AY2)))</formula>
    </cfRule>
    <cfRule type="containsText" dxfId="2683" priority="417" operator="containsText" text="Confort">
      <formula>NOT(ISERROR(SEARCH("Confort",AY2)))</formula>
    </cfRule>
    <cfRule type="containsText" dxfId="2682" priority="418" operator="containsText" text="Nouveauté">
      <formula>NOT(ISERROR(SEARCH("Nouveauté",AY2)))</formula>
    </cfRule>
    <cfRule type="containsText" dxfId="2681" priority="419" operator="containsText" text="Orgueil">
      <formula>NOT(ISERROR(SEARCH("Orgueil",AY2)))</formula>
    </cfRule>
    <cfRule type="containsText" dxfId="2680" priority="420" operator="containsText" text="Sécurité">
      <formula>NOT(ISERROR(SEARCH("Sécurité",AY2)))</formula>
    </cfRule>
  </conditionalFormatting>
  <conditionalFormatting sqref="DM2:DM4">
    <cfRule type="containsText" dxfId="2679" priority="413" operator="containsText" text="Tout">
      <formula>NOT(ISERROR(SEARCH("Tout",DM2)))</formula>
    </cfRule>
    <cfRule type="containsText" dxfId="2678" priority="414" operator="containsText" text="Mini">
      <formula>NOT(ISERROR(SEARCH("Mini",DM2)))</formula>
    </cfRule>
  </conditionalFormatting>
  <conditionalFormatting sqref="DM2:DM4">
    <cfRule type="containsText" dxfId="2677" priority="412" operator="containsText" text="Inter.">
      <formula>NOT(ISERROR(SEARCH("Inter.",DM2)))</formula>
    </cfRule>
  </conditionalFormatting>
  <conditionalFormatting sqref="DM2:DM4">
    <cfRule type="containsText" dxfId="2676" priority="368" operator="containsText" text="Trans.">
      <formula>NOT(ISERROR(SEARCH("Trans.",DM2)))</formula>
    </cfRule>
  </conditionalFormatting>
  <conditionalFormatting sqref="F2:F4 N2:O4 AY2:BE4 Q2:S4">
    <cfRule type="cellIs" dxfId="2675" priority="411" operator="equal">
      <formula>0</formula>
    </cfRule>
    <cfRule type="containsBlanks" dxfId="2674" priority="453">
      <formula>LEN(TRIM(F2))=0</formula>
    </cfRule>
  </conditionalFormatting>
  <conditionalFormatting sqref="BL2:BL4">
    <cfRule type="expression" dxfId="2673" priority="348">
      <formula>$DM2="Trans."</formula>
    </cfRule>
  </conditionalFormatting>
  <conditionalFormatting sqref="CR2:CS4">
    <cfRule type="expression" dxfId="2672" priority="410">
      <formula>$J2="Prev. Pro"</formula>
    </cfRule>
  </conditionalFormatting>
  <conditionalFormatting sqref="CY2:CY4">
    <cfRule type="expression" dxfId="2671" priority="409">
      <formula>$J2="Prev. Pro"</formula>
    </cfRule>
  </conditionalFormatting>
  <conditionalFormatting sqref="DJ2:DK4">
    <cfRule type="expression" dxfId="2670" priority="408">
      <formula>$J2="Prev. Pro"</formula>
    </cfRule>
  </conditionalFormatting>
  <conditionalFormatting sqref="CK2:CQ4">
    <cfRule type="expression" dxfId="2669" priority="407" stopIfTrue="1">
      <formula>$J2="Santé Individuelle"</formula>
    </cfRule>
  </conditionalFormatting>
  <conditionalFormatting sqref="CT2:CT4">
    <cfRule type="expression" dxfId="2668" priority="406">
      <formula>$J2="Prev. Pro"</formula>
    </cfRule>
  </conditionalFormatting>
  <conditionalFormatting sqref="CT2:CT4">
    <cfRule type="expression" dxfId="2667" priority="349">
      <formula>$DM2="Trans."</formula>
    </cfRule>
  </conditionalFormatting>
  <conditionalFormatting sqref="C2:E4">
    <cfRule type="expression" dxfId="2666" priority="401">
      <formula>$G2="Annulation"</formula>
    </cfRule>
  </conditionalFormatting>
  <conditionalFormatting sqref="C2:E4">
    <cfRule type="expression" dxfId="2665" priority="402">
      <formula>$J2="Prev. Pro"</formula>
    </cfRule>
    <cfRule type="expression" dxfId="2664" priority="403">
      <formula>$J2&lt;&gt;"Santé Individuelle"</formula>
    </cfRule>
  </conditionalFormatting>
  <conditionalFormatting sqref="X2:X4">
    <cfRule type="expression" dxfId="2663" priority="400">
      <formula>$P2="Annulé"</formula>
    </cfRule>
  </conditionalFormatting>
  <conditionalFormatting sqref="CI2:CI4">
    <cfRule type="expression" dxfId="2662" priority="404">
      <formula>$J2="Santé Individuelle"</formula>
    </cfRule>
  </conditionalFormatting>
  <conditionalFormatting sqref="BQ2:BQ4">
    <cfRule type="expression" dxfId="2661" priority="399">
      <formula>$BI2=0</formula>
    </cfRule>
  </conditionalFormatting>
  <conditionalFormatting sqref="BP2:BP4">
    <cfRule type="expression" dxfId="2660" priority="398">
      <formula>$BI2=0</formula>
    </cfRule>
  </conditionalFormatting>
  <conditionalFormatting sqref="BT2:BT4">
    <cfRule type="expression" dxfId="2659" priority="396">
      <formula>$BI2&lt;2</formula>
    </cfRule>
  </conditionalFormatting>
  <conditionalFormatting sqref="BS2:BS4">
    <cfRule type="expression" dxfId="2658" priority="397">
      <formula>$BI2&lt;2</formula>
    </cfRule>
  </conditionalFormatting>
  <conditionalFormatting sqref="BW2:BW4">
    <cfRule type="expression" dxfId="2657" priority="394">
      <formula>$BI2&lt;3</formula>
    </cfRule>
  </conditionalFormatting>
  <conditionalFormatting sqref="BV2:BV4">
    <cfRule type="expression" dxfId="2656" priority="395">
      <formula>$BI2&lt;3</formula>
    </cfRule>
  </conditionalFormatting>
  <conditionalFormatting sqref="BZ2:BZ4">
    <cfRule type="expression" dxfId="2655" priority="392">
      <formula>$BI2&lt;4</formula>
    </cfRule>
  </conditionalFormatting>
  <conditionalFormatting sqref="BY2:BY4">
    <cfRule type="expression" dxfId="2654" priority="393">
      <formula>$BI2&lt;4</formula>
    </cfRule>
  </conditionalFormatting>
  <conditionalFormatting sqref="CC2:CC4">
    <cfRule type="expression" dxfId="2653" priority="390">
      <formula>$BI2&lt;5</formula>
    </cfRule>
  </conditionalFormatting>
  <conditionalFormatting sqref="CB2:CB4">
    <cfRule type="expression" dxfId="2652" priority="391">
      <formula>$BI2&lt;5</formula>
    </cfRule>
  </conditionalFormatting>
  <conditionalFormatting sqref="CF2:CF4">
    <cfRule type="expression" dxfId="2651" priority="388">
      <formula>$BI2&lt;6</formula>
    </cfRule>
  </conditionalFormatting>
  <conditionalFormatting sqref="CE2:CE4">
    <cfRule type="expression" dxfId="2650" priority="389">
      <formula>$BI2&lt;6</formula>
    </cfRule>
  </conditionalFormatting>
  <conditionalFormatting sqref="CI2:CI4">
    <cfRule type="expression" dxfId="2649" priority="386">
      <formula>$BI2&lt;7</formula>
    </cfRule>
  </conditionalFormatting>
  <conditionalFormatting sqref="CH2:CH4">
    <cfRule type="expression" dxfId="2648" priority="387">
      <formula>$BI2&lt;7</formula>
    </cfRule>
  </conditionalFormatting>
  <conditionalFormatting sqref="BJ2:BK4">
    <cfRule type="containsBlanks" dxfId="2647" priority="385">
      <formula>LEN(TRIM(BJ2))=0</formula>
    </cfRule>
  </conditionalFormatting>
  <conditionalFormatting sqref="BF2:BF4">
    <cfRule type="expression" dxfId="2646" priority="384">
      <formula>$J2="Santé Individuelle"</formula>
    </cfRule>
  </conditionalFormatting>
  <conditionalFormatting sqref="BG2:BG4">
    <cfRule type="expression" dxfId="2645" priority="383">
      <formula>$BH2=1</formula>
    </cfRule>
  </conditionalFormatting>
  <conditionalFormatting sqref="CQ2:CQ4">
    <cfRule type="expression" dxfId="2644" priority="382">
      <formula>$J2="Santé Individuelle"</formula>
    </cfRule>
  </conditionalFormatting>
  <conditionalFormatting sqref="J2:J4">
    <cfRule type="expression" dxfId="2643" priority="381">
      <formula>$G2="Annulation"</formula>
    </cfRule>
  </conditionalFormatting>
  <conditionalFormatting sqref="BM2:BM4">
    <cfRule type="expression" dxfId="2642" priority="380">
      <formula>$BH2&lt;=1</formula>
    </cfRule>
  </conditionalFormatting>
  <conditionalFormatting sqref="BN2:BN4">
    <cfRule type="expression" dxfId="2641" priority="379">
      <formula>$BH2&lt;=1</formula>
    </cfRule>
  </conditionalFormatting>
  <conditionalFormatting sqref="BO2:BO4">
    <cfRule type="expression" dxfId="2640" priority="378">
      <formula>$BH2&lt;=1</formula>
    </cfRule>
  </conditionalFormatting>
  <conditionalFormatting sqref="AC2:AD5">
    <cfRule type="expression" dxfId="2639" priority="347">
      <formula>$AB2="X"</formula>
    </cfRule>
  </conditionalFormatting>
  <conditionalFormatting sqref="AY2:AY4">
    <cfRule type="expression" dxfId="2638" priority="359">
      <formula>$G2&lt;&gt;"Annulation"</formula>
    </cfRule>
  </conditionalFormatting>
  <conditionalFormatting sqref="O2:S4">
    <cfRule type="expression" dxfId="2637" priority="405">
      <formula>$G2&lt;&gt;"Annulation"</formula>
    </cfRule>
  </conditionalFormatting>
  <conditionalFormatting sqref="Z2:Z4">
    <cfRule type="expression" dxfId="2636" priority="363">
      <formula>$AA2&lt;31</formula>
    </cfRule>
  </conditionalFormatting>
  <conditionalFormatting sqref="Z2:Z4">
    <cfRule type="expression" dxfId="2635" priority="362">
      <formula>$AA2&gt;122</formula>
    </cfRule>
  </conditionalFormatting>
  <conditionalFormatting sqref="AA2:AA4 I2:I4">
    <cfRule type="containsBlanks" dxfId="2634" priority="361">
      <formula>LEN(TRIM(I2))=0</formula>
    </cfRule>
    <cfRule type="cellIs" dxfId="2633" priority="366" operator="lessThan">
      <formula>31</formula>
    </cfRule>
  </conditionalFormatting>
  <conditionalFormatting sqref="AA2:AA4">
    <cfRule type="expression" dxfId="2632" priority="367">
      <formula>$AA2&gt;122</formula>
    </cfRule>
  </conditionalFormatting>
  <conditionalFormatting sqref="AF2:AF4">
    <cfRule type="containsBlanks" dxfId="2631" priority="351">
      <formula>LEN(TRIM(AF2))=0</formula>
    </cfRule>
    <cfRule type="cellIs" dxfId="2630" priority="352" operator="equal">
      <formula>0</formula>
    </cfRule>
  </conditionalFormatting>
  <conditionalFormatting sqref="AF2:AF4">
    <cfRule type="expression" dxfId="2629" priority="353">
      <formula>$AB2="X"</formula>
    </cfRule>
  </conditionalFormatting>
  <conditionalFormatting sqref="AF2:AF4">
    <cfRule type="expression" dxfId="2628" priority="350">
      <formula>$AE2&lt;&gt;"Programmée"</formula>
    </cfRule>
  </conditionalFormatting>
  <conditionalFormatting sqref="AG2:AG4">
    <cfRule type="containsBlanks" dxfId="2627" priority="360">
      <formula>LEN(TRIM(AG2))=0</formula>
    </cfRule>
    <cfRule type="cellIs" dxfId="2626" priority="365" operator="equal">
      <formula>0</formula>
    </cfRule>
  </conditionalFormatting>
  <conditionalFormatting sqref="AH2:AH4">
    <cfRule type="cellIs" dxfId="2625" priority="357" operator="greaterThanOrEqual">
      <formula>2</formula>
    </cfRule>
    <cfRule type="cellIs" dxfId="2624" priority="455" operator="between">
      <formula>1</formula>
      <formula>1.99999999999999</formula>
    </cfRule>
    <cfRule type="cellIs" dxfId="2623" priority="456" operator="lessThan">
      <formula>1</formula>
    </cfRule>
  </conditionalFormatting>
  <conditionalFormatting sqref="AL2:AL5">
    <cfRule type="containsBlanks" dxfId="2622" priority="340">
      <formula>LEN(TRIM(AL2))=0</formula>
    </cfRule>
    <cfRule type="cellIs" dxfId="2621" priority="342" operator="equal">
      <formula>0</formula>
    </cfRule>
  </conditionalFormatting>
  <conditionalFormatting sqref="AJ2:AX4 AO5:AR5">
    <cfRule type="expression" dxfId="2620" priority="298">
      <formula>$G2="Annulation"</formula>
    </cfRule>
  </conditionalFormatting>
  <conditionalFormatting sqref="AJ2:AX4 AO5:AR5">
    <cfRule type="expression" dxfId="2619" priority="297">
      <formula>$G2&lt;&gt;"Annulation"</formula>
    </cfRule>
  </conditionalFormatting>
  <conditionalFormatting sqref="AJ2:AJ4">
    <cfRule type="expression" dxfId="2618" priority="290">
      <formula>$DM2="Trans."</formula>
    </cfRule>
  </conditionalFormatting>
  <conditionalFormatting sqref="AM2:AM4">
    <cfRule type="expression" dxfId="2617" priority="296">
      <formula>$Z2&gt;=42736</formula>
    </cfRule>
  </conditionalFormatting>
  <conditionalFormatting sqref="AN2:AO4 AO5">
    <cfRule type="expression" dxfId="2616" priority="291">
      <formula>$Z2&gt;=(42736+365)</formula>
    </cfRule>
  </conditionalFormatting>
  <conditionalFormatting sqref="AP2:AP5">
    <cfRule type="expression" dxfId="2615" priority="292">
      <formula>$Z2&gt;=(42736+365+365)</formula>
    </cfRule>
  </conditionalFormatting>
  <conditionalFormatting sqref="AS2:AS4">
    <cfRule type="expression" dxfId="2614" priority="288">
      <formula>$Z2&gt;=(42736+365+365+365)</formula>
    </cfRule>
  </conditionalFormatting>
  <conditionalFormatting sqref="AO2:AO5">
    <cfRule type="cellIs" dxfId="2613" priority="332" operator="greaterThan">
      <formula>0</formula>
    </cfRule>
    <cfRule type="cellIs" dxfId="2612" priority="333" operator="lessThan">
      <formula>0</formula>
    </cfRule>
  </conditionalFormatting>
  <conditionalFormatting sqref="AO2:AO5">
    <cfRule type="cellIs" dxfId="2611" priority="331" operator="equal">
      <formula>-1</formula>
    </cfRule>
  </conditionalFormatting>
  <conditionalFormatting sqref="AQ2:AQ5">
    <cfRule type="cellIs" dxfId="2610" priority="329" operator="greaterThan">
      <formula>0</formula>
    </cfRule>
    <cfRule type="cellIs" dxfId="2609" priority="330" operator="lessThan">
      <formula>0</formula>
    </cfRule>
  </conditionalFormatting>
  <conditionalFormatting sqref="AQ2:AQ5">
    <cfRule type="cellIs" dxfId="2608" priority="328" operator="equal">
      <formula>-1</formula>
    </cfRule>
  </conditionalFormatting>
  <conditionalFormatting sqref="AR2:AR5">
    <cfRule type="cellIs" dxfId="2607" priority="322" operator="equal">
      <formula>-1</formula>
    </cfRule>
    <cfRule type="cellIs" dxfId="2606" priority="323" operator="greaterThan">
      <formula>0.5</formula>
    </cfRule>
    <cfRule type="cellIs" dxfId="2605" priority="324" operator="between">
      <formula>0.25</formula>
      <formula>0.5</formula>
    </cfRule>
    <cfRule type="cellIs" dxfId="2604" priority="325" operator="between">
      <formula>0.1</formula>
      <formula>0.25</formula>
    </cfRule>
    <cfRule type="cellIs" dxfId="2603" priority="326" operator="lessThanOrEqual">
      <formula>0</formula>
    </cfRule>
    <cfRule type="cellIs" dxfId="2602" priority="327" operator="between">
      <formula>0</formula>
      <formula>0.1</formula>
    </cfRule>
  </conditionalFormatting>
  <conditionalFormatting sqref="AT2:AT5">
    <cfRule type="cellIs" dxfId="2601" priority="320" operator="greaterThan">
      <formula>0</formula>
    </cfRule>
    <cfRule type="cellIs" dxfId="2600" priority="321" operator="lessThan">
      <formula>0</formula>
    </cfRule>
  </conditionalFormatting>
  <conditionalFormatting sqref="AT2:AT5">
    <cfRule type="cellIs" dxfId="2599" priority="319" operator="equal">
      <formula>-1</formula>
    </cfRule>
  </conditionalFormatting>
  <conditionalFormatting sqref="AU2:AU5">
    <cfRule type="cellIs" dxfId="2598" priority="313" operator="equal">
      <formula>-1</formula>
    </cfRule>
    <cfRule type="cellIs" dxfId="2597" priority="314" operator="greaterThan">
      <formula>0.5</formula>
    </cfRule>
    <cfRule type="cellIs" dxfId="2596" priority="315" operator="between">
      <formula>0.25</formula>
      <formula>0.5</formula>
    </cfRule>
    <cfRule type="cellIs" dxfId="2595" priority="316" operator="between">
      <formula>0.1</formula>
      <formula>0.25</formula>
    </cfRule>
    <cfRule type="cellIs" dxfId="2594" priority="317" operator="lessThanOrEqual">
      <formula>0</formula>
    </cfRule>
    <cfRule type="cellIs" dxfId="2593" priority="318" operator="between">
      <formula>0</formula>
      <formula>0.1</formula>
    </cfRule>
  </conditionalFormatting>
  <conditionalFormatting sqref="AW2:AW5">
    <cfRule type="cellIs" dxfId="2592" priority="311" operator="greaterThan">
      <formula>0</formula>
    </cfRule>
    <cfRule type="cellIs" dxfId="2591" priority="312" operator="lessThan">
      <formula>0</formula>
    </cfRule>
  </conditionalFormatting>
  <conditionalFormatting sqref="AW2:AW5">
    <cfRule type="cellIs" dxfId="2590" priority="310" operator="equal">
      <formula>-1</formula>
    </cfRule>
  </conditionalFormatting>
  <conditionalFormatting sqref="AX2:AX5">
    <cfRule type="cellIs" dxfId="2589" priority="304" operator="equal">
      <formula>-1</formula>
    </cfRule>
    <cfRule type="cellIs" dxfId="2588" priority="305" operator="greaterThan">
      <formula>0.5</formula>
    </cfRule>
    <cfRule type="cellIs" dxfId="2587" priority="306" operator="between">
      <formula>0.25</formula>
      <formula>0.5</formula>
    </cfRule>
    <cfRule type="cellIs" dxfId="2586" priority="307" operator="between">
      <formula>0.1</formula>
      <formula>0.25</formula>
    </cfRule>
    <cfRule type="cellIs" dxfId="2585" priority="308" operator="lessThanOrEqual">
      <formula>0</formula>
    </cfRule>
    <cfRule type="cellIs" dxfId="2584" priority="309" operator="between">
      <formula>0</formula>
      <formula>0.1</formula>
    </cfRule>
  </conditionalFormatting>
  <conditionalFormatting sqref="AN2:AX4 AW5:AX5 AT5:AU5 AO5:AR5">
    <cfRule type="containsBlanks" dxfId="2583" priority="335">
      <formula>LEN(TRIM(AN2))=0</formula>
    </cfRule>
    <cfRule type="cellIs" dxfId="2582" priority="336" operator="equal">
      <formula>0</formula>
    </cfRule>
  </conditionalFormatting>
  <conditionalFormatting sqref="AN2:AX4 AW5:AX5 AT5:AU5 AO5:AR5">
    <cfRule type="cellIs" dxfId="2581" priority="334" operator="equal">
      <formula>0</formula>
    </cfRule>
    <cfRule type="containsBlanks" dxfId="2580" priority="337">
      <formula>LEN(TRIM(AN2))=0</formula>
    </cfRule>
  </conditionalFormatting>
  <conditionalFormatting sqref="AW2:AX5 AT2:AU5 AO2:AO5 AQ2:AR5">
    <cfRule type="cellIs" dxfId="2579" priority="301" operator="equal">
      <formula>0</formula>
    </cfRule>
    <cfRule type="containsBlanks" dxfId="2578" priority="302">
      <formula>LEN(TRIM(AO2))=0</formula>
    </cfRule>
    <cfRule type="cellIs" dxfId="2577" priority="303" operator="equal">
      <formula>-1</formula>
    </cfRule>
  </conditionalFormatting>
  <conditionalFormatting sqref="AM2:AM4">
    <cfRule type="containsBlanks" dxfId="2576" priority="338">
      <formula>LEN(TRIM(AM2))=0</formula>
    </cfRule>
    <cfRule type="cellIs" dxfId="2575" priority="339" operator="equal">
      <formula>0</formula>
    </cfRule>
  </conditionalFormatting>
  <conditionalFormatting sqref="AM2:AM4">
    <cfRule type="cellIs" dxfId="2574" priority="299" operator="equal">
      <formula>0</formula>
    </cfRule>
    <cfRule type="containsBlanks" dxfId="2573" priority="341">
      <formula>LEN(TRIM(AM2))=0</formula>
    </cfRule>
  </conditionalFormatting>
  <conditionalFormatting sqref="AK2:AK4">
    <cfRule type="expression" dxfId="2572" priority="345">
      <formula>$AK2-TODAY()&lt;30</formula>
    </cfRule>
  </conditionalFormatting>
  <conditionalFormatting sqref="AK2:AK4">
    <cfRule type="containsBlanks" dxfId="2571" priority="295">
      <formula>LEN(TRIM(AK2))=0</formula>
    </cfRule>
  </conditionalFormatting>
  <conditionalFormatting sqref="AJ2:AJ4">
    <cfRule type="containsBlanks" dxfId="2570" priority="293">
      <formula>LEN(TRIM(AJ2))=0</formula>
    </cfRule>
    <cfRule type="cellIs" dxfId="2569" priority="294" operator="equal">
      <formula>0</formula>
    </cfRule>
  </conditionalFormatting>
  <conditionalFormatting sqref="AL2:AL5">
    <cfRule type="cellIs" dxfId="2568" priority="300" operator="greaterThanOrEqual">
      <formula>2</formula>
    </cfRule>
    <cfRule type="cellIs" dxfId="2567" priority="343" operator="between">
      <formula>1</formula>
      <formula>1.99999999999999</formula>
    </cfRule>
    <cfRule type="cellIs" dxfId="2566" priority="344" operator="lessThan">
      <formula>1</formula>
    </cfRule>
  </conditionalFormatting>
  <conditionalFormatting sqref="AJ2:AK4">
    <cfRule type="expression" dxfId="2565" priority="287">
      <formula>$G2="Annulation"</formula>
    </cfRule>
  </conditionalFormatting>
  <conditionalFormatting sqref="M2:M4">
    <cfRule type="expression" dxfId="2564" priority="284">
      <formula>$G2="Annulation"</formula>
    </cfRule>
  </conditionalFormatting>
  <conditionalFormatting sqref="M2:M4">
    <cfRule type="cellIs" dxfId="2563" priority="286" operator="greaterThan">
      <formula>0</formula>
    </cfRule>
  </conditionalFormatting>
  <conditionalFormatting sqref="M2:M4">
    <cfRule type="expression" dxfId="2562" priority="285">
      <formula>$G2="Annulation"</formula>
    </cfRule>
  </conditionalFormatting>
  <conditionalFormatting sqref="M2:M4">
    <cfRule type="expression" dxfId="2561" priority="283">
      <formula>$G2&lt;&gt;"Annulation"</formula>
    </cfRule>
  </conditionalFormatting>
  <conditionalFormatting sqref="Y2:Y4">
    <cfRule type="expression" dxfId="2560" priority="279">
      <formula>$G2&lt;&gt;"Annulation"</formula>
    </cfRule>
  </conditionalFormatting>
  <conditionalFormatting sqref="Y2:Y4">
    <cfRule type="expression" dxfId="2559" priority="282">
      <formula>$P2="Annulé"</formula>
    </cfRule>
  </conditionalFormatting>
  <conditionalFormatting sqref="Y2:Y4">
    <cfRule type="containsBlanks" dxfId="2558" priority="280">
      <formula>LEN(TRIM(Y2))=0</formula>
    </cfRule>
    <cfRule type="cellIs" dxfId="2557" priority="281" operator="equal">
      <formula>0</formula>
    </cfRule>
  </conditionalFormatting>
  <conditionalFormatting sqref="AI2:AI4">
    <cfRule type="expression" dxfId="2556" priority="277">
      <formula>$G2="Annulation"</formula>
    </cfRule>
  </conditionalFormatting>
  <conditionalFormatting sqref="AI2:AI4">
    <cfRule type="expression" dxfId="2555" priority="278">
      <formula>$G2&lt;&gt;"Annulation"</formula>
    </cfRule>
  </conditionalFormatting>
  <conditionalFormatting sqref="AI2:AI4">
    <cfRule type="expression" dxfId="2554" priority="273">
      <formula>$DM2="Trans."</formula>
    </cfRule>
  </conditionalFormatting>
  <conditionalFormatting sqref="AI2:AI4">
    <cfRule type="containsBlanks" dxfId="2553" priority="275">
      <formula>LEN(TRIM(AI2))=0</formula>
    </cfRule>
    <cfRule type="cellIs" dxfId="2552" priority="276" operator="equal">
      <formula>0</formula>
    </cfRule>
  </conditionalFormatting>
  <conditionalFormatting sqref="AI2:AI4">
    <cfRule type="expression" dxfId="2551" priority="274">
      <formula>$G2="Annulation"</formula>
    </cfRule>
  </conditionalFormatting>
  <conditionalFormatting sqref="AE2:AE4">
    <cfRule type="cellIs" dxfId="2550" priority="271" operator="equal">
      <formula>43404</formula>
    </cfRule>
  </conditionalFormatting>
  <conditionalFormatting sqref="AE2:AE4">
    <cfRule type="containsBlanks" dxfId="2549" priority="270">
      <formula>LEN(TRIM(AE2))=0</formula>
    </cfRule>
    <cfRule type="cellIs" dxfId="2548" priority="272" operator="equal">
      <formula>0</formula>
    </cfRule>
  </conditionalFormatting>
  <conditionalFormatting sqref="AE2:AE4">
    <cfRule type="expression" dxfId="2547" priority="269">
      <formula>$G2="Annulation"</formula>
    </cfRule>
  </conditionalFormatting>
  <conditionalFormatting sqref="AE2:AE4">
    <cfRule type="expression" dxfId="2546" priority="268">
      <formula>$G2&lt;&gt;"Annulation"</formula>
    </cfRule>
  </conditionalFormatting>
  <conditionalFormatting sqref="AE2:AE4">
    <cfRule type="expression" dxfId="2545" priority="267">
      <formula>$AB2="X"</formula>
    </cfRule>
  </conditionalFormatting>
  <conditionalFormatting sqref="AE2:AE4">
    <cfRule type="expression" dxfId="2544" priority="266">
      <formula>$AD2&lt;&gt;"Programmée"</formula>
    </cfRule>
  </conditionalFormatting>
  <conditionalFormatting sqref="DN2:DN4">
    <cfRule type="containsText" dxfId="2543" priority="258" operator="containsText" text="OK">
      <formula>NOT(ISERROR(SEARCH("OK",DN2)))</formula>
    </cfRule>
  </conditionalFormatting>
  <conditionalFormatting sqref="DN2:DN4">
    <cfRule type="containsText" dxfId="2542" priority="257" operator="containsText" text="Mini">
      <formula>NOT(ISERROR(SEARCH("Mini",DN2)))</formula>
    </cfRule>
  </conditionalFormatting>
  <conditionalFormatting sqref="DN2:DN4">
    <cfRule type="containsText" dxfId="2541" priority="256" operator="containsText" text="KO">
      <formula>NOT(ISERROR(SEARCH("KO",DN2)))</formula>
    </cfRule>
  </conditionalFormatting>
  <conditionalFormatting sqref="BM6:BM58">
    <cfRule type="expression" dxfId="2540" priority="249">
      <formula>$J6="Santé Individuelle"</formula>
    </cfRule>
  </conditionalFormatting>
  <conditionalFormatting sqref="V6:W58">
    <cfRule type="containsBlanks" dxfId="2539" priority="241">
      <formula>LEN(TRIM(V6))=0</formula>
    </cfRule>
    <cfRule type="cellIs" dxfId="2538" priority="242" operator="equal">
      <formula>0</formula>
    </cfRule>
  </conditionalFormatting>
  <conditionalFormatting sqref="I6:I58">
    <cfRule type="expression" dxfId="2537" priority="235">
      <formula>$G6="Annulation"</formula>
    </cfRule>
  </conditionalFormatting>
  <conditionalFormatting sqref="V6:W58">
    <cfRule type="expression" dxfId="2536" priority="236">
      <formula>$G6&lt;&gt;"Annulation"</formula>
    </cfRule>
  </conditionalFormatting>
  <conditionalFormatting sqref="Q6:R58">
    <cfRule type="cellIs" dxfId="2535" priority="247" operator="equal">
      <formula>0</formula>
    </cfRule>
    <cfRule type="containsBlanks" dxfId="2534" priority="248">
      <formula>LEN(TRIM(Q6))=0</formula>
    </cfRule>
  </conditionalFormatting>
  <conditionalFormatting sqref="I6:I58">
    <cfRule type="expression" dxfId="2533" priority="234">
      <formula>$DM6="Trans."</formula>
    </cfRule>
  </conditionalFormatting>
  <conditionalFormatting sqref="BN6:BN58">
    <cfRule type="expression" dxfId="2532" priority="245">
      <formula>$J6="Santé Individuelle"</formula>
    </cfRule>
  </conditionalFormatting>
  <conditionalFormatting sqref="BM6:BM58">
    <cfRule type="expression" dxfId="2531" priority="244">
      <formula>$BH6&lt;=1</formula>
    </cfRule>
  </conditionalFormatting>
  <conditionalFormatting sqref="BN6:BN58">
    <cfRule type="expression" dxfId="2530" priority="243">
      <formula>$BH6&lt;=1</formula>
    </cfRule>
  </conditionalFormatting>
  <conditionalFormatting sqref="I6:I58">
    <cfRule type="expression" dxfId="2529" priority="237">
      <formula>$G6&lt;&gt;"Annulation"</formula>
    </cfRule>
  </conditionalFormatting>
  <conditionalFormatting sqref="Q6:R58">
    <cfRule type="expression" dxfId="2528" priority="246">
      <formula>$G6&lt;&gt;"Annulation"</formula>
    </cfRule>
  </conditionalFormatting>
  <conditionalFormatting sqref="I6:I58 AA6:AA58">
    <cfRule type="containsBlanks" dxfId="2527" priority="238">
      <formula>LEN(TRIM(I6))=0</formula>
    </cfRule>
    <cfRule type="cellIs" dxfId="2526" priority="239" operator="lessThan">
      <formula>31</formula>
    </cfRule>
  </conditionalFormatting>
  <conditionalFormatting sqref="I6:I58">
    <cfRule type="expression" dxfId="2525" priority="240">
      <formula>$AA6&gt;122</formula>
    </cfRule>
  </conditionalFormatting>
  <conditionalFormatting sqref="BG6:BG58">
    <cfRule type="expression" dxfId="2524" priority="232">
      <formula>$J6="Santé Individuelle"</formula>
    </cfRule>
  </conditionalFormatting>
  <conditionalFormatting sqref="BU6:BU58">
    <cfRule type="expression" dxfId="2523" priority="233">
      <formula>$J6="Santé Individuelle"</formula>
    </cfRule>
  </conditionalFormatting>
  <conditionalFormatting sqref="BH6:BH58 AB6:AJ58 G6:H58 X6:Y58 AL6:AO58 AQ6:AR58 AT6:AX58">
    <cfRule type="cellIs" dxfId="2522" priority="97" operator="equal">
      <formula>0</formula>
    </cfRule>
    <cfRule type="containsBlanks" dxfId="2521" priority="98">
      <formula>LEN(TRIM(G6))=0</formula>
    </cfRule>
  </conditionalFormatting>
  <conditionalFormatting sqref="CK6:DL58">
    <cfRule type="expression" dxfId="2520" priority="92">
      <formula>$G6="Annulation"</formula>
    </cfRule>
  </conditionalFormatting>
  <conditionalFormatting sqref="BJ6:BK58">
    <cfRule type="expression" dxfId="2519" priority="90">
      <formula>$G6&lt;&gt;"Annulation"</formula>
    </cfRule>
  </conditionalFormatting>
  <conditionalFormatting sqref="X6:Y58">
    <cfRule type="expression" dxfId="2518" priority="230">
      <formula>$P6="Annulé"</formula>
    </cfRule>
  </conditionalFormatting>
  <conditionalFormatting sqref="L6:N58">
    <cfRule type="expression" dxfId="2517" priority="104">
      <formula>$G6="Annulation"</formula>
    </cfRule>
  </conditionalFormatting>
  <conditionalFormatting sqref="S6:S58">
    <cfRule type="expression" dxfId="2516" priority="227">
      <formula>$G6&lt;&gt;"Annulation"</formula>
    </cfRule>
  </conditionalFormatting>
  <conditionalFormatting sqref="BJ6:BK58">
    <cfRule type="containsBlanks" dxfId="2515" priority="151">
      <formula>LEN(TRIM(BJ6))=0</formula>
    </cfRule>
    <cfRule type="cellIs" dxfId="2514" priority="229" operator="equal">
      <formula>0</formula>
    </cfRule>
  </conditionalFormatting>
  <conditionalFormatting sqref="P6:P58">
    <cfRule type="cellIs" dxfId="2513" priority="196" operator="equal">
      <formula>"Refus Médical"</formula>
    </cfRule>
    <cfRule type="cellIs" dxfId="2512" priority="197" operator="equal">
      <formula>"Annulé"</formula>
    </cfRule>
    <cfRule type="cellIs" dxfId="2511" priority="198" operator="equal">
      <formula>"Déjà Signé"</formula>
    </cfRule>
    <cfRule type="cellIs" dxfId="2510" priority="199" operator="equal">
      <formula>"Sans Suite"</formula>
    </cfRule>
    <cfRule type="cellIs" dxfId="2509" priority="200" operator="equal">
      <formula>"Refus"</formula>
    </cfRule>
    <cfRule type="cellIs" dxfId="2508" priority="201" operator="equal">
      <formula>"Report + Médical"</formula>
    </cfRule>
    <cfRule type="cellIs" dxfId="2507" priority="202" operator="equal">
      <formula>"Report"</formula>
    </cfRule>
    <cfRule type="cellIs" dxfId="2506" priority="203" operator="equal">
      <formula>"Signature"</formula>
    </cfRule>
    <cfRule type="cellIs" dxfId="2505" priority="204" operator="equal">
      <formula>"Contrat Papier + Mécical"</formula>
    </cfRule>
    <cfRule type="cellIs" dxfId="2504" priority="205" operator="equal">
      <formula>"Validation Médicale"</formula>
    </cfRule>
    <cfRule type="cellIs" dxfId="2503" priority="206" operator="equal">
      <formula>"Contrat Papier"</formula>
    </cfRule>
    <cfRule type="cellIs" dxfId="2502" priority="207" operator="equal">
      <formula>"Validation Compagnie"</formula>
    </cfRule>
    <cfRule type="cellIs" dxfId="2501" priority="208" operator="equal">
      <formula>"V"</formula>
    </cfRule>
  </conditionalFormatting>
  <conditionalFormatting sqref="J6:J58">
    <cfRule type="containsText" dxfId="2500" priority="209" operator="containsText" text="Autre">
      <formula>NOT(ISERROR(SEARCH("Autre",J6)))</formula>
    </cfRule>
    <cfRule type="containsText" dxfId="2499" priority="218" operator="containsText" text="Prev. Part">
      <formula>NOT(ISERROR(SEARCH("Prev. Part",J6)))</formula>
    </cfRule>
    <cfRule type="containsText" dxfId="2498" priority="219" operator="containsText" text="Santé Collective">
      <formula>NOT(ISERROR(SEARCH("Santé Collective",J6)))</formula>
    </cfRule>
    <cfRule type="containsText" dxfId="2497" priority="220" operator="containsText" text="Santé Individuelle">
      <formula>NOT(ISERROR(SEARCH("Santé Individuelle",J6)))</formula>
    </cfRule>
    <cfRule type="containsText" dxfId="2496" priority="221" operator="containsText" text="Prev. Pro">
      <formula>NOT(ISERROR(SEARCH("Prev. Pro",J6)))</formula>
    </cfRule>
  </conditionalFormatting>
  <conditionalFormatting sqref="K6:K58">
    <cfRule type="containsText" dxfId="2495" priority="210" operator="containsText" text="CEGEMA">
      <formula>NOT(ISERROR(SEARCH("CEGEMA",K6)))</formula>
    </cfRule>
    <cfRule type="containsText" dxfId="2494" priority="211" operator="containsText" text="ASAF">
      <formula>NOT(ISERROR(SEARCH("ASAF",K6)))</formula>
    </cfRule>
    <cfRule type="containsText" dxfId="2493" priority="212" operator="containsText" text="AVIVA">
      <formula>NOT(ISERROR(SEARCH("AVIVA",K6)))</formula>
    </cfRule>
    <cfRule type="containsText" dxfId="2492" priority="213" operator="containsText" text="CIPRES">
      <formula>NOT(ISERROR(SEARCH("CIPRES",K6)))</formula>
    </cfRule>
    <cfRule type="containsText" dxfId="2491" priority="214" operator="containsText" text="ALPTIS">
      <formula>NOT(ISERROR(SEARCH("ALPTIS",K6)))</formula>
    </cfRule>
    <cfRule type="containsText" dxfId="2490" priority="215" operator="containsText" text="NEOLIANE">
      <formula>NOT(ISERROR(SEARCH("NEOLIANE",K6)))</formula>
    </cfRule>
    <cfRule type="containsText" dxfId="2489" priority="216" operator="containsText" text="SWISSLIFE">
      <formula>NOT(ISERROR(SEARCH("SWISSLIFE",K6)))</formula>
    </cfRule>
    <cfRule type="containsText" dxfId="2488" priority="217" operator="containsText" text="APRIL">
      <formula>NOT(ISERROR(SEARCH("APRIL",K6)))</formula>
    </cfRule>
  </conditionalFormatting>
  <conditionalFormatting sqref="P6:P58">
    <cfRule type="containsText" dxfId="2487" priority="190" operator="containsText" text="Impayé">
      <formula>NOT(ISERROR(SEARCH("Impayé",P6)))</formula>
    </cfRule>
    <cfRule type="containsText" dxfId="2486" priority="191" operator="containsText" text="Résilié">
      <formula>NOT(ISERROR(SEARCH("Résilié",P6)))</formula>
    </cfRule>
    <cfRule type="containsText" dxfId="2485" priority="192" operator="containsText" text="Radié">
      <formula>NOT(ISERROR(SEARCH("Radié",P6)))</formula>
    </cfRule>
    <cfRule type="containsText" dxfId="2484" priority="193" operator="containsText" text="Pas Trouvé">
      <formula>NOT(ISERROR(SEARCH("Pas Trouvé",P6)))</formula>
    </cfRule>
    <cfRule type="containsText" dxfId="2483" priority="194" operator="containsText" text="A Jour">
      <formula>NOT(ISERROR(SEARCH("A Jour",P6)))</formula>
    </cfRule>
    <cfRule type="containsText" dxfId="2482" priority="195" operator="containsText" text="A Trouver">
      <formula>NOT(ISERROR(SEARCH("A Trouver",P6)))</formula>
    </cfRule>
  </conditionalFormatting>
  <conditionalFormatting sqref="AY6:AY58">
    <cfRule type="containsText" dxfId="2481" priority="184" operator="containsText" text="Sympathie">
      <formula>NOT(ISERROR(SEARCH("Sympathie",AY6)))</formula>
    </cfRule>
  </conditionalFormatting>
  <conditionalFormatting sqref="AY6:AY58">
    <cfRule type="containsText" dxfId="2480" priority="185" operator="containsText" text="Argent">
      <formula>NOT(ISERROR(SEARCH("Argent",AY6)))</formula>
    </cfRule>
    <cfRule type="containsText" dxfId="2479" priority="186" operator="containsText" text="Confort">
      <formula>NOT(ISERROR(SEARCH("Confort",AY6)))</formula>
    </cfRule>
    <cfRule type="containsText" dxfId="2478" priority="187" operator="containsText" text="Nouveauté">
      <formula>NOT(ISERROR(SEARCH("Nouveauté",AY6)))</formula>
    </cfRule>
    <cfRule type="containsText" dxfId="2477" priority="188" operator="containsText" text="Orgueil">
      <formula>NOT(ISERROR(SEARCH("Orgueil",AY6)))</formula>
    </cfRule>
    <cfRule type="containsText" dxfId="2476" priority="189" operator="containsText" text="Sécurité">
      <formula>NOT(ISERROR(SEARCH("Sécurité",AY6)))</formula>
    </cfRule>
  </conditionalFormatting>
  <conditionalFormatting sqref="DM6:DM58">
    <cfRule type="containsText" dxfId="2475" priority="182" operator="containsText" text="Tout">
      <formula>NOT(ISERROR(SEARCH("Tout",DM6)))</formula>
    </cfRule>
    <cfRule type="containsText" dxfId="2474" priority="183" operator="containsText" text="Mini">
      <formula>NOT(ISERROR(SEARCH("Mini",DM6)))</formula>
    </cfRule>
  </conditionalFormatting>
  <conditionalFormatting sqref="DM6:DM58">
    <cfRule type="containsText" dxfId="2473" priority="181" operator="containsText" text="Inter.">
      <formula>NOT(ISERROR(SEARCH("Inter.",DM6)))</formula>
    </cfRule>
  </conditionalFormatting>
  <conditionalFormatting sqref="DM6:DM58">
    <cfRule type="containsText" dxfId="2472" priority="149" operator="containsText" text="Trans.">
      <formula>NOT(ISERROR(SEARCH("Trans.",DM6)))</formula>
    </cfRule>
  </conditionalFormatting>
  <conditionalFormatting sqref="S6:S58 N6:O58 F6:F58 AY6:BE58">
    <cfRule type="cellIs" dxfId="2471" priority="180" operator="equal">
      <formula>0</formula>
    </cfRule>
    <cfRule type="containsBlanks" dxfId="2470" priority="222">
      <formula>LEN(TRIM(F6))=0</formula>
    </cfRule>
  </conditionalFormatting>
  <conditionalFormatting sqref="AW6:AX58">
    <cfRule type="expression" dxfId="2469" priority="57">
      <formula>$DM6="Trans."</formula>
    </cfRule>
  </conditionalFormatting>
  <conditionalFormatting sqref="DL6:DL58">
    <cfRule type="expression" dxfId="2468" priority="179">
      <formula>$J6="Prev. Pro"</formula>
    </cfRule>
  </conditionalFormatting>
  <conditionalFormatting sqref="CY6:CY58">
    <cfRule type="expression" dxfId="2467" priority="178">
      <formula>$J6="Prev. Pro"</formula>
    </cfRule>
  </conditionalFormatting>
  <conditionalFormatting sqref="CZ6:DA58">
    <cfRule type="expression" dxfId="2466" priority="177">
      <formula>$J6="Prev. Pro"</formula>
    </cfRule>
  </conditionalFormatting>
  <conditionalFormatting sqref="CK6:CQ58">
    <cfRule type="expression" dxfId="2465" priority="176" stopIfTrue="1">
      <formula>$J6="Santé Individuelle"</formula>
    </cfRule>
  </conditionalFormatting>
  <conditionalFormatting sqref="C6:E58">
    <cfRule type="expression" dxfId="2464" priority="167">
      <formula>$G6="Annulation"</formula>
    </cfRule>
  </conditionalFormatting>
  <conditionalFormatting sqref="C6:E58">
    <cfRule type="expression" dxfId="2463" priority="168">
      <formula>$J6="Prev. Pro"</formula>
    </cfRule>
    <cfRule type="expression" dxfId="2462" priority="169">
      <formula>$J6&lt;&gt;"Santé Individuelle"</formula>
    </cfRule>
  </conditionalFormatting>
  <conditionalFormatting sqref="BI6:BI58">
    <cfRule type="expression" dxfId="2461" priority="174">
      <formula>$J6="Santé Individuelle"</formula>
    </cfRule>
  </conditionalFormatting>
  <conditionalFormatting sqref="BR6:BR58">
    <cfRule type="expression" dxfId="2460" priority="166">
      <formula>$BI6=0</formula>
    </cfRule>
  </conditionalFormatting>
  <conditionalFormatting sqref="BU6:BU58">
    <cfRule type="expression" dxfId="2459" priority="165">
      <formula>$BI6&lt;2</formula>
    </cfRule>
  </conditionalFormatting>
  <conditionalFormatting sqref="BX6:BX58">
    <cfRule type="expression" dxfId="2458" priority="164">
      <formula>$BI6&lt;3</formula>
    </cfRule>
  </conditionalFormatting>
  <conditionalFormatting sqref="CA6:CA58">
    <cfRule type="expression" dxfId="2457" priority="163">
      <formula>$BI6&lt;4</formula>
    </cfRule>
  </conditionalFormatting>
  <conditionalFormatting sqref="CD6:CD58">
    <cfRule type="expression" dxfId="2456" priority="162">
      <formula>$BI6&lt;5</formula>
    </cfRule>
  </conditionalFormatting>
  <conditionalFormatting sqref="CG6:CG58">
    <cfRule type="expression" dxfId="2455" priority="161">
      <formula>$BI6&lt;6</formula>
    </cfRule>
  </conditionalFormatting>
  <conditionalFormatting sqref="CJ6:CJ58">
    <cfRule type="expression" dxfId="2454" priority="160">
      <formula>$BI6&lt;7</formula>
    </cfRule>
  </conditionalFormatting>
  <conditionalFormatting sqref="BJ6:BK58">
    <cfRule type="containsBlanks" dxfId="2453" priority="159">
      <formula>LEN(TRIM(BJ6))=0</formula>
    </cfRule>
  </conditionalFormatting>
  <conditionalFormatting sqref="BF6:BF58">
    <cfRule type="expression" dxfId="2452" priority="158">
      <formula>$J6="Santé Individuelle"</formula>
    </cfRule>
  </conditionalFormatting>
  <conditionalFormatting sqref="BG6:BG58">
    <cfRule type="expression" dxfId="2451" priority="157">
      <formula>$BH6=1</formula>
    </cfRule>
  </conditionalFormatting>
  <conditionalFormatting sqref="CQ6:CQ58">
    <cfRule type="expression" dxfId="2450" priority="156">
      <formula>$J6="Santé Individuelle"</formula>
    </cfRule>
  </conditionalFormatting>
  <conditionalFormatting sqref="DN6:DN58">
    <cfRule type="containsText" dxfId="2449" priority="155" operator="containsText" text="OK">
      <formula>NOT(ISERROR(SEARCH("OK",DN6)))</formula>
    </cfRule>
  </conditionalFormatting>
  <conditionalFormatting sqref="DN6:DN58">
    <cfRule type="containsText" dxfId="2448" priority="154" operator="containsText" text="Mini">
      <formula>NOT(ISERROR(SEARCH("Mini",DN6)))</formula>
    </cfRule>
  </conditionalFormatting>
  <conditionalFormatting sqref="DN6:DN58">
    <cfRule type="containsText" dxfId="2447" priority="153" operator="containsText" text="KO">
      <formula>NOT(ISERROR(SEARCH("KO",DN6)))</formula>
    </cfRule>
  </conditionalFormatting>
  <conditionalFormatting sqref="O6:P58">
    <cfRule type="expression" dxfId="2446" priority="175">
      <formula>$G6&lt;&gt;"Annulation"</formula>
    </cfRule>
  </conditionalFormatting>
  <conditionalFormatting sqref="Z6:Z58">
    <cfRule type="expression" dxfId="2445" priority="147">
      <formula>$AA6&lt;31</formula>
    </cfRule>
  </conditionalFormatting>
  <conditionalFormatting sqref="Z6:Z58">
    <cfRule type="expression" dxfId="2444" priority="146">
      <formula>$AA6&gt;122</formula>
    </cfRule>
  </conditionalFormatting>
  <conditionalFormatting sqref="AF6:AF58">
    <cfRule type="expression" dxfId="2443" priority="143">
      <formula>$AB6="X"</formula>
    </cfRule>
  </conditionalFormatting>
  <conditionalFormatting sqref="AF6:AF58">
    <cfRule type="expression" dxfId="2442" priority="142">
      <formula>$AE6&lt;&gt;"Programmée"</formula>
    </cfRule>
  </conditionalFormatting>
  <conditionalFormatting sqref="AH6:AH58">
    <cfRule type="cellIs" dxfId="2441" priority="223" operator="greaterThanOrEqual">
      <formula>2</formula>
    </cfRule>
    <cfRule type="cellIs" dxfId="2440" priority="224" operator="between">
      <formula>1</formula>
      <formula>1.99999999999999</formula>
    </cfRule>
    <cfRule type="cellIs" dxfId="2439" priority="225" operator="lessThan">
      <formula>1</formula>
    </cfRule>
  </conditionalFormatting>
  <conditionalFormatting sqref="AK6:AK58">
    <cfRule type="expression" dxfId="2438" priority="140">
      <formula>$AK6-TODAY()&lt;30</formula>
    </cfRule>
  </conditionalFormatting>
  <conditionalFormatting sqref="AK6:AK58">
    <cfRule type="containsBlanks" dxfId="2437" priority="139">
      <formula>LEN(TRIM(AK6))=0</formula>
    </cfRule>
  </conditionalFormatting>
  <conditionalFormatting sqref="AL6:AL58">
    <cfRule type="cellIs" dxfId="2436" priority="144" operator="between">
      <formula>1</formula>
      <formula>1.99999999999999</formula>
    </cfRule>
    <cfRule type="cellIs" dxfId="2435" priority="145" operator="lessThan">
      <formula>1</formula>
    </cfRule>
    <cfRule type="cellIs" dxfId="2434" priority="226" operator="greaterThanOrEqual">
      <formula>2</formula>
    </cfRule>
  </conditionalFormatting>
  <conditionalFormatting sqref="AI6:AK58">
    <cfRule type="expression" dxfId="2433" priority="138">
      <formula>$G6="Annulation"</formula>
    </cfRule>
  </conditionalFormatting>
  <conditionalFormatting sqref="M6:M58">
    <cfRule type="cellIs" dxfId="2432" priority="137" operator="greaterThan">
      <formula>0</formula>
    </cfRule>
  </conditionalFormatting>
  <conditionalFormatting sqref="AQ6:AR58">
    <cfRule type="expression" dxfId="2431" priority="75">
      <formula>$Z6&gt;=(42736+365)</formula>
    </cfRule>
  </conditionalFormatting>
  <conditionalFormatting sqref="AT6:AU58">
    <cfRule type="expression" dxfId="2430" priority="89">
      <formula>$Z6&gt;=(42736+365+365)</formula>
    </cfRule>
  </conditionalFormatting>
  <conditionalFormatting sqref="AW6:AX58">
    <cfRule type="expression" dxfId="2429" priority="128">
      <formula>$Z6&gt;=(42736+365+365+365)</formula>
    </cfRule>
  </conditionalFormatting>
  <conditionalFormatting sqref="AM6:AO58 AQ6:AR58 AT6:AX58">
    <cfRule type="cellIs" dxfId="2428" priority="94" operator="equal">
      <formula>0</formula>
    </cfRule>
    <cfRule type="containsBlanks" dxfId="2427" priority="96">
      <formula>LEN(TRIM(AM6))=0</formula>
    </cfRule>
  </conditionalFormatting>
  <conditionalFormatting sqref="CH6:CH58">
    <cfRule type="expression" dxfId="2426" priority="127">
      <formula>$J6="Santé Individuelle"</formula>
    </cfRule>
  </conditionalFormatting>
  <conditionalFormatting sqref="BL6:BL58">
    <cfRule type="containsBlanks" dxfId="2425" priority="109">
      <formula>LEN(TRIM(BL6))=0</formula>
    </cfRule>
    <cfRule type="cellIs" dxfId="2424" priority="110" operator="equal">
      <formula>0</formula>
    </cfRule>
  </conditionalFormatting>
  <conditionalFormatting sqref="BL6:BL58">
    <cfRule type="expression" dxfId="2423" priority="111">
      <formula>$G6="Annulation"</formula>
    </cfRule>
  </conditionalFormatting>
  <conditionalFormatting sqref="BL6:BL58">
    <cfRule type="expression" dxfId="2422" priority="108">
      <formula>$G6&lt;&gt;"Annulation"</formula>
    </cfRule>
  </conditionalFormatting>
  <conditionalFormatting sqref="BL6:BL58">
    <cfRule type="expression" dxfId="2421" priority="106">
      <formula>$DM6="Trans."</formula>
    </cfRule>
  </conditionalFormatting>
  <conditionalFormatting sqref="CI6:CI58">
    <cfRule type="expression" dxfId="2420" priority="126">
      <formula>$J6="Santé Individuelle"</formula>
    </cfRule>
  </conditionalFormatting>
  <conditionalFormatting sqref="BQ6:BQ58">
    <cfRule type="expression" dxfId="2419" priority="125">
      <formula>$BI6=0</formula>
    </cfRule>
  </conditionalFormatting>
  <conditionalFormatting sqref="BP6:BP58">
    <cfRule type="expression" dxfId="2418" priority="124">
      <formula>$BI6=0</formula>
    </cfRule>
  </conditionalFormatting>
  <conditionalFormatting sqref="BT6:BT58">
    <cfRule type="expression" dxfId="2417" priority="122">
      <formula>$BI6&lt;2</formula>
    </cfRule>
  </conditionalFormatting>
  <conditionalFormatting sqref="BS6:BS58">
    <cfRule type="expression" dxfId="2416" priority="123">
      <formula>$BI6&lt;2</formula>
    </cfRule>
  </conditionalFormatting>
  <conditionalFormatting sqref="BW6:BW58">
    <cfRule type="expression" dxfId="2415" priority="120">
      <formula>$BI6&lt;3</formula>
    </cfRule>
  </conditionalFormatting>
  <conditionalFormatting sqref="BV6:BV58">
    <cfRule type="expression" dxfId="2414" priority="121">
      <formula>$BI6&lt;3</formula>
    </cfRule>
  </conditionalFormatting>
  <conditionalFormatting sqref="BZ6:BZ58">
    <cfRule type="expression" dxfId="2413" priority="118">
      <formula>$BI6&lt;4</formula>
    </cfRule>
  </conditionalFormatting>
  <conditionalFormatting sqref="BY6:BY58">
    <cfRule type="expression" dxfId="2412" priority="119">
      <formula>$BI6&lt;4</formula>
    </cfRule>
  </conditionalFormatting>
  <conditionalFormatting sqref="CC6:CC58">
    <cfRule type="expression" dxfId="2411" priority="116">
      <formula>$BI6&lt;5</formula>
    </cfRule>
  </conditionalFormatting>
  <conditionalFormatting sqref="CB6:CB58">
    <cfRule type="expression" dxfId="2410" priority="117">
      <formula>$BI6&lt;5</formula>
    </cfRule>
  </conditionalFormatting>
  <conditionalFormatting sqref="CF6:CF58">
    <cfRule type="expression" dxfId="2409" priority="114">
      <formula>$BI6&lt;6</formula>
    </cfRule>
  </conditionalFormatting>
  <conditionalFormatting sqref="CE6:CE58">
    <cfRule type="expression" dxfId="2408" priority="115">
      <formula>$BI6&lt;6</formula>
    </cfRule>
  </conditionalFormatting>
  <conditionalFormatting sqref="CI6:CI58">
    <cfRule type="expression" dxfId="2407" priority="112">
      <formula>$BI6&lt;7</formula>
    </cfRule>
  </conditionalFormatting>
  <conditionalFormatting sqref="CH6:CH58">
    <cfRule type="expression" dxfId="2406" priority="113">
      <formula>$BI6&lt;7</formula>
    </cfRule>
  </conditionalFormatting>
  <conditionalFormatting sqref="BO6:BO58">
    <cfRule type="expression" dxfId="2405" priority="133">
      <formula>$BH6&lt;=1</formula>
    </cfRule>
  </conditionalFormatting>
  <conditionalFormatting sqref="G6:G58">
    <cfRule type="containsText" dxfId="2404" priority="105" operator="containsText" text="Pré 2018 OK">
      <formula>NOT(ISERROR(SEARCH("Pré 2018 OK",G6)))</formula>
    </cfRule>
    <cfRule type="containsText" dxfId="2403" priority="135" operator="containsText" text="Pré 2018 à Voir">
      <formula>NOT(ISERROR(SEARCH("Pré 2018 à Voir",G6)))</formula>
    </cfRule>
    <cfRule type="containsText" dxfId="2402" priority="150" operator="containsText" text="Pré 2018 KO">
      <formula>NOT(ISERROR(SEARCH("Pré 2018 KO",G6)))</formula>
    </cfRule>
  </conditionalFormatting>
  <conditionalFormatting sqref="CT6:CT58">
    <cfRule type="expression" dxfId="2401" priority="102">
      <formula>$J6="Prev. Pro"</formula>
    </cfRule>
  </conditionalFormatting>
  <conditionalFormatting sqref="CT6:CT58">
    <cfRule type="expression" dxfId="2400" priority="101">
      <formula>$DM6="Trans."</formula>
    </cfRule>
  </conditionalFormatting>
  <conditionalFormatting sqref="AO6:AO58">
    <cfRule type="expression" dxfId="2399" priority="88">
      <formula>$Z6&gt;=42736</formula>
    </cfRule>
  </conditionalFormatting>
  <conditionalFormatting sqref="AO6:AO58 AQ6:AQ58 AT6:AT58 AW6:AW58">
    <cfRule type="cellIs" dxfId="2398" priority="129" operator="greaterThan">
      <formula>0</formula>
    </cfRule>
    <cfRule type="cellIs" dxfId="2397" priority="130" operator="lessThan">
      <formula>0</formula>
    </cfRule>
  </conditionalFormatting>
  <conditionalFormatting sqref="AO6:AO58 AQ6:AQ58 AT6:AT58 AW6:AW58">
    <cfRule type="cellIs" dxfId="2396" priority="100" operator="equal">
      <formula>-1</formula>
    </cfRule>
  </conditionalFormatting>
  <conditionalFormatting sqref="AR6:AR58 AU6:AU58 AX6:AX58">
    <cfRule type="cellIs" dxfId="2395" priority="95" operator="equal">
      <formula>-1</formula>
    </cfRule>
    <cfRule type="cellIs" dxfId="2394" priority="103" operator="between">
      <formula>0</formula>
      <formula>0.1</formula>
    </cfRule>
    <cfRule type="cellIs" dxfId="2393" priority="132" operator="lessThanOrEqual">
      <formula>0</formula>
    </cfRule>
    <cfRule type="cellIs" dxfId="2392" priority="134" operator="greaterThan">
      <formula>0.5</formula>
    </cfRule>
    <cfRule type="cellIs" dxfId="2391" priority="228" operator="between">
      <formula>0.1</formula>
      <formula>0.25</formula>
    </cfRule>
    <cfRule type="cellIs" dxfId="2390" priority="231" operator="between">
      <formula>0.25</formula>
      <formula>0.5</formula>
    </cfRule>
  </conditionalFormatting>
  <conditionalFormatting sqref="AT6:AU58 AQ6:AR58 AO6:AO58 AW6:AX58">
    <cfRule type="cellIs" dxfId="2389" priority="91" operator="equal">
      <formula>-1</formula>
    </cfRule>
    <cfRule type="cellIs" dxfId="2388" priority="93" operator="equal">
      <formula>0</formula>
    </cfRule>
    <cfRule type="containsBlanks" dxfId="2387" priority="99">
      <formula>LEN(TRIM(AO6))=0</formula>
    </cfRule>
  </conditionalFormatting>
  <conditionalFormatting sqref="AD6:AD58">
    <cfRule type="cellIs" dxfId="2386" priority="80" operator="equal">
      <formula>"KO"</formula>
    </cfRule>
    <cfRule type="cellIs" dxfId="2385" priority="81" operator="equal">
      <formula>"A faire"</formula>
    </cfRule>
    <cfRule type="cellIs" dxfId="2384" priority="82" operator="equal">
      <formula>"Report"</formula>
    </cfRule>
    <cfRule type="cellIs" dxfId="2383" priority="83" operator="equal">
      <formula>"Retour"</formula>
    </cfRule>
    <cfRule type="cellIs" dxfId="2382" priority="84" operator="equal">
      <formula>"Envoyée"</formula>
    </cfRule>
    <cfRule type="cellIs" dxfId="2381" priority="85" operator="equal">
      <formula>"Programmée"</formula>
    </cfRule>
    <cfRule type="cellIs" dxfId="2380" priority="86" operator="equal">
      <formula>"Reçue"</formula>
    </cfRule>
    <cfRule type="cellIs" dxfId="2379" priority="87" operator="equal">
      <formula>"OK"</formula>
    </cfRule>
  </conditionalFormatting>
  <conditionalFormatting sqref="AC6:AE58">
    <cfRule type="expression" dxfId="2378" priority="79">
      <formula>$AB6="X"</formula>
    </cfRule>
  </conditionalFormatting>
  <conditionalFormatting sqref="AE6:AE58">
    <cfRule type="cellIs" dxfId="2377" priority="78" operator="equal">
      <formula>43404</formula>
    </cfRule>
  </conditionalFormatting>
  <conditionalFormatting sqref="AE6:AE58">
    <cfRule type="expression" dxfId="2376" priority="77">
      <formula>$AD6&lt;&gt;"Programmée"</formula>
    </cfRule>
  </conditionalFormatting>
  <conditionalFormatting sqref="DN6:DN58">
    <cfRule type="containsText" dxfId="2375" priority="76" operator="containsText" text="AJ">
      <formula>NOT(ISERROR(SEARCH("AJ",DN6)))</formula>
    </cfRule>
  </conditionalFormatting>
  <conditionalFormatting sqref="CR6:CS58">
    <cfRule type="expression" dxfId="2374" priority="131">
      <formula>OR($CS6="4321A",$CS6="4322A",$CS6="4332A")</formula>
    </cfRule>
  </conditionalFormatting>
  <conditionalFormatting sqref="CR6:CS58">
    <cfRule type="expression" dxfId="2373" priority="66">
      <formula>$CS6="8690E"</formula>
    </cfRule>
    <cfRule type="expression" dxfId="2372" priority="67">
      <formula>$CS6="8690D"</formula>
    </cfRule>
    <cfRule type="expression" dxfId="2371" priority="68">
      <formula>OR($CS6="7112B",$CS6="7120B",$CS6="7410Z")</formula>
    </cfRule>
    <cfRule type="expression" dxfId="2370" priority="69">
      <formula>OR($CS6="7022Z",$CS6="7021Z")</formula>
    </cfRule>
    <cfRule type="expression" dxfId="2369" priority="70">
      <formula>$CS6="6831Z"</formula>
    </cfRule>
    <cfRule type="expression" dxfId="2368" priority="71">
      <formula>$CS6="8690F"</formula>
    </cfRule>
    <cfRule type="expression" dxfId="2367" priority="72">
      <formula>$CS6="6202A"</formula>
    </cfRule>
  </conditionalFormatting>
  <conditionalFormatting sqref="CZ6:CZ58">
    <cfRule type="expression" dxfId="2366" priority="62">
      <formula>$CZ6="NC"</formula>
    </cfRule>
    <cfRule type="expression" dxfId="2365" priority="63">
      <formula>$CZ6="Étude à Faire"</formula>
    </cfRule>
    <cfRule type="expression" dxfId="2364" priority="64">
      <formula>$CZ6="Plus Tard"</formula>
    </cfRule>
    <cfRule type="expression" dxfId="2363" priority="65">
      <formula>$CZ6="OK - Couplé"</formula>
    </cfRule>
  </conditionalFormatting>
  <conditionalFormatting sqref="CZ6:CZ58">
    <cfRule type="expression" dxfId="2362" priority="61">
      <formula>$CZ6="Étude KO"</formula>
    </cfRule>
  </conditionalFormatting>
  <conditionalFormatting sqref="CX6:CX58 DJ6:DK58">
    <cfRule type="containsText" dxfId="2361" priority="73" operator="containsText" text="Oui">
      <formula>NOT(ISERROR(SEARCH("Oui",CX6)))</formula>
    </cfRule>
  </conditionalFormatting>
  <conditionalFormatting sqref="DH6:DI58 DE6:DF58">
    <cfRule type="cellIs" dxfId="2360" priority="74" operator="greaterThan">
      <formula>0</formula>
    </cfRule>
  </conditionalFormatting>
  <conditionalFormatting sqref="DG6:DG58">
    <cfRule type="containsText" dxfId="2359" priority="60" operator="containsText" text="Barème">
      <formula>NOT(ISERROR(SEARCH("Barème",DG6)))</formula>
    </cfRule>
  </conditionalFormatting>
  <conditionalFormatting sqref="DC6:DC58">
    <cfRule type="containsText" dxfId="2358" priority="59" operator="containsText" text="Sans">
      <formula>NOT(ISERROR(SEARCH("Sans",DC6)))</formula>
    </cfRule>
  </conditionalFormatting>
  <conditionalFormatting sqref="DB6:DB58">
    <cfRule type="cellIs" dxfId="2357" priority="58" operator="greaterThan">
      <formula>0</formula>
    </cfRule>
  </conditionalFormatting>
  <conditionalFormatting sqref="AJ6:AJ58">
    <cfRule type="expression" dxfId="2356" priority="55">
      <formula>$AK6-TODAY()&lt;30</formula>
    </cfRule>
  </conditionalFormatting>
  <conditionalFormatting sqref="AJ6:AJ58">
    <cfRule type="containsBlanks" dxfId="2355" priority="54">
      <formula>LEN(TRIM(AJ6))=0</formula>
    </cfRule>
  </conditionalFormatting>
  <conditionalFormatting sqref="P6:P58">
    <cfRule type="containsText" dxfId="2354" priority="51" operator="containsText" text="Résilié - ACS">
      <formula>NOT(ISERROR(SEARCH("Résilié - ACS",P6)))</formula>
    </cfRule>
    <cfRule type="containsText" dxfId="2353" priority="52" operator="containsText" text="Résilié - Groupe">
      <formula>NOT(ISERROR(SEARCH("Résilié - Groupe",P6)))</formula>
    </cfRule>
  </conditionalFormatting>
  <conditionalFormatting sqref="AP6:AP58">
    <cfRule type="cellIs" dxfId="2352" priority="43" operator="equal">
      <formula>0</formula>
    </cfRule>
    <cfRule type="containsBlanks" dxfId="2351" priority="44">
      <formula>LEN(TRIM(AP6))=0</formula>
    </cfRule>
  </conditionalFormatting>
  <conditionalFormatting sqref="AP6:AP58">
    <cfRule type="expression" dxfId="2350" priority="40">
      <formula>$G6="Annulation"</formula>
    </cfRule>
  </conditionalFormatting>
  <conditionalFormatting sqref="AP6:AP58">
    <cfRule type="expression" dxfId="2349" priority="39">
      <formula>$G6&lt;&gt;"Annulation"</formula>
    </cfRule>
  </conditionalFormatting>
  <conditionalFormatting sqref="AP6:AP58">
    <cfRule type="expression" dxfId="2348" priority="38">
      <formula>$Z6&gt;=(42736+365+365)</formula>
    </cfRule>
  </conditionalFormatting>
  <conditionalFormatting sqref="AP6:AP58">
    <cfRule type="cellIs" dxfId="2347" priority="41" operator="equal">
      <formula>0</formula>
    </cfRule>
    <cfRule type="containsBlanks" dxfId="2346" priority="42">
      <formula>LEN(TRIM(AP6))=0</formula>
    </cfRule>
  </conditionalFormatting>
  <conditionalFormatting sqref="AS6:AS58">
    <cfRule type="cellIs" dxfId="2345" priority="35" operator="equal">
      <formula>0</formula>
    </cfRule>
    <cfRule type="containsBlanks" dxfId="2344" priority="36">
      <formula>LEN(TRIM(AS6))=0</formula>
    </cfRule>
  </conditionalFormatting>
  <conditionalFormatting sqref="AS6:AS58">
    <cfRule type="expression" dxfId="2343" priority="32">
      <formula>$G6="Annulation"</formula>
    </cfRule>
  </conditionalFormatting>
  <conditionalFormatting sqref="AS6:AS58">
    <cfRule type="expression" dxfId="2342" priority="31">
      <formula>$G6&lt;&gt;"Annulation"</formula>
    </cfRule>
  </conditionalFormatting>
  <conditionalFormatting sqref="AS6:AS58">
    <cfRule type="expression" dxfId="2341" priority="37">
      <formula>$Z6&gt;=(42736+365+365+365)</formula>
    </cfRule>
  </conditionalFormatting>
  <conditionalFormatting sqref="AS6:AS58">
    <cfRule type="cellIs" dxfId="2340" priority="33" operator="equal">
      <formula>0</formula>
    </cfRule>
    <cfRule type="containsBlanks" dxfId="2339" priority="34">
      <formula>LEN(TRIM(AS6))=0</formula>
    </cfRule>
  </conditionalFormatting>
  <conditionalFormatting sqref="AK2:AK5 AJ6:AK58">
    <cfRule type="expression" dxfId="2338" priority="8900">
      <formula>$DM2="Trans."</formula>
    </cfRule>
    <cfRule type="expression" dxfId="2337" priority="8901">
      <formula>$AK2-TODAY()&gt;90</formula>
    </cfRule>
  </conditionalFormatting>
  <conditionalFormatting sqref="Q1:R1 U1:W1 BL1 BO1 BR1 BU1 BX1 CA1 CD1 CG1 CJ1 CT1 AQ1:AR1 AT1:AU1 AW1:AX1 AO1 AG1:AL1 AA1">
    <cfRule type="expression" dxfId="2336" priority="8902">
      <formula>$A1="Trans."</formula>
    </cfRule>
  </conditionalFormatting>
  <conditionalFormatting sqref="C1:H1 J1:P1 S1 AY1:BK1 BM1:BN1 BP1:BQ1 BS1:BT1 BV1:BW1 BY1:BZ1 CB1:CC1 CE1:CF1 CH1:CI1 CK1:CS1 CU1:DL1 Z1 AB1:AF1">
    <cfRule type="expression" dxfId="2335" priority="8918">
      <formula>$A1="Trans."</formula>
    </cfRule>
  </conditionalFormatting>
  <conditionalFormatting sqref="T1 CY1 AP1 AS1 AV1 X1:Y1 AM1:AN1">
    <cfRule type="expression" dxfId="2334" priority="8933">
      <formula>$A1="Trans."</formula>
    </cfRule>
  </conditionalFormatting>
  <conditionalFormatting sqref="I1">
    <cfRule type="expression" dxfId="2333" priority="8941">
      <formula>$A1="Trans."</formula>
    </cfRule>
  </conditionalFormatting>
  <conditionalFormatting sqref="B2:B58">
    <cfRule type="expression" dxfId="2332" priority="12">
      <formula>$DM2="Trans."</formula>
    </cfRule>
  </conditionalFormatting>
  <conditionalFormatting sqref="B2:B58">
    <cfRule type="expression" dxfId="2331" priority="14">
      <formula>$DN2=""</formula>
    </cfRule>
    <cfRule type="expression" dxfId="2330" priority="18">
      <formula>$DN2="OK"</formula>
    </cfRule>
  </conditionalFormatting>
  <conditionalFormatting sqref="B2:B58">
    <cfRule type="expression" dxfId="2329" priority="17">
      <formula>$DN2="Mini"</formula>
    </cfRule>
  </conditionalFormatting>
  <conditionalFormatting sqref="B2:B58">
    <cfRule type="expression" dxfId="2328" priority="16">
      <formula>$DN2="KO"</formula>
    </cfRule>
  </conditionalFormatting>
  <conditionalFormatting sqref="B2:B58">
    <cfRule type="expression" dxfId="2327" priority="13">
      <formula>$G2="Annulation"</formula>
    </cfRule>
  </conditionalFormatting>
  <conditionalFormatting sqref="B2:B58">
    <cfRule type="expression" dxfId="2326" priority="15">
      <formula>$DN2="AJ"</formula>
    </cfRule>
  </conditionalFormatting>
  <conditionalFormatting sqref="A2:A58">
    <cfRule type="expression" dxfId="2325" priority="5">
      <formula>$DM2="Trans."</formula>
    </cfRule>
  </conditionalFormatting>
  <conditionalFormatting sqref="A2:A58">
    <cfRule type="expression" dxfId="2324" priority="7">
      <formula>$DN2=""</formula>
    </cfRule>
    <cfRule type="expression" dxfId="2323" priority="11">
      <formula>$DN2="OK"</formula>
    </cfRule>
  </conditionalFormatting>
  <conditionalFormatting sqref="A2:A58">
    <cfRule type="expression" dxfId="2322" priority="10">
      <formula>$DN2="Mini"</formula>
    </cfRule>
  </conditionalFormatting>
  <conditionalFormatting sqref="A2:A58">
    <cfRule type="expression" dxfId="2321" priority="9">
      <formula>$DN2="KO"</formula>
    </cfRule>
  </conditionalFormatting>
  <conditionalFormatting sqref="A2:A58">
    <cfRule type="expression" dxfId="2320" priority="6">
      <formula>$G2="Annulation"</formula>
    </cfRule>
  </conditionalFormatting>
  <conditionalFormatting sqref="A2:A58">
    <cfRule type="expression" dxfId="2319" priority="8">
      <formula>$DN2="AJ"</formula>
    </cfRule>
  </conditionalFormatting>
  <conditionalFormatting sqref="T2:T58">
    <cfRule type="cellIs" dxfId="2318" priority="3" operator="equal">
      <formula>0</formula>
    </cfRule>
    <cfRule type="containsBlanks" dxfId="2317" priority="4">
      <formula>LEN(TRIM(T2))=0</formula>
    </cfRule>
  </conditionalFormatting>
  <conditionalFormatting sqref="T2:T58">
    <cfRule type="expression" dxfId="2316" priority="2">
      <formula>$G2="Annulation"</formula>
    </cfRule>
  </conditionalFormatting>
  <conditionalFormatting sqref="T2:T58">
    <cfRule type="expression" dxfId="2315" priority="1">
      <formula>$G2&lt;&gt;"Annulation"</formula>
    </cfRule>
  </conditionalFormatting>
  <dataValidations count="1">
    <dataValidation type="list" allowBlank="1" showInputMessage="1" showErrorMessage="1" sqref="DM2:DM58">
      <formula1>#REF!</formula1>
    </dataValidation>
  </dataValidations>
  <hyperlinks>
    <hyperlink ref="BB5" r:id="rId1"/>
    <hyperlink ref="BB2" r:id="rId2"/>
  </hyperlinks>
  <pageMargins left="0" right="0" top="0" bottom="0" header="0" footer="0"/>
  <pageSetup paperSize="9" orientation="landscape" verticalDpi="360" r:id="rId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AB2:AB58</xm:sqref>
        </x14:dataValidation>
        <x14:dataValidation type="list" allowBlank="1" showInputMessage="1" showErrorMessage="1">
          <x14:formula1>
            <xm:f>Matrice!$B$8:$K$8</xm:f>
          </x14:formula1>
          <xm:sqref>AD2:AD58</xm:sqref>
        </x14:dataValidation>
        <x14:dataValidation type="list" allowBlank="1" showInputMessage="1" showErrorMessage="1">
          <x14:formula1>
            <xm:f>Matrice!$B$2:$O$2</xm:f>
          </x14:formula1>
          <xm:sqref>K2:K58</xm:sqref>
        </x14:dataValidation>
        <x14:dataValidation type="list" allowBlank="1" showInputMessage="1" showErrorMessage="1">
          <x14:formula1>
            <xm:f>Matrice!$B$1:$J$1</xm:f>
          </x14:formula1>
          <xm:sqref>J2:J58</xm:sqref>
        </x14:dataValidation>
        <x14:dataValidation type="list" allowBlank="1" showInputMessage="1" showErrorMessage="1">
          <x14:formula1>
            <xm:f>Matrice!$B$39:$J$39</xm:f>
          </x14:formula1>
          <xm:sqref>DA2:DA58</xm:sqref>
        </x14:dataValidation>
        <x14:dataValidation type="list" allowBlank="1" showInputMessage="1" showErrorMessage="1">
          <x14:formula1>
            <xm:f>Matrice!$B$38:$I$38</xm:f>
          </x14:formula1>
          <xm:sqref>DK2:DK58</xm:sqref>
        </x14:dataValidation>
        <x14:dataValidation type="list" allowBlank="1" showInputMessage="1" showErrorMessage="1">
          <x14:formula1>
            <xm:f>Matrice!$B$37:$I$37</xm:f>
          </x14:formula1>
          <xm:sqref>DJ2:DJ58</xm:sqref>
        </x14:dataValidation>
        <x14:dataValidation type="list" allowBlank="1" showInputMessage="1" showErrorMessage="1">
          <x14:formula1>
            <xm:f>Matrice!$B$36:$O$36</xm:f>
          </x14:formula1>
          <xm:sqref>DG2:DG58</xm:sqref>
        </x14:dataValidation>
        <x14:dataValidation type="list" allowBlank="1" showInputMessage="1" showErrorMessage="1">
          <x14:formula1>
            <xm:f>Matrice!$B$28:$H$28</xm:f>
          </x14:formula1>
          <xm:sqref>DD2:DD58</xm:sqref>
        </x14:dataValidation>
        <x14:dataValidation type="list" allowBlank="1" showInputMessage="1" showErrorMessage="1">
          <x14:formula1>
            <xm:f>Matrice!$B$32:$F$32</xm:f>
          </x14:formula1>
          <xm:sqref>DC2:DC58</xm:sqref>
        </x14:dataValidation>
        <x14:dataValidation type="list" allowBlank="1" showInputMessage="1" showErrorMessage="1">
          <x14:formula1>
            <xm:f>Matrice!$B$33:$E$33</xm:f>
          </x14:formula1>
          <xm:sqref>CW2:CW58</xm:sqref>
        </x14:dataValidation>
        <x14:dataValidation type="list" allowBlank="1" showInputMessage="1" showErrorMessage="1">
          <x14:formula1>
            <xm:f>Matrice!$C$25:$N$25</xm:f>
          </x14:formula1>
          <xm:sqref>CK2:CP58</xm:sqref>
        </x14:dataValidation>
        <x14:dataValidation type="list" allowBlank="1" showInputMessage="1" showErrorMessage="1">
          <x14:formula1>
            <xm:f>Matrice!$B$9:$O$9</xm:f>
          </x14:formula1>
          <xm:sqref>G2:G58</xm:sqref>
        </x14:dataValidation>
        <x14:dataValidation type="list" allowBlank="1" showInputMessage="1" showErrorMessage="1">
          <x14:formula1>
            <xm:f>Matrice!$B$23:$I$23</xm:f>
          </x14:formula1>
          <xm:sqref>AY2:AY58</xm:sqref>
        </x14:dataValidation>
        <x14:dataValidation type="list" allowBlank="1" showInputMessage="1" showErrorMessage="1">
          <x14:formula1>
            <xm:f>Matrice!$B$12:$M$12</xm:f>
          </x14:formula1>
          <xm:sqref>BH2:BI58</xm:sqref>
        </x14:dataValidation>
        <x14:dataValidation type="list" allowBlank="1" showInputMessage="1" showErrorMessage="1">
          <x14:formula1>
            <xm:f>Matrice!$B$4:$J$4</xm:f>
          </x14:formula1>
          <xm:sqref>S2:S58</xm:sqref>
        </x14:dataValidation>
        <x14:dataValidation type="list" allowBlank="1" showInputMessage="1" showErrorMessage="1">
          <x14:formula1>
            <xm:f>Matrice!$B$11:$J$11</xm:f>
          </x14:formula1>
          <xm:sqref>CI2:CI58 CF2:CF58 CC2:CC58 BZ2:BZ58 BK2:BK58 BW2:BW58 BT2:BT58 BN2:BN58 BQ2:BQ58</xm:sqref>
        </x14:dataValidation>
        <x14:dataValidation type="list" allowBlank="1" showInputMessage="1" showErrorMessage="1">
          <x14:formula1>
            <xm:f>Matrice!$B$49:$D$49</xm:f>
          </x14:formula1>
          <xm:sqref>F2:F58</xm:sqref>
        </x14:dataValidation>
        <x14:dataValidation type="list" allowBlank="1" showInputMessage="1" showErrorMessage="1">
          <x14:formula1>
            <xm:f>Matrice!$B$34:$I$34</xm:f>
          </x14:formula1>
          <xm:sqref>CX2:CX58</xm:sqref>
        </x14:dataValidation>
        <x14:dataValidation type="list" allowBlank="1" showInputMessage="1" showErrorMessage="1">
          <x14:formula1>
            <xm:f>Matrice!$B$35:$M$35</xm:f>
          </x14:formula1>
          <xm:sqref>CZ2:CZ58</xm:sqref>
        </x14:dataValidation>
        <x14:dataValidation type="list" allowBlank="1" showInputMessage="1" showErrorMessage="1">
          <x14:formula1>
            <xm:f>Matrice!$B$31:$V$31</xm:f>
          </x14:formula1>
          <xm:sqref>CU2:CU58</xm:sqref>
        </x14:dataValidation>
        <x14:dataValidation type="list" allowBlank="1" showInputMessage="1" showErrorMessage="1">
          <x14:formula1>
            <xm:f>Matrice!$B$3:$Y$3</xm:f>
          </x14:formula1>
          <xm:sqref>P2:P58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A1:DN11"/>
  <sheetViews>
    <sheetView zoomScale="80" zoomScaleNormal="80" workbookViewId="0">
      <pane xSplit="3" ySplit="1" topLeftCell="AP2" activePane="bottomRight" state="frozen"/>
      <selection pane="topRight" activeCell="C1" sqref="C1"/>
      <selection pane="bottomLeft" activeCell="A2" sqref="A2"/>
      <selection pane="bottomRight" activeCell="BB7" sqref="BB7"/>
    </sheetView>
  </sheetViews>
  <sheetFormatPr baseColWidth="10" defaultColWidth="9.140625" defaultRowHeight="15" x14ac:dyDescent="0.25"/>
  <cols>
    <col min="1" max="1" width="2.42578125" style="600" customWidth="1"/>
    <col min="2" max="2" width="2.28515625" style="228" customWidth="1"/>
    <col min="3" max="3" width="22.140625" style="226" bestFit="1" customWidth="1"/>
    <col min="4" max="4" width="13.140625" style="226" bestFit="1" customWidth="1"/>
    <col min="5" max="5" width="12.28515625" style="226" bestFit="1" customWidth="1"/>
    <col min="6" max="7" width="10.5703125" style="226" bestFit="1" customWidth="1"/>
    <col min="8" max="8" width="11.5703125" style="232" bestFit="1" customWidth="1"/>
    <col min="9" max="9" width="3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7.7109375" style="233" bestFit="1" customWidth="1"/>
    <col min="16" max="16" width="25.28515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0.85546875" style="226" bestFit="1" customWidth="1"/>
    <col min="29" max="29" width="13.5703125" style="226" bestFit="1" customWidth="1"/>
    <col min="30" max="30" width="7.7109375" style="226" bestFit="1" customWidth="1"/>
    <col min="31" max="31" width="15.5703125" style="226" bestFit="1" customWidth="1"/>
    <col min="32" max="32" width="10.855468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3.140625" style="226" bestFit="1" customWidth="1"/>
    <col min="55" max="55" width="14.140625" style="226" bestFit="1" customWidth="1"/>
    <col min="56" max="56" width="5.85546875" style="226" bestFit="1" customWidth="1"/>
    <col min="57" max="57" width="35.140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11.5703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19.5703125" style="226" bestFit="1" customWidth="1"/>
    <col min="97" max="97" width="6.7109375" style="226" bestFit="1" customWidth="1"/>
    <col min="98" max="98" width="4.5703125" style="226" bestFit="1" customWidth="1"/>
    <col min="99" max="99" width="10" style="226" bestFit="1" customWidth="1"/>
    <col min="100" max="100" width="13.42578125" style="226" bestFit="1" customWidth="1"/>
    <col min="101" max="101" width="8" style="226" bestFit="1" customWidth="1"/>
    <col min="102" max="102" width="17" style="226" bestFit="1" customWidth="1"/>
    <col min="103" max="103" width="7.85546875" style="226" bestFit="1" customWidth="1"/>
    <col min="104" max="104" width="14.140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5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IF(COUNT(I2:I11)=0,"+J",SUM(I2:I11)/COUNT(I2:I11))</f>
        <v>29.2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IF(COUNT(AA2:AA11)=0,"+J",SUM(AA2:AA11)/COUNT(AA2:AA11))</f>
        <v>58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EL MRABAH Abdessamad - SWISSLIFE - Santé Collective</v>
      </c>
      <c r="B2" s="306"/>
      <c r="C2" s="305" t="s">
        <v>10</v>
      </c>
      <c r="D2" s="301" t="s">
        <v>1268</v>
      </c>
      <c r="E2" s="276">
        <v>43117</v>
      </c>
      <c r="F2" s="278" t="s">
        <v>546</v>
      </c>
      <c r="G2" s="311" t="s">
        <v>170</v>
      </c>
      <c r="H2" s="276">
        <v>43090</v>
      </c>
      <c r="I2" s="313">
        <f t="shared" ref="I2:I11" si="1">IF(G2="Annulation","",IF(H2=0,"",E2-H2))</f>
        <v>27</v>
      </c>
      <c r="J2" s="312" t="s">
        <v>11</v>
      </c>
      <c r="K2" s="268" t="s">
        <v>12</v>
      </c>
      <c r="L2" s="277" t="s">
        <v>134</v>
      </c>
      <c r="M2" s="279"/>
      <c r="N2" s="280">
        <v>169.52</v>
      </c>
      <c r="O2" s="280"/>
      <c r="P2" s="455" t="s">
        <v>57</v>
      </c>
      <c r="Q2" s="281" t="str">
        <f t="shared" ref="Q2:Q11" si="2">IF(COUNT(AD2)=0,"",AD2)</f>
        <v/>
      </c>
      <c r="R2" s="282">
        <f t="shared" ref="R2:R11" si="3">SUM(M2*12)</f>
        <v>0</v>
      </c>
      <c r="S2" s="268" t="s">
        <v>14</v>
      </c>
      <c r="T2" s="376">
        <v>5</v>
      </c>
      <c r="U2" s="284">
        <f>IF(M2=0,0,IF(G2="Annulation","",IF(assurance="ALPTIS",M2*12*T2/100*'1805 Data'!$K$4,IF(assurance="APRIL",M2*12*T2/100*'1805 Data'!$F$4,IF(assurance="ASAF",M2*12*T2/100*'1805 Data'!$I$4,IF(assurance="NEOLIANE",('1805 Data'!$G$5+M2*12*'1805 Data'!$G$4)*T2/100,IF(assurance="NEOLIANE Prev",('1805 Data'!$H$5+M2*12*'1805 Data'!$H$4)*T2/100,IF(assurance="SWISSLIFE",M2*12*T2/100*'1805 Data'!$J$4,IF(assurance="AVIVA",M2*12*T2/100*'1805 Data'!$L$4,IF(assurance="CIPRES",M2*12*T2/100*'1805 Data'!$M$4,IF(assurance="CEGEMA",M2*12*T2/100*'1805 Data'!$N$4,IF(assurance=0,0))))))))))))</f>
        <v>0</v>
      </c>
      <c r="V2" s="298" t="str">
        <f t="shared" ref="V2:V11" si="4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1" si="5">IF(M2="","",IF(G2="Annulation","",IF(typecomm="Linéaire",SUM((M2-O2)*T2/100)+O2*0.15,IF(typecomm="Précompte 1",0,IF(typecomm="Précompte",0,IF(typecomm=0,0))))))</f>
        <v/>
      </c>
      <c r="X2" s="299">
        <f t="shared" ref="X2:X11" si="6">IF(G2="Annulation",0,IF(typecomm="Linéaire",0,IF(typecomm="Précompte 1",V2-U2,IF(mens=0,0,IF(typecomm="Précompte",V2-U2,IF(typecomm=0,0))))))</f>
        <v>0</v>
      </c>
      <c r="Y2" s="368">
        <f t="shared" ref="Y2:Y11" si="7">IF(G2="Annulation",0,IF(M2="",0,IF(typecomm="Linéaire",SUM(W2-U2/12),IF(typecomm="Précompte 1",0,IF(typecomm="Précompte",0,IF(typecomm=0,0))))))</f>
        <v>0</v>
      </c>
      <c r="Z2" s="314">
        <v>43173</v>
      </c>
      <c r="AA2" s="313">
        <f t="shared" ref="AA2:AA11" si="8">IF(Z2="","",IF(G2="Annulation","",IF(E2="",0,Z2-E2)))</f>
        <v>56</v>
      </c>
      <c r="AB2" s="268" t="s">
        <v>13</v>
      </c>
      <c r="AC2" s="277"/>
      <c r="AD2" s="309" t="str">
        <f>IF(Z2=43466,"Programmée","")</f>
        <v/>
      </c>
      <c r="AE2" s="286" t="str">
        <f t="shared" ref="AE2:AE11" si="9">IF(Z2=43466,43404,"")</f>
        <v/>
      </c>
      <c r="AF2" s="277"/>
      <c r="AG2" s="275">
        <f t="shared" ref="AG2:AG11" si="10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43538</v>
      </c>
      <c r="AH2" s="287">
        <f t="shared" ref="AH2:AH11" ca="1" si="11">(IF(COUNT(Z2)=0,"",IF(G2="Annulation","",IF(Z2&gt;0,(Z2-TODAY())/(-365),0))))</f>
        <v>0.23561643835616439</v>
      </c>
      <c r="AI2" s="373">
        <f t="shared" ref="AI2:AI11" ca="1" si="12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43538</v>
      </c>
      <c r="AJ2" s="275">
        <f t="shared" ref="AJ2:AJ11" ca="1" si="13">IF(G2="Annulation","",IF(Z2="","",AI2-62))</f>
        <v>43476</v>
      </c>
      <c r="AK2" s="296">
        <f t="shared" ref="AK2:AK11" ca="1" si="14">IF(G2="Annulation","",IF(Z2="","",AI2-92))</f>
        <v>43446</v>
      </c>
      <c r="AL2" s="287">
        <f t="shared" ref="AL2:AL11" ca="1" si="15">(IF(COUNT(Z2)=0,"",IF(G2="Annulation","",IF(Z2&gt;0,(Z2-AI2)/(-365),0))))</f>
        <v>1</v>
      </c>
      <c r="AM2" s="279">
        <f t="shared" ref="AM2:AM11" si="16">IF(G2="Annulation","",IF(Z2&lt;42736,M2,0))</f>
        <v>0</v>
      </c>
      <c r="AN2" s="279">
        <f t="shared" ref="AN2:AN11" si="17">IF(G2="Annulation","",IF(Z2&gt;=42736,IF(Z2&lt;43101,M2,0),0))</f>
        <v>0</v>
      </c>
      <c r="AO2" s="288">
        <f t="shared" ref="AO2:AO11" si="18">IF(G2="Annulation","",IF(AM2&gt;0,IF(AM2&gt;0,(AM2-AN2)/AM2*(-1),),0))</f>
        <v>0</v>
      </c>
      <c r="AP2" s="279">
        <f t="shared" ref="AP2:AP11" si="19">IF(G2="Annulation","",IF(Z2&gt;=43101,IF(Z2&lt;43466,M2,0),0))</f>
        <v>0</v>
      </c>
      <c r="AQ2" s="288">
        <f t="shared" ref="AQ2:AQ9" si="20">IF(G2="Annulation","",IF(AN2&gt;0,(AN2-AP2)/AN2*(-1),))</f>
        <v>0</v>
      </c>
      <c r="AR2" s="289">
        <f t="shared" ref="AR2:AR9" si="21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 t="shared" ref="AS2:AS11" si="22">IF(G2="Annulation","",IF(Z2&gt;=43466,IF(Z2&lt;43831,M2,0),0))</f>
        <v>0</v>
      </c>
      <c r="AT2" s="288">
        <f t="shared" ref="AT2:AT11" si="23">IF(G2="Annulation","",IF(AP2&gt;0,(AP2-AS2)/AP2*(-1),0))</f>
        <v>0</v>
      </c>
      <c r="AU2" s="289">
        <f t="shared" ref="AU2:AU11" si="24">IF(G2="Annulation","",IF(AS2&gt;0,IF(AM2&gt;0,(AM2-AS2)/(-AM2),IF(AN2&gt;0,(AN2-AS2)/(-AN2),IF(AP2&gt;0,(AP2-AS2)/(-AP2),0))),0))</f>
        <v>0</v>
      </c>
      <c r="AV2" s="279">
        <f t="shared" ref="AV2:AV11" si="25">IF(G2="Annulation","",IF(Z2&gt;=43831,IF(Z2&lt;44197,M2,0),0))</f>
        <v>0</v>
      </c>
      <c r="AW2" s="288">
        <f t="shared" ref="AW2:AW11" si="26">IF(G2="Annulation","",IF(AS2&gt;0,(AS2-AV2)/AS2*(-1),0))</f>
        <v>0</v>
      </c>
      <c r="AX2" s="289">
        <f t="shared" ref="AX2:AX11" si="27">IF(G2="Annulation","",(IF(AM2&gt;0,(AM2-AV2)/(-AM2),IF(AN2&gt;0,(AN2-AV2)/(-AN2),IF(AP2&gt;0,(AP2-AV2)/(-AP2),IF(AS2&gt;0,(AS2-AV2)/(-AS2),0))))))</f>
        <v>0</v>
      </c>
      <c r="AY2" s="268" t="s">
        <v>276</v>
      </c>
      <c r="AZ2" s="291" t="s">
        <v>1266</v>
      </c>
      <c r="BA2" s="292">
        <v>95280</v>
      </c>
      <c r="BB2" s="303" t="s">
        <v>1269</v>
      </c>
      <c r="BC2" s="293" t="s">
        <v>1270</v>
      </c>
      <c r="BD2" s="293"/>
      <c r="BE2" s="304" t="s">
        <v>1267</v>
      </c>
      <c r="BF2" s="274"/>
      <c r="BG2" s="270"/>
      <c r="BH2" s="268">
        <v>1</v>
      </c>
      <c r="BI2" s="273">
        <v>2</v>
      </c>
      <c r="BJ2" s="276">
        <v>29878</v>
      </c>
      <c r="BK2" s="294" t="s">
        <v>200</v>
      </c>
      <c r="BL2" s="269">
        <f t="shared" ref="BL2:BL11" ca="1" si="28">IF(DATEDIF(BJ2,TODAY(),"Y")=118,"",DATEDIF(BJ2,TODAY(),"Y"))</f>
        <v>36</v>
      </c>
      <c r="BM2" s="270"/>
      <c r="BN2" s="271"/>
      <c r="BO2" s="272" t="str">
        <f t="shared" ref="BO2:BO11" ca="1" si="29">IF(DATEDIF(BM2,TODAY(),"Y")=118,"",DATEDIF(BM2,TODAY(),"Y"))</f>
        <v/>
      </c>
      <c r="BP2" s="270"/>
      <c r="BQ2" s="271"/>
      <c r="BR2" s="272" t="str">
        <f t="shared" ref="BR2:BR11" ca="1" si="30">IF(DATEDIF(BP2,TODAY(),"Y")=118,"",DATEDIF(BP2,TODAY(),"Y"))</f>
        <v/>
      </c>
      <c r="BS2" s="270"/>
      <c r="BT2" s="271"/>
      <c r="BU2" s="272" t="str">
        <f t="shared" ref="BU2:BU11" ca="1" si="31">IF(DATEDIF(BS2,TODAY(),"Y")=118,"",DATEDIF(BS2,TODAY(),"Y"))</f>
        <v/>
      </c>
      <c r="BV2" s="270"/>
      <c r="BW2" s="271"/>
      <c r="BX2" s="272" t="str">
        <f t="shared" ref="BX2:BX11" ca="1" si="32">IF(DATEDIF(BV2,TODAY(),"Y")=118,"",DATEDIF(BV2,TODAY(),"Y"))</f>
        <v/>
      </c>
      <c r="BY2" s="270"/>
      <c r="BZ2" s="271"/>
      <c r="CA2" s="272" t="str">
        <f t="shared" ref="CA2:CA11" ca="1" si="33">IF(DATEDIF(BY2,TODAY(),"Y")=118,"",DATEDIF(BY2,TODAY(),"Y"))</f>
        <v/>
      </c>
      <c r="CB2" s="270"/>
      <c r="CC2" s="271"/>
      <c r="CD2" s="272" t="str">
        <f t="shared" ref="CD2:CD11" ca="1" si="34">IF(DATEDIF(CB2,TODAY(),"Y")=118,"",DATEDIF(CB2,TODAY(),"Y"))</f>
        <v/>
      </c>
      <c r="CE2" s="270"/>
      <c r="CF2" s="271"/>
      <c r="CG2" s="272" t="str">
        <f t="shared" ref="CG2:CG11" ca="1" si="35">IF(DATEDIF(CE2,TODAY(),"Y")=118,"",DATEDIF(CE2,TODAY(),"Y"))</f>
        <v/>
      </c>
      <c r="CH2" s="270"/>
      <c r="CI2" s="271"/>
      <c r="CJ2" s="272" t="str">
        <f t="shared" ref="CJ2:CJ11" ca="1" si="36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1" si="37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1" si="38">Infoman</f>
        <v>0</v>
      </c>
      <c r="DN2" s="295" t="str">
        <f t="shared" ref="DN2:DN11" si="39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</row>
    <row r="3" spans="1:118" x14ac:dyDescent="0.25">
      <c r="A3" s="599" t="str">
        <f t="shared" ref="A3:A11" si="40">CONCATENATE(C3," ",D3," - ",K3," - ",J3)</f>
        <v>ESPITALIER Benjamin - APRIL - Prev. Pro</v>
      </c>
      <c r="B3" s="306"/>
      <c r="C3" s="305" t="s">
        <v>53</v>
      </c>
      <c r="D3" s="301" t="s">
        <v>1116</v>
      </c>
      <c r="E3" s="276">
        <v>43150</v>
      </c>
      <c r="F3" s="278" t="s">
        <v>546</v>
      </c>
      <c r="G3" s="311" t="s">
        <v>170</v>
      </c>
      <c r="H3" s="276">
        <v>43147</v>
      </c>
      <c r="I3" s="313">
        <f t="shared" si="1"/>
        <v>3</v>
      </c>
      <c r="J3" s="312" t="s">
        <v>16</v>
      </c>
      <c r="K3" s="268" t="s">
        <v>33</v>
      </c>
      <c r="L3" s="277" t="s">
        <v>34</v>
      </c>
      <c r="M3" s="279">
        <v>152.47999999999999</v>
      </c>
      <c r="N3" s="280">
        <v>152.47999999999999</v>
      </c>
      <c r="O3" s="280"/>
      <c r="P3" s="455" t="s">
        <v>57</v>
      </c>
      <c r="Q3" s="281" t="str">
        <f t="shared" si="2"/>
        <v/>
      </c>
      <c r="R3" s="282">
        <f t="shared" si="3"/>
        <v>1829.7599999999998</v>
      </c>
      <c r="S3" s="268" t="s">
        <v>18</v>
      </c>
      <c r="T3" s="283">
        <f t="shared" ref="T3:T8" si="41"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3" s="284">
        <f>IF(M3=0,0,IF(G3="Annulation","",IF(assurance="ALPTIS",M3*12*T3/100*'1805 Data'!$K$4,IF(assurance="APRIL",M3*12*T3/100*'1805 Data'!$F$4,IF(assurance="ASAF",M3*12*T3/100*'1805 Data'!$I$4,IF(assurance="NEOLIANE",('1805 Data'!$G$5+M3*12*'1805 Data'!$G$4)*T3/100,IF(assurance="NEOLIANE Prev",('1805 Data'!$H$5+M3*12*'1805 Data'!$H$4)*T3/100,IF(assurance="SWISSLIFE",M3*12*T3/100*'1805 Data'!$J$4,IF(assurance="AVIVA",M3*12*T3/100*'1805 Data'!$L$4,IF(assurance="CIPRES",M3*12*T3/100*'1805 Data'!$M$4,IF(assurance="CEGEMA",M3*12*T3/100*'1805 Data'!$N$4,IF(assurance=0,0))))))))))))</f>
        <v>50.318399999999997</v>
      </c>
      <c r="V3" s="298">
        <f t="shared" si="4"/>
        <v>457.43999999999994</v>
      </c>
      <c r="W3" s="298">
        <f t="shared" si="5"/>
        <v>0</v>
      </c>
      <c r="X3" s="299">
        <f t="shared" si="6"/>
        <v>407.12159999999994</v>
      </c>
      <c r="Y3" s="368">
        <f t="shared" si="7"/>
        <v>0</v>
      </c>
      <c r="Z3" s="314">
        <v>43220</v>
      </c>
      <c r="AA3" s="313">
        <f t="shared" si="8"/>
        <v>70</v>
      </c>
      <c r="AB3" s="268" t="s">
        <v>35</v>
      </c>
      <c r="AC3" s="277" t="s">
        <v>12</v>
      </c>
      <c r="AD3" s="309" t="s">
        <v>78</v>
      </c>
      <c r="AE3" s="286" t="str">
        <f t="shared" si="9"/>
        <v/>
      </c>
      <c r="AF3" s="277"/>
      <c r="AG3" s="275">
        <f t="shared" si="10"/>
        <v>43466</v>
      </c>
      <c r="AH3" s="287">
        <f t="shared" ca="1" si="11"/>
        <v>0.10684931506849316</v>
      </c>
      <c r="AI3" s="373">
        <f t="shared" ca="1" si="12"/>
        <v>43466</v>
      </c>
      <c r="AJ3" s="275">
        <f t="shared" ca="1" si="13"/>
        <v>43404</v>
      </c>
      <c r="AK3" s="296">
        <f t="shared" ca="1" si="14"/>
        <v>43374</v>
      </c>
      <c r="AL3" s="287">
        <f t="shared" ca="1" si="15"/>
        <v>0.67397260273972603</v>
      </c>
      <c r="AM3" s="279">
        <f t="shared" si="16"/>
        <v>0</v>
      </c>
      <c r="AN3" s="279">
        <f t="shared" si="17"/>
        <v>0</v>
      </c>
      <c r="AO3" s="288">
        <f t="shared" si="18"/>
        <v>0</v>
      </c>
      <c r="AP3" s="279">
        <f t="shared" si="19"/>
        <v>152.47999999999999</v>
      </c>
      <c r="AQ3" s="288">
        <f t="shared" si="20"/>
        <v>0</v>
      </c>
      <c r="AR3" s="289">
        <f t="shared" si="21"/>
        <v>0</v>
      </c>
      <c r="AS3" s="279">
        <f t="shared" si="22"/>
        <v>0</v>
      </c>
      <c r="AT3" s="288">
        <f t="shared" si="23"/>
        <v>-1</v>
      </c>
      <c r="AU3" s="289">
        <f t="shared" si="24"/>
        <v>0</v>
      </c>
      <c r="AV3" s="279">
        <f t="shared" si="25"/>
        <v>0</v>
      </c>
      <c r="AW3" s="288">
        <f t="shared" si="26"/>
        <v>0</v>
      </c>
      <c r="AX3" s="289">
        <f t="shared" si="27"/>
        <v>-1</v>
      </c>
      <c r="AY3" s="290" t="s">
        <v>278</v>
      </c>
      <c r="AZ3" s="291">
        <v>679401400</v>
      </c>
      <c r="BA3" s="292">
        <v>94400</v>
      </c>
      <c r="BB3" s="303" t="s">
        <v>1341</v>
      </c>
      <c r="BC3" s="293">
        <v>660466334</v>
      </c>
      <c r="BD3" s="293"/>
      <c r="BE3" s="304" t="s">
        <v>1342</v>
      </c>
      <c r="BF3" s="274"/>
      <c r="BG3" s="270"/>
      <c r="BH3" s="268">
        <v>1</v>
      </c>
      <c r="BI3" s="273">
        <v>2</v>
      </c>
      <c r="BJ3" s="276">
        <v>25771</v>
      </c>
      <c r="BK3" s="294" t="s">
        <v>202</v>
      </c>
      <c r="BL3" s="269">
        <f t="shared" ca="1" si="28"/>
        <v>47</v>
      </c>
      <c r="BM3" s="270"/>
      <c r="BN3" s="271"/>
      <c r="BO3" s="272" t="str">
        <f t="shared" ca="1" si="29"/>
        <v/>
      </c>
      <c r="BP3" s="270"/>
      <c r="BQ3" s="271"/>
      <c r="BR3" s="272" t="str">
        <f t="shared" ca="1" si="30"/>
        <v/>
      </c>
      <c r="BS3" s="270"/>
      <c r="BT3" s="271"/>
      <c r="BU3" s="272" t="str">
        <f t="shared" ca="1" si="31"/>
        <v/>
      </c>
      <c r="BV3" s="270"/>
      <c r="BW3" s="271"/>
      <c r="BX3" s="272" t="str">
        <f t="shared" ca="1" si="32"/>
        <v/>
      </c>
      <c r="BY3" s="270"/>
      <c r="BZ3" s="271"/>
      <c r="CA3" s="272" t="str">
        <f t="shared" ca="1" si="33"/>
        <v/>
      </c>
      <c r="CB3" s="270"/>
      <c r="CC3" s="271"/>
      <c r="CD3" s="272" t="str">
        <f t="shared" ca="1" si="34"/>
        <v/>
      </c>
      <c r="CE3" s="270"/>
      <c r="CF3" s="271"/>
      <c r="CG3" s="272" t="str">
        <f t="shared" ca="1" si="35"/>
        <v/>
      </c>
      <c r="CH3" s="270"/>
      <c r="CI3" s="271"/>
      <c r="CJ3" s="272" t="str">
        <f t="shared" ca="1" si="36"/>
        <v/>
      </c>
      <c r="CK3" s="262"/>
      <c r="CL3" s="264"/>
      <c r="CM3" s="264"/>
      <c r="CN3" s="264"/>
      <c r="CO3" s="264"/>
      <c r="CP3" s="264"/>
      <c r="CQ3" s="264"/>
      <c r="CR3" s="262" t="s">
        <v>1343</v>
      </c>
      <c r="CS3" s="263" t="s">
        <v>1345</v>
      </c>
      <c r="CT3" s="297">
        <f t="shared" ca="1" si="37"/>
        <v>47</v>
      </c>
      <c r="CU3" s="264" t="s">
        <v>108</v>
      </c>
      <c r="CV3" s="265">
        <v>38048</v>
      </c>
      <c r="CW3" s="264" t="s">
        <v>351</v>
      </c>
      <c r="CX3" s="264" t="s">
        <v>483</v>
      </c>
      <c r="CY3" s="264" t="str">
        <f>IF(J3&lt;&gt;"Prev. Pro","",IF(AC3="","Non",IF(J3="Prev. Pro","Oui","Non")))</f>
        <v>Oui</v>
      </c>
      <c r="CZ3" s="264" t="s">
        <v>359</v>
      </c>
      <c r="DA3" s="264" t="s">
        <v>351</v>
      </c>
      <c r="DB3" s="266">
        <v>3625</v>
      </c>
      <c r="DC3" s="264" t="s">
        <v>343</v>
      </c>
      <c r="DD3" s="264" t="s">
        <v>363</v>
      </c>
      <c r="DE3" s="266">
        <v>0</v>
      </c>
      <c r="DF3" s="266">
        <v>108000</v>
      </c>
      <c r="DG3" s="264" t="s">
        <v>372</v>
      </c>
      <c r="DH3" s="266">
        <v>0</v>
      </c>
      <c r="DI3" s="266" t="s">
        <v>350</v>
      </c>
      <c r="DJ3" s="264" t="s">
        <v>351</v>
      </c>
      <c r="DK3" s="264" t="s">
        <v>350</v>
      </c>
      <c r="DL3" s="267"/>
      <c r="DM3" s="261">
        <f t="shared" si="38"/>
        <v>0</v>
      </c>
      <c r="DN3" s="295" t="str">
        <f t="shared" si="39"/>
        <v>OK</v>
      </c>
    </row>
    <row r="4" spans="1:118" x14ac:dyDescent="0.25">
      <c r="A4" s="599" t="str">
        <f t="shared" si="40"/>
        <v>MARTINEAU FIGUETTE Jean - ALPTIS - Santé Individuelle</v>
      </c>
      <c r="B4" s="306"/>
      <c r="C4" s="305" t="s">
        <v>1234</v>
      </c>
      <c r="D4" s="301" t="s">
        <v>1235</v>
      </c>
      <c r="E4" s="276">
        <v>43172</v>
      </c>
      <c r="F4" s="278" t="s">
        <v>546</v>
      </c>
      <c r="G4" s="311" t="s">
        <v>170</v>
      </c>
      <c r="H4" s="276">
        <v>43159</v>
      </c>
      <c r="I4" s="313">
        <f t="shared" si="1"/>
        <v>13</v>
      </c>
      <c r="J4" s="312" t="s">
        <v>20</v>
      </c>
      <c r="K4" s="268" t="s">
        <v>17</v>
      </c>
      <c r="L4" s="277" t="s">
        <v>695</v>
      </c>
      <c r="M4" s="279">
        <v>165.36</v>
      </c>
      <c r="N4" s="280">
        <v>165.36</v>
      </c>
      <c r="O4" s="280">
        <v>21</v>
      </c>
      <c r="P4" s="455" t="s">
        <v>57</v>
      </c>
      <c r="Q4" s="281" t="str">
        <f t="shared" si="2"/>
        <v/>
      </c>
      <c r="R4" s="282">
        <f t="shared" si="3"/>
        <v>1984.3200000000002</v>
      </c>
      <c r="S4" s="268" t="s">
        <v>18</v>
      </c>
      <c r="T4" s="283">
        <f t="shared" si="41"/>
        <v>25</v>
      </c>
      <c r="U4" s="284">
        <f>IF(M4=0,0,IF(G4="Annulation","",IF(assurance="ALPTIS",M4*12*T4/100*'1805 Data'!$K$4,IF(assurance="APRIL",M4*12*T4/100*'1805 Data'!$F$4,IF(assurance="ASAF",M4*12*T4/100*'1805 Data'!$I$4,IF(assurance="NEOLIANE",('1805 Data'!$G$5+M4*12*'1805 Data'!$G$4)*T4/100,IF(assurance="NEOLIANE Prev",('1805 Data'!$H$5+M4*12*'1805 Data'!$H$4)*T4/100,IF(assurance="SWISSLIFE",M4*12*T4/100*'1805 Data'!$J$4,IF(assurance="AVIVA",M4*12*T4/100*'1805 Data'!$L$4,IF(assurance="CIPRES",M4*12*T4/100*'1805 Data'!$M$4,IF(assurance="CEGEMA",M4*12*T4/100*'1805 Data'!$N$4,IF(assurance=0,0))))))))))))</f>
        <v>53.080560000000013</v>
      </c>
      <c r="V4" s="298">
        <f t="shared" si="4"/>
        <v>470.88000000000005</v>
      </c>
      <c r="W4" s="298">
        <f t="shared" si="5"/>
        <v>0</v>
      </c>
      <c r="X4" s="299">
        <f t="shared" si="6"/>
        <v>417.79944000000006</v>
      </c>
      <c r="Y4" s="368">
        <f t="shared" si="7"/>
        <v>0</v>
      </c>
      <c r="Z4" s="314">
        <v>43263</v>
      </c>
      <c r="AA4" s="313">
        <f t="shared" si="8"/>
        <v>91</v>
      </c>
      <c r="AB4" s="268" t="s">
        <v>13</v>
      </c>
      <c r="AC4" s="277"/>
      <c r="AD4" s="309" t="str">
        <f>IF(Z4=43466,"Programmée","")</f>
        <v/>
      </c>
      <c r="AE4" s="286" t="str">
        <f t="shared" si="9"/>
        <v/>
      </c>
      <c r="AF4" s="277"/>
      <c r="AG4" s="275">
        <f t="shared" si="10"/>
        <v>43466</v>
      </c>
      <c r="AH4" s="287">
        <f t="shared" ca="1" si="11"/>
        <v>-1.0958904109589041E-2</v>
      </c>
      <c r="AI4" s="373">
        <f t="shared" ca="1" si="12"/>
        <v>43831</v>
      </c>
      <c r="AJ4" s="275">
        <f t="shared" ca="1" si="13"/>
        <v>43769</v>
      </c>
      <c r="AK4" s="296">
        <f t="shared" ca="1" si="14"/>
        <v>43739</v>
      </c>
      <c r="AL4" s="287">
        <f t="shared" ca="1" si="15"/>
        <v>1.5561643835616439</v>
      </c>
      <c r="AM4" s="279">
        <f t="shared" si="16"/>
        <v>0</v>
      </c>
      <c r="AN4" s="279">
        <f t="shared" si="17"/>
        <v>0</v>
      </c>
      <c r="AO4" s="288">
        <f t="shared" si="18"/>
        <v>0</v>
      </c>
      <c r="AP4" s="279">
        <f t="shared" si="19"/>
        <v>165.36</v>
      </c>
      <c r="AQ4" s="288">
        <f t="shared" si="20"/>
        <v>0</v>
      </c>
      <c r="AR4" s="289">
        <f t="shared" si="21"/>
        <v>0</v>
      </c>
      <c r="AS4" s="279">
        <f t="shared" si="22"/>
        <v>0</v>
      </c>
      <c r="AT4" s="288">
        <f t="shared" si="23"/>
        <v>-1</v>
      </c>
      <c r="AU4" s="289">
        <f t="shared" si="24"/>
        <v>0</v>
      </c>
      <c r="AV4" s="279">
        <f t="shared" si="25"/>
        <v>0</v>
      </c>
      <c r="AW4" s="288">
        <f t="shared" si="26"/>
        <v>0</v>
      </c>
      <c r="AX4" s="289">
        <f t="shared" si="27"/>
        <v>-1</v>
      </c>
      <c r="AY4" s="290" t="s">
        <v>278</v>
      </c>
      <c r="AZ4" s="291">
        <v>1849780</v>
      </c>
      <c r="BA4" s="292">
        <v>31100</v>
      </c>
      <c r="BB4" s="303" t="s">
        <v>1237</v>
      </c>
      <c r="BC4" s="293">
        <v>760970044</v>
      </c>
      <c r="BD4" s="293"/>
      <c r="BE4" s="304" t="s">
        <v>1238</v>
      </c>
      <c r="BF4" s="274" t="s">
        <v>1339</v>
      </c>
      <c r="BG4" s="270" t="s">
        <v>1340</v>
      </c>
      <c r="BH4" s="268">
        <v>2</v>
      </c>
      <c r="BI4" s="273">
        <v>3</v>
      </c>
      <c r="BJ4" s="276">
        <v>29885</v>
      </c>
      <c r="BK4" s="294" t="s">
        <v>202</v>
      </c>
      <c r="BL4" s="269">
        <f t="shared" ca="1" si="28"/>
        <v>36</v>
      </c>
      <c r="BM4" s="270">
        <v>29724</v>
      </c>
      <c r="BN4" s="271" t="s">
        <v>200</v>
      </c>
      <c r="BO4" s="272">
        <f t="shared" ca="1" si="29"/>
        <v>37</v>
      </c>
      <c r="BP4" s="270">
        <v>41703</v>
      </c>
      <c r="BQ4" s="271" t="s">
        <v>202</v>
      </c>
      <c r="BR4" s="272">
        <f t="shared" ca="1" si="30"/>
        <v>4</v>
      </c>
      <c r="BS4" s="270">
        <v>42202</v>
      </c>
      <c r="BT4" s="271" t="s">
        <v>202</v>
      </c>
      <c r="BU4" s="272">
        <f t="shared" ca="1" si="31"/>
        <v>2</v>
      </c>
      <c r="BV4" s="270">
        <v>42738</v>
      </c>
      <c r="BW4" s="271" t="s">
        <v>202</v>
      </c>
      <c r="BX4" s="272">
        <f t="shared" ca="1" si="32"/>
        <v>1</v>
      </c>
      <c r="BY4" s="270"/>
      <c r="BZ4" s="271"/>
      <c r="CA4" s="272" t="str">
        <f t="shared" ca="1" si="33"/>
        <v/>
      </c>
      <c r="CB4" s="270"/>
      <c r="CC4" s="271"/>
      <c r="CD4" s="272" t="str">
        <f t="shared" ca="1" si="34"/>
        <v/>
      </c>
      <c r="CE4" s="270"/>
      <c r="CF4" s="271"/>
      <c r="CG4" s="272" t="str">
        <f t="shared" ca="1" si="35"/>
        <v/>
      </c>
      <c r="CH4" s="270"/>
      <c r="CI4" s="271"/>
      <c r="CJ4" s="272" t="str">
        <f t="shared" ca="1" si="36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7"/>
        <v/>
      </c>
      <c r="CU4" s="264"/>
      <c r="CV4" s="265"/>
      <c r="CW4" s="264"/>
      <c r="CX4" s="264"/>
      <c r="CY4" s="264" t="str">
        <f>IF(J4&lt;&gt;"Prev. Pro","",IF(AC4="","Non",IF(J4="Prev. Pro","Oui","Non")))</f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8"/>
        <v>0</v>
      </c>
      <c r="DN4" s="295" t="str">
        <f t="shared" si="39"/>
        <v>OK</v>
      </c>
    </row>
    <row r="5" spans="1:118" x14ac:dyDescent="0.25">
      <c r="A5" s="599" t="str">
        <f t="shared" si="40"/>
        <v>BOULDI Christian - NEOLIANE Prev - Prev. Part</v>
      </c>
      <c r="B5" s="306"/>
      <c r="C5" s="305" t="s">
        <v>46</v>
      </c>
      <c r="D5" s="301" t="s">
        <v>241</v>
      </c>
      <c r="E5" s="276">
        <v>43180</v>
      </c>
      <c r="F5" s="278" t="s">
        <v>546</v>
      </c>
      <c r="G5" s="311" t="s">
        <v>172</v>
      </c>
      <c r="H5" s="276">
        <v>43137</v>
      </c>
      <c r="I5" s="313">
        <f t="shared" si="1"/>
        <v>43</v>
      </c>
      <c r="J5" s="312" t="s">
        <v>85</v>
      </c>
      <c r="K5" s="268" t="s">
        <v>123</v>
      </c>
      <c r="L5" s="277" t="s">
        <v>144</v>
      </c>
      <c r="M5" s="279">
        <v>18.350000000000001</v>
      </c>
      <c r="N5" s="280">
        <v>18.350000000000001</v>
      </c>
      <c r="O5" s="280"/>
      <c r="P5" s="455" t="s">
        <v>57</v>
      </c>
      <c r="Q5" s="281" t="str">
        <f t="shared" si="2"/>
        <v/>
      </c>
      <c r="R5" s="282">
        <f t="shared" si="3"/>
        <v>220.20000000000002</v>
      </c>
      <c r="S5" s="268" t="s">
        <v>18</v>
      </c>
      <c r="T5" s="283">
        <f t="shared" si="41"/>
        <v>40</v>
      </c>
      <c r="U5" s="284">
        <f>IF(M5=0,0,IF(G5="Annulation","",IF(assurance="ALPTIS",M5*12*T5/100*'1805 Data'!$K$4,IF(assurance="APRIL",M5*12*T5/100*'1805 Data'!$F$4,IF(assurance="ASAF",M5*12*T5/100*'1805 Data'!$I$4,IF(assurance="NEOLIANE",('1805 Data'!$G$5+M5*12*'1805 Data'!$G$4)*T5/100,IF(assurance="NEOLIANE Prev",('1805 Data'!$H$5+M5*12*'1805 Data'!$H$4)*T5/100,IF(assurance="SWISSLIFE",M5*12*T5/100*'1805 Data'!$J$4,IF(assurance="AVIVA",M5*12*T5/100*'1805 Data'!$L$4,IF(assurance="CIPRES",M5*12*T5/100*'1805 Data'!$M$4,IF(assurance="CEGEMA",M5*12*T5/100*'1805 Data'!$N$4,IF(assurance=0,0))))))))))))</f>
        <v>10.367471999999999</v>
      </c>
      <c r="V5" s="298">
        <f t="shared" si="4"/>
        <v>88.08</v>
      </c>
      <c r="W5" s="298">
        <f t="shared" si="5"/>
        <v>0</v>
      </c>
      <c r="X5" s="299">
        <f t="shared" si="6"/>
        <v>77.712527999999992</v>
      </c>
      <c r="Y5" s="368">
        <f t="shared" si="7"/>
        <v>0</v>
      </c>
      <c r="Z5" s="314">
        <v>43191</v>
      </c>
      <c r="AA5" s="313">
        <f t="shared" si="8"/>
        <v>11</v>
      </c>
      <c r="AB5" s="268" t="s">
        <v>13</v>
      </c>
      <c r="AC5" s="277"/>
      <c r="AD5" s="309" t="str">
        <f>IF(Z5=43466,"Programmée","")</f>
        <v/>
      </c>
      <c r="AE5" s="286" t="str">
        <f t="shared" si="9"/>
        <v/>
      </c>
      <c r="AF5" s="277"/>
      <c r="AG5" s="275">
        <f t="shared" si="10"/>
        <v>43556</v>
      </c>
      <c r="AH5" s="287">
        <f t="shared" ca="1" si="11"/>
        <v>0.18630136986301371</v>
      </c>
      <c r="AI5" s="373">
        <f t="shared" ca="1" si="12"/>
        <v>43556</v>
      </c>
      <c r="AJ5" s="275">
        <f t="shared" ca="1" si="13"/>
        <v>43494</v>
      </c>
      <c r="AK5" s="296">
        <f t="shared" ca="1" si="14"/>
        <v>43464</v>
      </c>
      <c r="AL5" s="287">
        <f t="shared" ca="1" si="15"/>
        <v>1</v>
      </c>
      <c r="AM5" s="279">
        <f t="shared" si="16"/>
        <v>0</v>
      </c>
      <c r="AN5" s="279">
        <f t="shared" si="17"/>
        <v>0</v>
      </c>
      <c r="AO5" s="288">
        <f t="shared" si="18"/>
        <v>0</v>
      </c>
      <c r="AP5" s="279">
        <f t="shared" si="19"/>
        <v>18.350000000000001</v>
      </c>
      <c r="AQ5" s="288">
        <f t="shared" si="20"/>
        <v>0</v>
      </c>
      <c r="AR5" s="289">
        <f t="shared" si="21"/>
        <v>0</v>
      </c>
      <c r="AS5" s="279">
        <f t="shared" si="22"/>
        <v>0</v>
      </c>
      <c r="AT5" s="288">
        <f t="shared" si="23"/>
        <v>-1</v>
      </c>
      <c r="AU5" s="289">
        <f t="shared" si="24"/>
        <v>0</v>
      </c>
      <c r="AV5" s="279">
        <f t="shared" si="25"/>
        <v>0</v>
      </c>
      <c r="AW5" s="288">
        <f t="shared" si="26"/>
        <v>0</v>
      </c>
      <c r="AX5" s="289">
        <f t="shared" si="27"/>
        <v>-1</v>
      </c>
      <c r="AY5" s="268" t="s">
        <v>278</v>
      </c>
      <c r="AZ5" s="291">
        <v>279181</v>
      </c>
      <c r="BA5" s="292">
        <v>94310</v>
      </c>
      <c r="BB5" s="303" t="s">
        <v>1166</v>
      </c>
      <c r="BC5" s="293">
        <v>642398824</v>
      </c>
      <c r="BD5" s="293"/>
      <c r="BE5" s="304" t="s">
        <v>1213</v>
      </c>
      <c r="BF5" s="274"/>
      <c r="BG5" s="270"/>
      <c r="BH5" s="268">
        <v>1</v>
      </c>
      <c r="BI5" s="273">
        <v>0</v>
      </c>
      <c r="BJ5" s="276">
        <v>24850</v>
      </c>
      <c r="BK5" s="294" t="s">
        <v>200</v>
      </c>
      <c r="BL5" s="269">
        <f t="shared" ca="1" si="28"/>
        <v>50</v>
      </c>
      <c r="BM5" s="270"/>
      <c r="BN5" s="271"/>
      <c r="BO5" s="272" t="str">
        <f t="shared" ca="1" si="29"/>
        <v/>
      </c>
      <c r="BP5" s="270"/>
      <c r="BQ5" s="271"/>
      <c r="BR5" s="272" t="str">
        <f t="shared" ca="1" si="30"/>
        <v/>
      </c>
      <c r="BS5" s="270"/>
      <c r="BT5" s="271"/>
      <c r="BU5" s="272" t="str">
        <f t="shared" ca="1" si="31"/>
        <v/>
      </c>
      <c r="BV5" s="270"/>
      <c r="BW5" s="271"/>
      <c r="BX5" s="272" t="str">
        <f t="shared" ca="1" si="32"/>
        <v/>
      </c>
      <c r="BY5" s="270"/>
      <c r="BZ5" s="271"/>
      <c r="CA5" s="272" t="str">
        <f t="shared" ca="1" si="33"/>
        <v/>
      </c>
      <c r="CB5" s="270"/>
      <c r="CC5" s="271"/>
      <c r="CD5" s="272" t="str">
        <f t="shared" ca="1" si="34"/>
        <v/>
      </c>
      <c r="CE5" s="270"/>
      <c r="CF5" s="271"/>
      <c r="CG5" s="272" t="str">
        <f t="shared" ca="1" si="35"/>
        <v/>
      </c>
      <c r="CH5" s="270"/>
      <c r="CI5" s="271"/>
      <c r="CJ5" s="272" t="str">
        <f t="shared" ca="1" si="36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7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8"/>
        <v>0</v>
      </c>
      <c r="DN5" s="295" t="str">
        <f t="shared" si="39"/>
        <v>OK</v>
      </c>
    </row>
    <row r="6" spans="1:118" x14ac:dyDescent="0.25">
      <c r="A6" s="599" t="str">
        <f t="shared" si="40"/>
        <v>AIT TAYEB Samir - ALPTIS - Prev. Pro</v>
      </c>
      <c r="B6" s="306"/>
      <c r="C6" s="305" t="s">
        <v>63</v>
      </c>
      <c r="D6" s="301" t="s">
        <v>1114</v>
      </c>
      <c r="E6" s="276">
        <v>43180</v>
      </c>
      <c r="F6" s="278" t="s">
        <v>546</v>
      </c>
      <c r="G6" s="311" t="s">
        <v>170</v>
      </c>
      <c r="H6" s="276">
        <v>43140</v>
      </c>
      <c r="I6" s="313">
        <f t="shared" si="1"/>
        <v>40</v>
      </c>
      <c r="J6" s="312" t="s">
        <v>16</v>
      </c>
      <c r="K6" s="268" t="s">
        <v>17</v>
      </c>
      <c r="L6" s="277" t="s">
        <v>26</v>
      </c>
      <c r="M6" s="279"/>
      <c r="N6" s="280">
        <v>550.05999999999995</v>
      </c>
      <c r="O6" s="280"/>
      <c r="P6" s="455" t="s">
        <v>94</v>
      </c>
      <c r="Q6" s="281" t="str">
        <f t="shared" si="2"/>
        <v/>
      </c>
      <c r="R6" s="282">
        <f t="shared" si="3"/>
        <v>0</v>
      </c>
      <c r="S6" s="268" t="s">
        <v>18</v>
      </c>
      <c r="T6" s="283">
        <f t="shared" si="41"/>
        <v>25</v>
      </c>
      <c r="U6" s="284">
        <f>IF(M6=0,0,IF(G6="Annulation","",IF(assurance="ALPTIS",M6*12*T6/100*'1805 Data'!$K$4,IF(assurance="APRIL",M6*12*T6/100*'1805 Data'!$F$4,IF(assurance="ASAF",M6*12*T6/100*'1805 Data'!$I$4,IF(assurance="NEOLIANE",('1805 Data'!$G$5+M6*12*'1805 Data'!$G$4)*T6/100,IF(assurance="NEOLIANE Prev",('1805 Data'!$H$5+M6*12*'1805 Data'!$H$4)*T6/100,IF(assurance="SWISSLIFE",M6*12*T6/100*'1805 Data'!$J$4,IF(assurance="AVIVA",M6*12*T6/100*'1805 Data'!$L$4,IF(assurance="CIPRES",M6*12*T6/100*'1805 Data'!$M$4,IF(assurance="CEGEMA",M6*12*T6/100*'1805 Data'!$N$4,IF(assurance=0,0))))))))))))</f>
        <v>0</v>
      </c>
      <c r="V6" s="298" t="str">
        <f t="shared" si="4"/>
        <v/>
      </c>
      <c r="W6" s="298" t="str">
        <f t="shared" si="5"/>
        <v/>
      </c>
      <c r="X6" s="299">
        <f t="shared" si="6"/>
        <v>0</v>
      </c>
      <c r="Y6" s="368">
        <f t="shared" si="7"/>
        <v>0</v>
      </c>
      <c r="Z6" s="314">
        <v>43191</v>
      </c>
      <c r="AA6" s="313">
        <f t="shared" si="8"/>
        <v>11</v>
      </c>
      <c r="AB6" s="268" t="s">
        <v>13</v>
      </c>
      <c r="AC6" s="277"/>
      <c r="AD6" s="309" t="str">
        <f t="shared" ref="AD6:AD7" si="42">IF(Z6=43466,"Programmée","")</f>
        <v/>
      </c>
      <c r="AE6" s="286" t="str">
        <f t="shared" si="9"/>
        <v/>
      </c>
      <c r="AF6" s="277"/>
      <c r="AG6" s="275">
        <f t="shared" si="10"/>
        <v>43466</v>
      </c>
      <c r="AH6" s="287">
        <f t="shared" ca="1" si="11"/>
        <v>0.18630136986301371</v>
      </c>
      <c r="AI6" s="373">
        <f t="shared" ca="1" si="12"/>
        <v>43466</v>
      </c>
      <c r="AJ6" s="275">
        <f t="shared" ca="1" si="13"/>
        <v>43404</v>
      </c>
      <c r="AK6" s="296">
        <f t="shared" ca="1" si="14"/>
        <v>43374</v>
      </c>
      <c r="AL6" s="287">
        <f t="shared" ca="1" si="15"/>
        <v>0.75342465753424659</v>
      </c>
      <c r="AM6" s="279">
        <f t="shared" si="16"/>
        <v>0</v>
      </c>
      <c r="AN6" s="279">
        <f t="shared" si="17"/>
        <v>0</v>
      </c>
      <c r="AO6" s="288">
        <f t="shared" si="18"/>
        <v>0</v>
      </c>
      <c r="AP6" s="279">
        <f t="shared" si="19"/>
        <v>0</v>
      </c>
      <c r="AQ6" s="288">
        <f t="shared" si="20"/>
        <v>0</v>
      </c>
      <c r="AR6" s="289">
        <f t="shared" si="21"/>
        <v>0</v>
      </c>
      <c r="AS6" s="279">
        <f t="shared" si="22"/>
        <v>0</v>
      </c>
      <c r="AT6" s="288">
        <f t="shared" si="23"/>
        <v>0</v>
      </c>
      <c r="AU6" s="289">
        <f t="shared" si="24"/>
        <v>0</v>
      </c>
      <c r="AV6" s="279">
        <f t="shared" si="25"/>
        <v>0</v>
      </c>
      <c r="AW6" s="288">
        <f t="shared" si="26"/>
        <v>0</v>
      </c>
      <c r="AX6" s="289">
        <f t="shared" si="27"/>
        <v>0</v>
      </c>
      <c r="AY6" s="290" t="s">
        <v>276</v>
      </c>
      <c r="AZ6" s="291">
        <v>1839226</v>
      </c>
      <c r="BA6" s="292">
        <v>95500</v>
      </c>
      <c r="BB6" s="303" t="s">
        <v>1351</v>
      </c>
      <c r="BC6" s="293">
        <v>698534310</v>
      </c>
      <c r="BD6" s="293"/>
      <c r="BE6" s="304" t="s">
        <v>1352</v>
      </c>
      <c r="BF6" s="274"/>
      <c r="BG6" s="270"/>
      <c r="BH6" s="268">
        <v>1</v>
      </c>
      <c r="BI6" s="273">
        <v>2</v>
      </c>
      <c r="BJ6" s="276">
        <v>26793</v>
      </c>
      <c r="BK6" s="294" t="s">
        <v>203</v>
      </c>
      <c r="BL6" s="269">
        <f t="shared" ca="1" si="28"/>
        <v>45</v>
      </c>
      <c r="BM6" s="270"/>
      <c r="BN6" s="271"/>
      <c r="BO6" s="272" t="str">
        <f t="shared" ca="1" si="29"/>
        <v/>
      </c>
      <c r="BP6" s="270"/>
      <c r="BQ6" s="271"/>
      <c r="BR6" s="272" t="str">
        <f t="shared" ca="1" si="30"/>
        <v/>
      </c>
      <c r="BS6" s="270"/>
      <c r="BT6" s="271"/>
      <c r="BU6" s="272" t="str">
        <f t="shared" ca="1" si="31"/>
        <v/>
      </c>
      <c r="BV6" s="270"/>
      <c r="BW6" s="271"/>
      <c r="BX6" s="272" t="str">
        <f t="shared" ca="1" si="32"/>
        <v/>
      </c>
      <c r="BY6" s="270"/>
      <c r="BZ6" s="271"/>
      <c r="CA6" s="272" t="str">
        <f t="shared" ca="1" si="33"/>
        <v/>
      </c>
      <c r="CB6" s="270"/>
      <c r="CC6" s="271"/>
      <c r="CD6" s="272" t="str">
        <f t="shared" ca="1" si="34"/>
        <v/>
      </c>
      <c r="CE6" s="270"/>
      <c r="CF6" s="271"/>
      <c r="CG6" s="272" t="str">
        <f t="shared" ca="1" si="35"/>
        <v/>
      </c>
      <c r="CH6" s="270"/>
      <c r="CI6" s="271"/>
      <c r="CJ6" s="272" t="str">
        <f t="shared" ca="1" si="36"/>
        <v/>
      </c>
      <c r="CK6" s="262"/>
      <c r="CL6" s="264"/>
      <c r="CM6" s="264"/>
      <c r="CN6" s="264"/>
      <c r="CO6" s="264"/>
      <c r="CP6" s="264"/>
      <c r="CQ6" s="264"/>
      <c r="CR6" s="262" t="s">
        <v>1348</v>
      </c>
      <c r="CS6" s="263" t="s">
        <v>1349</v>
      </c>
      <c r="CT6" s="297">
        <f t="shared" ca="1" si="37"/>
        <v>45</v>
      </c>
      <c r="CU6" s="264" t="s">
        <v>317</v>
      </c>
      <c r="CV6" s="265">
        <v>42161</v>
      </c>
      <c r="CW6" s="264" t="s">
        <v>351</v>
      </c>
      <c r="CX6" s="264" t="s">
        <v>376</v>
      </c>
      <c r="CY6" s="264" t="str">
        <f>IF(J6&lt;&gt;"Prev. Pro","",IF(AC6="","Non",IF(J6="Prev. Pro","Oui","Non")))</f>
        <v>Non</v>
      </c>
      <c r="CZ6" s="264" t="s">
        <v>353</v>
      </c>
      <c r="DA6" s="264" t="s">
        <v>351</v>
      </c>
      <c r="DB6" s="266"/>
      <c r="DC6" s="264" t="s">
        <v>343</v>
      </c>
      <c r="DD6" s="264" t="s">
        <v>363</v>
      </c>
      <c r="DE6" s="266"/>
      <c r="DF6" s="266"/>
      <c r="DG6" s="264" t="s">
        <v>371</v>
      </c>
      <c r="DH6" s="266">
        <v>0</v>
      </c>
      <c r="DI6" s="266">
        <v>0</v>
      </c>
      <c r="DJ6" s="264" t="s">
        <v>351</v>
      </c>
      <c r="DK6" s="264" t="s">
        <v>351</v>
      </c>
      <c r="DL6" s="267"/>
      <c r="DM6" s="261">
        <f t="shared" si="38"/>
        <v>0</v>
      </c>
      <c r="DN6" s="295" t="str">
        <f t="shared" si="39"/>
        <v>OK</v>
      </c>
    </row>
    <row r="7" spans="1:118" x14ac:dyDescent="0.25">
      <c r="A7" s="599" t="str">
        <f t="shared" si="40"/>
        <v>PERRAUDIN NARDONE Joanna - AVIVA - Prev. Pro</v>
      </c>
      <c r="B7" s="306"/>
      <c r="C7" s="305" t="s">
        <v>1282</v>
      </c>
      <c r="D7" s="301" t="s">
        <v>1273</v>
      </c>
      <c r="E7" s="276">
        <v>43181</v>
      </c>
      <c r="F7" s="278" t="s">
        <v>547</v>
      </c>
      <c r="G7" s="311" t="s">
        <v>170</v>
      </c>
      <c r="H7" s="276">
        <v>43140</v>
      </c>
      <c r="I7" s="313">
        <f t="shared" si="1"/>
        <v>41</v>
      </c>
      <c r="J7" s="312" t="s">
        <v>16</v>
      </c>
      <c r="K7" s="268" t="s">
        <v>64</v>
      </c>
      <c r="L7" s="277" t="s">
        <v>136</v>
      </c>
      <c r="M7" s="279">
        <v>46.03</v>
      </c>
      <c r="N7" s="280">
        <v>46.03</v>
      </c>
      <c r="O7" s="280"/>
      <c r="P7" s="455" t="s">
        <v>57</v>
      </c>
      <c r="Q7" s="281" t="str">
        <f t="shared" si="2"/>
        <v/>
      </c>
      <c r="R7" s="282">
        <f t="shared" si="3"/>
        <v>552.36</v>
      </c>
      <c r="S7" s="268" t="s">
        <v>18</v>
      </c>
      <c r="T7" s="283">
        <f t="shared" si="41"/>
        <v>25</v>
      </c>
      <c r="U7" s="284">
        <f>IF(M7=0,0,IF(G7="Annulation","",IF(assurance="ALPTIS",M7*12*T7/100*'1805 Data'!$K$4,IF(assurance="APRIL",M7*12*T7/100*'1805 Data'!$F$4,IF(assurance="ASAF",M7*12*T7/100*'1805 Data'!$I$4,IF(assurance="NEOLIANE",('1805 Data'!$G$5+M7*12*'1805 Data'!$G$4)*T7/100,IF(assurance="NEOLIANE Prev",('1805 Data'!$H$5+M7*12*'1805 Data'!$H$4)*T7/100,IF(assurance="SWISSLIFE",M7*12*T7/100*'1805 Data'!$J$4,IF(assurance="AVIVA",M7*12*T7/100*'1805 Data'!$L$4,IF(assurance="CIPRES",M7*12*T7/100*'1805 Data'!$M$4,IF(assurance="CEGEMA",M7*12*T7/100*'1805 Data'!$N$4,IF(assurance=0,0))))))))))))</f>
        <v>16.349856000000003</v>
      </c>
      <c r="V7" s="298">
        <f t="shared" si="4"/>
        <v>138.09</v>
      </c>
      <c r="W7" s="298">
        <f t="shared" si="5"/>
        <v>0</v>
      </c>
      <c r="X7" s="299">
        <f t="shared" si="6"/>
        <v>121.740144</v>
      </c>
      <c r="Y7" s="368">
        <f t="shared" si="7"/>
        <v>0</v>
      </c>
      <c r="Z7" s="314">
        <v>43182</v>
      </c>
      <c r="AA7" s="313">
        <f t="shared" si="8"/>
        <v>1</v>
      </c>
      <c r="AB7" s="268" t="s">
        <v>13</v>
      </c>
      <c r="AC7" s="277"/>
      <c r="AD7" s="309" t="str">
        <f t="shared" si="42"/>
        <v/>
      </c>
      <c r="AE7" s="286" t="str">
        <f t="shared" si="9"/>
        <v/>
      </c>
      <c r="AF7" s="277"/>
      <c r="AG7" s="275">
        <f t="shared" si="10"/>
        <v>43547</v>
      </c>
      <c r="AH7" s="287">
        <f t="shared" ca="1" si="11"/>
        <v>0.21095890410958903</v>
      </c>
      <c r="AI7" s="373">
        <f t="shared" ca="1" si="12"/>
        <v>43547</v>
      </c>
      <c r="AJ7" s="275">
        <f t="shared" ca="1" si="13"/>
        <v>43485</v>
      </c>
      <c r="AK7" s="296">
        <f t="shared" ca="1" si="14"/>
        <v>43455</v>
      </c>
      <c r="AL7" s="287">
        <f t="shared" ca="1" si="15"/>
        <v>1</v>
      </c>
      <c r="AM7" s="279">
        <f t="shared" si="16"/>
        <v>0</v>
      </c>
      <c r="AN7" s="279">
        <f t="shared" si="17"/>
        <v>0</v>
      </c>
      <c r="AO7" s="288">
        <f t="shared" si="18"/>
        <v>0</v>
      </c>
      <c r="AP7" s="279">
        <f t="shared" si="19"/>
        <v>46.03</v>
      </c>
      <c r="AQ7" s="288">
        <f t="shared" si="20"/>
        <v>0</v>
      </c>
      <c r="AR7" s="289">
        <f t="shared" si="21"/>
        <v>0</v>
      </c>
      <c r="AS7" s="279">
        <f t="shared" si="22"/>
        <v>0</v>
      </c>
      <c r="AT7" s="288">
        <f t="shared" si="23"/>
        <v>-1</v>
      </c>
      <c r="AU7" s="289">
        <f t="shared" si="24"/>
        <v>0</v>
      </c>
      <c r="AV7" s="279">
        <f t="shared" si="25"/>
        <v>0</v>
      </c>
      <c r="AW7" s="288">
        <f t="shared" si="26"/>
        <v>0</v>
      </c>
      <c r="AX7" s="289">
        <f t="shared" si="27"/>
        <v>-1</v>
      </c>
      <c r="AY7" s="268" t="s">
        <v>278</v>
      </c>
      <c r="AZ7" s="291">
        <v>896097</v>
      </c>
      <c r="BA7" s="292">
        <v>29570</v>
      </c>
      <c r="BB7" s="303" t="s">
        <v>1284</v>
      </c>
      <c r="BC7" s="293" t="s">
        <v>1293</v>
      </c>
      <c r="BD7" s="293"/>
      <c r="BE7" s="304" t="s">
        <v>1294</v>
      </c>
      <c r="BF7" s="274"/>
      <c r="BG7" s="270"/>
      <c r="BH7" s="268">
        <v>1</v>
      </c>
      <c r="BI7" s="273">
        <v>0</v>
      </c>
      <c r="BJ7" s="276">
        <v>29921</v>
      </c>
      <c r="BK7" s="294" t="s">
        <v>202</v>
      </c>
      <c r="BL7" s="269">
        <f t="shared" ca="1" si="28"/>
        <v>36</v>
      </c>
      <c r="BM7" s="270"/>
      <c r="BN7" s="271"/>
      <c r="BO7" s="272" t="str">
        <f t="shared" ca="1" si="29"/>
        <v/>
      </c>
      <c r="BP7" s="270"/>
      <c r="BQ7" s="271"/>
      <c r="BR7" s="272" t="str">
        <f t="shared" ca="1" si="30"/>
        <v/>
      </c>
      <c r="BS7" s="270"/>
      <c r="BT7" s="271"/>
      <c r="BU7" s="272" t="str">
        <f t="shared" ca="1" si="31"/>
        <v/>
      </c>
      <c r="BV7" s="270"/>
      <c r="BW7" s="271"/>
      <c r="BX7" s="272" t="str">
        <f t="shared" ca="1" si="32"/>
        <v/>
      </c>
      <c r="BY7" s="270"/>
      <c r="BZ7" s="271"/>
      <c r="CA7" s="272" t="str">
        <f t="shared" ca="1" si="33"/>
        <v/>
      </c>
      <c r="CB7" s="270"/>
      <c r="CC7" s="271"/>
      <c r="CD7" s="272" t="str">
        <f t="shared" ca="1" si="34"/>
        <v/>
      </c>
      <c r="CE7" s="270"/>
      <c r="CF7" s="271"/>
      <c r="CG7" s="272" t="str">
        <f t="shared" ca="1" si="35"/>
        <v/>
      </c>
      <c r="CH7" s="270"/>
      <c r="CI7" s="271"/>
      <c r="CJ7" s="272" t="str">
        <f t="shared" ca="1" si="36"/>
        <v/>
      </c>
      <c r="CK7" s="262"/>
      <c r="CL7" s="264"/>
      <c r="CM7" s="264"/>
      <c r="CN7" s="264"/>
      <c r="CO7" s="264"/>
      <c r="CP7" s="264"/>
      <c r="CQ7" s="264"/>
      <c r="CR7" s="262" t="s">
        <v>1194</v>
      </c>
      <c r="CS7" s="263" t="s">
        <v>1227</v>
      </c>
      <c r="CT7" s="297">
        <f t="shared" ca="1" si="37"/>
        <v>36</v>
      </c>
      <c r="CU7" s="264" t="s">
        <v>318</v>
      </c>
      <c r="CV7" s="265" t="s">
        <v>1283</v>
      </c>
      <c r="CW7" s="264" t="s">
        <v>351</v>
      </c>
      <c r="CX7" s="264" t="s">
        <v>483</v>
      </c>
      <c r="CY7" s="264" t="s">
        <v>351</v>
      </c>
      <c r="CZ7" s="264" t="s">
        <v>360</v>
      </c>
      <c r="DA7" s="264"/>
      <c r="DB7" s="266">
        <v>3000</v>
      </c>
      <c r="DC7" s="264" t="s">
        <v>343</v>
      </c>
      <c r="DD7" s="264" t="s">
        <v>362</v>
      </c>
      <c r="DE7" s="266">
        <v>0</v>
      </c>
      <c r="DF7" s="266">
        <v>49000</v>
      </c>
      <c r="DG7" s="264" t="s">
        <v>35</v>
      </c>
      <c r="DH7" s="266">
        <v>0</v>
      </c>
      <c r="DI7" s="266">
        <v>0</v>
      </c>
      <c r="DJ7" s="264" t="s">
        <v>351</v>
      </c>
      <c r="DK7" s="264" t="s">
        <v>351</v>
      </c>
      <c r="DL7" s="267"/>
      <c r="DM7" s="261">
        <f t="shared" si="38"/>
        <v>0</v>
      </c>
      <c r="DN7" s="295" t="str">
        <f t="shared" si="39"/>
        <v>OK</v>
      </c>
    </row>
    <row r="8" spans="1:118" x14ac:dyDescent="0.25">
      <c r="A8" s="599" t="str">
        <f t="shared" si="40"/>
        <v>BOUCHET Sébastien - APRIL - Prev. Pro</v>
      </c>
      <c r="B8" s="306"/>
      <c r="C8" s="305" t="s">
        <v>143</v>
      </c>
      <c r="D8" s="301" t="s">
        <v>1117</v>
      </c>
      <c r="E8" s="276">
        <v>43189</v>
      </c>
      <c r="F8" s="278" t="s">
        <v>546</v>
      </c>
      <c r="G8" s="311" t="s">
        <v>170</v>
      </c>
      <c r="H8" s="276">
        <v>43152</v>
      </c>
      <c r="I8" s="313">
        <f t="shared" si="1"/>
        <v>37</v>
      </c>
      <c r="J8" s="312" t="s">
        <v>16</v>
      </c>
      <c r="K8" s="268" t="s">
        <v>33</v>
      </c>
      <c r="L8" s="277" t="s">
        <v>34</v>
      </c>
      <c r="M8" s="279"/>
      <c r="N8" s="280">
        <v>36.68</v>
      </c>
      <c r="O8" s="280"/>
      <c r="P8" s="455" t="s">
        <v>57</v>
      </c>
      <c r="Q8" s="281" t="str">
        <f t="shared" si="2"/>
        <v/>
      </c>
      <c r="R8" s="282">
        <f t="shared" si="3"/>
        <v>0</v>
      </c>
      <c r="S8" s="268" t="s">
        <v>18</v>
      </c>
      <c r="T8" s="283">
        <f t="shared" si="41"/>
        <v>25</v>
      </c>
      <c r="U8" s="284">
        <f>IF(M8=0,0,IF(G8="Annulation","",IF(assurance="ALPTIS",M8*12*T8/100*'1805 Data'!$K$4,IF(assurance="APRIL",M8*12*T8/100*'1805 Data'!$F$4,IF(assurance="ASAF",M8*12*T8/100*'1805 Data'!$I$4,IF(assurance="NEOLIANE",('1805 Data'!$G$5+M8*12*'1805 Data'!$G$4)*T8/100,IF(assurance="NEOLIANE Prev",('1805 Data'!$H$5+M8*12*'1805 Data'!$H$4)*T8/100,IF(assurance="SWISSLIFE",M8*12*T8/100*'1805 Data'!$J$4,IF(assurance="AVIVA",M8*12*T8/100*'1805 Data'!$L$4,IF(assurance="CIPRES",M8*12*T8/100*'1805 Data'!$M$4,IF(assurance="CEGEMA",M8*12*T8/100*'1805 Data'!$N$4,IF(assurance=0,0))))))))))))</f>
        <v>0</v>
      </c>
      <c r="V8" s="298" t="str">
        <f t="shared" si="4"/>
        <v/>
      </c>
      <c r="W8" s="298" t="str">
        <f t="shared" si="5"/>
        <v/>
      </c>
      <c r="X8" s="299">
        <f t="shared" si="6"/>
        <v>0</v>
      </c>
      <c r="Y8" s="368">
        <f t="shared" si="7"/>
        <v>0</v>
      </c>
      <c r="Z8" s="314">
        <v>43285</v>
      </c>
      <c r="AA8" s="313">
        <f t="shared" si="8"/>
        <v>96</v>
      </c>
      <c r="AB8" s="268" t="s">
        <v>35</v>
      </c>
      <c r="AC8" s="277" t="s">
        <v>1361</v>
      </c>
      <c r="AD8" s="309" t="s">
        <v>78</v>
      </c>
      <c r="AE8" s="286" t="str">
        <f t="shared" si="9"/>
        <v/>
      </c>
      <c r="AF8" s="277"/>
      <c r="AG8" s="275">
        <f t="shared" si="10"/>
        <v>43466</v>
      </c>
      <c r="AH8" s="287">
        <f t="shared" ca="1" si="11"/>
        <v>-7.1232876712328766E-2</v>
      </c>
      <c r="AI8" s="373">
        <f t="shared" ca="1" si="12"/>
        <v>43831</v>
      </c>
      <c r="AJ8" s="275">
        <f t="shared" ca="1" si="13"/>
        <v>43769</v>
      </c>
      <c r="AK8" s="296">
        <f t="shared" ca="1" si="14"/>
        <v>43739</v>
      </c>
      <c r="AL8" s="287">
        <f t="shared" ca="1" si="15"/>
        <v>1.4958904109589042</v>
      </c>
      <c r="AM8" s="279">
        <f t="shared" si="16"/>
        <v>0</v>
      </c>
      <c r="AN8" s="279">
        <f t="shared" si="17"/>
        <v>0</v>
      </c>
      <c r="AO8" s="288">
        <f t="shared" si="18"/>
        <v>0</v>
      </c>
      <c r="AP8" s="279">
        <f t="shared" si="19"/>
        <v>0</v>
      </c>
      <c r="AQ8" s="288">
        <f t="shared" si="20"/>
        <v>0</v>
      </c>
      <c r="AR8" s="289">
        <f t="shared" si="21"/>
        <v>0</v>
      </c>
      <c r="AS8" s="279">
        <f t="shared" si="22"/>
        <v>0</v>
      </c>
      <c r="AT8" s="288">
        <f t="shared" si="23"/>
        <v>0</v>
      </c>
      <c r="AU8" s="289">
        <f t="shared" si="24"/>
        <v>0</v>
      </c>
      <c r="AV8" s="279">
        <f t="shared" si="25"/>
        <v>0</v>
      </c>
      <c r="AW8" s="288">
        <f t="shared" si="26"/>
        <v>0</v>
      </c>
      <c r="AX8" s="289">
        <f t="shared" si="27"/>
        <v>0</v>
      </c>
      <c r="AY8" s="290" t="s">
        <v>277</v>
      </c>
      <c r="AZ8" s="291">
        <v>680616300</v>
      </c>
      <c r="BA8" s="292">
        <v>13008</v>
      </c>
      <c r="BB8" s="303" t="s">
        <v>1300</v>
      </c>
      <c r="BC8" s="293">
        <v>661958963</v>
      </c>
      <c r="BD8" s="293"/>
      <c r="BE8" s="304" t="s">
        <v>1302</v>
      </c>
      <c r="BF8" s="274"/>
      <c r="BG8" s="270"/>
      <c r="BH8" s="268">
        <v>1</v>
      </c>
      <c r="BI8" s="273">
        <v>2</v>
      </c>
      <c r="BJ8" s="276">
        <v>28047</v>
      </c>
      <c r="BK8" s="294" t="s">
        <v>202</v>
      </c>
      <c r="BL8" s="269">
        <f t="shared" ca="1" si="28"/>
        <v>41</v>
      </c>
      <c r="BM8" s="270"/>
      <c r="BN8" s="271"/>
      <c r="BO8" s="272" t="str">
        <f t="shared" ca="1" si="29"/>
        <v/>
      </c>
      <c r="BP8" s="270"/>
      <c r="BQ8" s="271"/>
      <c r="BR8" s="272" t="str">
        <f t="shared" ca="1" si="30"/>
        <v/>
      </c>
      <c r="BS8" s="270"/>
      <c r="BT8" s="271"/>
      <c r="BU8" s="272" t="str">
        <f t="shared" ca="1" si="31"/>
        <v/>
      </c>
      <c r="BV8" s="270"/>
      <c r="BW8" s="271"/>
      <c r="BX8" s="272" t="str">
        <f t="shared" ca="1" si="32"/>
        <v/>
      </c>
      <c r="BY8" s="270"/>
      <c r="BZ8" s="271"/>
      <c r="CA8" s="272" t="str">
        <f t="shared" ca="1" si="33"/>
        <v/>
      </c>
      <c r="CB8" s="270"/>
      <c r="CC8" s="271"/>
      <c r="CD8" s="272" t="str">
        <f t="shared" ca="1" si="34"/>
        <v/>
      </c>
      <c r="CE8" s="270"/>
      <c r="CF8" s="271"/>
      <c r="CG8" s="272" t="str">
        <f t="shared" ca="1" si="35"/>
        <v/>
      </c>
      <c r="CH8" s="270"/>
      <c r="CI8" s="271"/>
      <c r="CJ8" s="272" t="str">
        <f t="shared" ca="1" si="36"/>
        <v/>
      </c>
      <c r="CK8" s="262"/>
      <c r="CL8" s="264"/>
      <c r="CM8" s="264"/>
      <c r="CN8" s="264"/>
      <c r="CO8" s="264"/>
      <c r="CP8" s="264"/>
      <c r="CQ8" s="264"/>
      <c r="CR8" s="262" t="s">
        <v>1346</v>
      </c>
      <c r="CS8" s="263" t="s">
        <v>1347</v>
      </c>
      <c r="CT8" s="297">
        <f t="shared" ca="1" si="37"/>
        <v>41</v>
      </c>
      <c r="CU8" s="264" t="s">
        <v>108</v>
      </c>
      <c r="CV8" s="265">
        <v>41031</v>
      </c>
      <c r="CW8" s="264" t="s">
        <v>351</v>
      </c>
      <c r="CX8" s="264" t="s">
        <v>483</v>
      </c>
      <c r="CY8" s="264" t="str">
        <f>IF(J8&lt;&gt;"Prev. Pro","",IF(AC8="","Non",IF(J8="Prev. Pro","Oui","Non")))</f>
        <v>Oui</v>
      </c>
      <c r="CZ8" s="264" t="s">
        <v>356</v>
      </c>
      <c r="DA8" s="264" t="s">
        <v>351</v>
      </c>
      <c r="DB8" s="266">
        <v>1666</v>
      </c>
      <c r="DC8" s="264" t="s">
        <v>343</v>
      </c>
      <c r="DD8" s="264" t="s">
        <v>363</v>
      </c>
      <c r="DE8" s="266">
        <v>0</v>
      </c>
      <c r="DF8" s="266">
        <v>40000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350</v>
      </c>
      <c r="DL8" s="267"/>
      <c r="DM8" s="261">
        <f t="shared" si="38"/>
        <v>0</v>
      </c>
      <c r="DN8" s="295" t="str">
        <f t="shared" si="39"/>
        <v>OK</v>
      </c>
    </row>
    <row r="9" spans="1:118" x14ac:dyDescent="0.25">
      <c r="A9" s="599" t="str">
        <f t="shared" si="40"/>
        <v>COLIN Christophe - APRIL - Autre</v>
      </c>
      <c r="B9" s="306"/>
      <c r="C9" s="305" t="s">
        <v>140</v>
      </c>
      <c r="D9" s="301" t="s">
        <v>1239</v>
      </c>
      <c r="E9" s="276">
        <v>43191</v>
      </c>
      <c r="F9" s="278" t="s">
        <v>546</v>
      </c>
      <c r="G9" s="311" t="s">
        <v>170</v>
      </c>
      <c r="H9" s="276">
        <v>43161</v>
      </c>
      <c r="I9" s="313">
        <f t="shared" si="1"/>
        <v>30</v>
      </c>
      <c r="J9" s="312" t="s">
        <v>77</v>
      </c>
      <c r="K9" s="268" t="s">
        <v>33</v>
      </c>
      <c r="L9" s="277" t="s">
        <v>162</v>
      </c>
      <c r="M9" s="279">
        <v>98.45</v>
      </c>
      <c r="N9" s="280">
        <v>98.45</v>
      </c>
      <c r="O9" s="280"/>
      <c r="P9" s="455" t="s">
        <v>86</v>
      </c>
      <c r="Q9" s="281" t="str">
        <f t="shared" si="2"/>
        <v/>
      </c>
      <c r="R9" s="282">
        <f t="shared" si="3"/>
        <v>1181.4000000000001</v>
      </c>
      <c r="S9" s="268" t="s">
        <v>14</v>
      </c>
      <c r="T9" s="376">
        <v>5</v>
      </c>
      <c r="U9" s="284">
        <f>IF(M9=0,0,IF(G9="Annulation","",IF(assurance="ALPTIS",M9*12*T9/100*'1805 Data'!$K$4,IF(assurance="APRIL",M9*12*T9/100*'1805 Data'!$F$4,IF(assurance="ASAF",M9*12*T9/100*'1805 Data'!$I$4,IF(assurance="NEOLIANE",('1805 Data'!$G$5+M9*12*'1805 Data'!$G$4)*T9/100,IF(assurance="NEOLIANE Prev",('1805 Data'!$H$5+M9*12*'1805 Data'!$H$4)*T9/100,IF(assurance="SWISSLIFE",M9*12*T9/100*'1805 Data'!$J$4,IF(assurance="AVIVA",M9*12*T9/100*'1805 Data'!$L$4,IF(assurance="CIPRES",M9*12*T9/100*'1805 Data'!$M$4,IF(assurance="CEGEMA",M9*12*T9/100*'1805 Data'!$N$4,IF(assurance=0,0))))))))))))</f>
        <v>6.4977</v>
      </c>
      <c r="V9" s="298">
        <f t="shared" si="4"/>
        <v>0</v>
      </c>
      <c r="W9" s="298">
        <f t="shared" si="5"/>
        <v>4.9225000000000003</v>
      </c>
      <c r="X9" s="299">
        <f t="shared" si="6"/>
        <v>0</v>
      </c>
      <c r="Y9" s="368">
        <f t="shared" si="7"/>
        <v>4.3810250000000002</v>
      </c>
      <c r="Z9" s="314">
        <v>43191</v>
      </c>
      <c r="AA9" s="313">
        <f t="shared" si="8"/>
        <v>0</v>
      </c>
      <c r="AB9" s="268" t="s">
        <v>13</v>
      </c>
      <c r="AC9" s="277"/>
      <c r="AD9" s="309" t="str">
        <f>IF(Z9=43466,"Programmée","")</f>
        <v/>
      </c>
      <c r="AE9" s="286" t="str">
        <f t="shared" si="9"/>
        <v/>
      </c>
      <c r="AF9" s="277"/>
      <c r="AG9" s="275">
        <f t="shared" si="10"/>
        <v>43466</v>
      </c>
      <c r="AH9" s="287">
        <f t="shared" ca="1" si="11"/>
        <v>0.18630136986301371</v>
      </c>
      <c r="AI9" s="373">
        <f t="shared" ca="1" si="12"/>
        <v>43466</v>
      </c>
      <c r="AJ9" s="275">
        <f t="shared" ca="1" si="13"/>
        <v>43404</v>
      </c>
      <c r="AK9" s="296">
        <f t="shared" ca="1" si="14"/>
        <v>43374</v>
      </c>
      <c r="AL9" s="287">
        <f t="shared" ca="1" si="15"/>
        <v>0.75342465753424659</v>
      </c>
      <c r="AM9" s="279">
        <f t="shared" si="16"/>
        <v>0</v>
      </c>
      <c r="AN9" s="279">
        <f t="shared" si="17"/>
        <v>0</v>
      </c>
      <c r="AO9" s="288">
        <f t="shared" si="18"/>
        <v>0</v>
      </c>
      <c r="AP9" s="279">
        <f t="shared" si="19"/>
        <v>98.45</v>
      </c>
      <c r="AQ9" s="288">
        <f t="shared" si="20"/>
        <v>0</v>
      </c>
      <c r="AR9" s="289">
        <f t="shared" si="21"/>
        <v>0</v>
      </c>
      <c r="AS9" s="279">
        <f t="shared" si="22"/>
        <v>0</v>
      </c>
      <c r="AT9" s="288">
        <f t="shared" si="23"/>
        <v>-1</v>
      </c>
      <c r="AU9" s="289">
        <f t="shared" si="24"/>
        <v>0</v>
      </c>
      <c r="AV9" s="279">
        <f t="shared" si="25"/>
        <v>0</v>
      </c>
      <c r="AW9" s="288">
        <f t="shared" si="26"/>
        <v>0</v>
      </c>
      <c r="AX9" s="289">
        <f t="shared" si="27"/>
        <v>-1</v>
      </c>
      <c r="AY9" s="268" t="s">
        <v>278</v>
      </c>
      <c r="AZ9" s="291" t="s">
        <v>13</v>
      </c>
      <c r="BA9" s="292">
        <v>13012</v>
      </c>
      <c r="BB9" s="303" t="s">
        <v>1240</v>
      </c>
      <c r="BC9" s="293">
        <v>660661962</v>
      </c>
      <c r="BD9" s="293"/>
      <c r="BE9" s="304" t="s">
        <v>1243</v>
      </c>
      <c r="BF9" s="274"/>
      <c r="BG9" s="270"/>
      <c r="BH9" s="268">
        <v>1</v>
      </c>
      <c r="BI9" s="273">
        <v>1</v>
      </c>
      <c r="BJ9" s="276">
        <v>27916</v>
      </c>
      <c r="BK9" s="294" t="s">
        <v>202</v>
      </c>
      <c r="BL9" s="269">
        <f t="shared" ca="1" si="28"/>
        <v>42</v>
      </c>
      <c r="BM9" s="270"/>
      <c r="BN9" s="271"/>
      <c r="BO9" s="272" t="str">
        <f t="shared" ca="1" si="29"/>
        <v/>
      </c>
      <c r="BP9" s="270"/>
      <c r="BQ9" s="271"/>
      <c r="BR9" s="272" t="str">
        <f t="shared" ca="1" si="30"/>
        <v/>
      </c>
      <c r="BS9" s="270"/>
      <c r="BT9" s="271"/>
      <c r="BU9" s="272" t="str">
        <f t="shared" ca="1" si="31"/>
        <v/>
      </c>
      <c r="BV9" s="270"/>
      <c r="BW9" s="271"/>
      <c r="BX9" s="272" t="str">
        <f t="shared" ca="1" si="32"/>
        <v/>
      </c>
      <c r="BY9" s="270"/>
      <c r="BZ9" s="271"/>
      <c r="CA9" s="272" t="str">
        <f t="shared" ca="1" si="33"/>
        <v/>
      </c>
      <c r="CB9" s="270"/>
      <c r="CC9" s="271"/>
      <c r="CD9" s="272" t="str">
        <f t="shared" ca="1" si="34"/>
        <v/>
      </c>
      <c r="CE9" s="270"/>
      <c r="CF9" s="271"/>
      <c r="CG9" s="272" t="str">
        <f t="shared" ca="1" si="35"/>
        <v/>
      </c>
      <c r="CH9" s="270"/>
      <c r="CI9" s="271"/>
      <c r="CJ9" s="272" t="str">
        <f t="shared" ca="1" si="36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37"/>
        <v/>
      </c>
      <c r="CU9" s="264"/>
      <c r="CV9" s="265"/>
      <c r="CW9" s="264"/>
      <c r="CX9" s="264"/>
      <c r="CY9" s="264" t="s">
        <v>1287</v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38"/>
        <v>0</v>
      </c>
      <c r="DN9" s="295" t="str">
        <f t="shared" si="39"/>
        <v>OK</v>
      </c>
    </row>
    <row r="10" spans="1:118" x14ac:dyDescent="0.25">
      <c r="A10" s="599" t="str">
        <f t="shared" si="40"/>
        <v>SIMON Gwenaele - APRIL - Prev. Pro</v>
      </c>
      <c r="B10" s="306"/>
      <c r="C10" s="305" t="s">
        <v>518</v>
      </c>
      <c r="D10" s="301" t="s">
        <v>519</v>
      </c>
      <c r="E10" s="276">
        <v>43223</v>
      </c>
      <c r="F10" s="278" t="s">
        <v>547</v>
      </c>
      <c r="G10" s="311" t="s">
        <v>170</v>
      </c>
      <c r="H10" s="276">
        <v>43194</v>
      </c>
      <c r="I10" s="313">
        <f t="shared" si="1"/>
        <v>29</v>
      </c>
      <c r="J10" s="312" t="s">
        <v>16</v>
      </c>
      <c r="K10" s="268" t="s">
        <v>33</v>
      </c>
      <c r="L10" s="277" t="s">
        <v>34</v>
      </c>
      <c r="M10" s="279">
        <v>43.18</v>
      </c>
      <c r="N10" s="280">
        <v>43.18</v>
      </c>
      <c r="O10" s="280"/>
      <c r="P10" s="455" t="s">
        <v>57</v>
      </c>
      <c r="Q10" s="281" t="str">
        <f t="shared" si="2"/>
        <v/>
      </c>
      <c r="R10" s="282">
        <f t="shared" si="3"/>
        <v>518.16</v>
      </c>
      <c r="S10" s="268" t="s">
        <v>14</v>
      </c>
      <c r="T10" s="283">
        <f>IF(G10="Annulation","",IF(assurance="ALPTIS",25,IF(assurance="APRIL",25,IF(assurance="ASAF",17.5,IF(assurance="NEOLIANE",25,IF(assurance="NEOLIANE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0" s="284">
        <f>IF(M10=0,0,IF(G10="Annulation","",IF(assurance="ALPTIS",M10*12*T10/100*'1805 Data'!$K$4,IF(assurance="APRIL",M10*12*T10/100*'1805 Data'!$F$4,IF(assurance="ASAF",M10*12*T10/100*'1805 Data'!$I$4,IF(assurance="NEOLIANE",('1805 Data'!$G$5+M10*12*'1805 Data'!$G$4)*T10/100,IF(assurance="NEOLIANE Prev",('1805 Data'!$H$5+M10*12*'1805 Data'!$H$4)*T10/100,IF(assurance="SWISSLIFE",M10*12*T10/100*'1805 Data'!$J$4,IF(assurance="AVIVA",M10*12*T10/100*'1805 Data'!$L$4,IF(assurance="CIPRES",M10*12*T10/100*'1805 Data'!$M$4,IF(assurance="CEGEMA",M10*12*T10/100*'1805 Data'!$N$4,IF(assurance=0,0))))))))))))</f>
        <v>14.2494</v>
      </c>
      <c r="V10" s="298">
        <f t="shared" si="4"/>
        <v>0</v>
      </c>
      <c r="W10" s="298">
        <f t="shared" si="5"/>
        <v>10.795</v>
      </c>
      <c r="X10" s="299">
        <f t="shared" si="6"/>
        <v>0</v>
      </c>
      <c r="Y10" s="368">
        <f t="shared" si="7"/>
        <v>9.6075499999999998</v>
      </c>
      <c r="Z10" s="314">
        <v>43224</v>
      </c>
      <c r="AA10" s="313">
        <f t="shared" si="8"/>
        <v>1</v>
      </c>
      <c r="AB10" s="268" t="s">
        <v>13</v>
      </c>
      <c r="AC10" s="277"/>
      <c r="AD10" s="309" t="str">
        <f>IF(Z10=43466,"Programmée","")</f>
        <v/>
      </c>
      <c r="AE10" s="286" t="str">
        <f t="shared" si="9"/>
        <v/>
      </c>
      <c r="AF10" s="277"/>
      <c r="AG10" s="275">
        <f t="shared" si="10"/>
        <v>43466</v>
      </c>
      <c r="AH10" s="287">
        <f t="shared" ca="1" si="11"/>
        <v>9.5890410958904104E-2</v>
      </c>
      <c r="AI10" s="373">
        <f t="shared" ca="1" si="12"/>
        <v>43466</v>
      </c>
      <c r="AJ10" s="275">
        <f t="shared" ca="1" si="13"/>
        <v>43404</v>
      </c>
      <c r="AK10" s="296">
        <f t="shared" ca="1" si="14"/>
        <v>43374</v>
      </c>
      <c r="AL10" s="287">
        <f t="shared" ca="1" si="15"/>
        <v>0.66301369863013704</v>
      </c>
      <c r="AM10" s="279">
        <f t="shared" si="16"/>
        <v>0</v>
      </c>
      <c r="AN10" s="279">
        <f t="shared" si="17"/>
        <v>0</v>
      </c>
      <c r="AO10" s="288">
        <f t="shared" si="18"/>
        <v>0</v>
      </c>
      <c r="AP10" s="279">
        <f t="shared" si="19"/>
        <v>43.18</v>
      </c>
      <c r="AQ10" s="288">
        <f t="shared" ref="AQ10:AQ11" si="43">IF(G10="Annulation","",IF(AN10&gt;0,(AN10-AP10)/AN10*(-1),))</f>
        <v>0</v>
      </c>
      <c r="AR10" s="289">
        <f t="shared" ref="AR10:AR11" si="44">IF(G10="Annulation","",IF(AND(AM10&lt;=0,AN10&lt;=0,AO10&lt;=0),0,IF(AND(AM10&lt;=0,AN10&lt;=0,AO10&gt;0),(AP10-AO10)/AO10,0+IF(AND(AM10&lt;=0,AN10&gt;0,AO10&lt;=0),(AP10-AN10)/AN10,0+IF(AND(AM10&gt;0,AN10&lt;=0,AO10&lt;=0),(AP10-AM10)/AM10,0+IF(AND(AM10&lt;=0,AN10&gt;0,AO10&gt;0),(AP10-AN10)/AN10,0+IF(AND(AM10&gt;0,AN10&lt;=0,AO10&gt;0),(AP10-AM10)/AM10,0+IF(AND(AM10&lt;=0,AN10&gt;0,AO10&gt;0),(AP10-AN10)/AN10,0+IF(AND(AM10&gt;0,AN10&gt;0,AO10&lt;=0),(AP10-AM10)/AM10,0+IF(AND(AM10&gt;0,AN10&gt;0,AO10&gt;0),(AP10-AM10)/AM10,0))))))))))</f>
        <v>0</v>
      </c>
      <c r="AS10" s="279">
        <f t="shared" si="22"/>
        <v>0</v>
      </c>
      <c r="AT10" s="288">
        <f t="shared" si="23"/>
        <v>-1</v>
      </c>
      <c r="AU10" s="289">
        <f t="shared" si="24"/>
        <v>0</v>
      </c>
      <c r="AV10" s="279">
        <f t="shared" si="25"/>
        <v>0</v>
      </c>
      <c r="AW10" s="288">
        <f t="shared" si="26"/>
        <v>0</v>
      </c>
      <c r="AX10" s="289">
        <f t="shared" si="27"/>
        <v>-1</v>
      </c>
      <c r="AY10" s="290" t="s">
        <v>278</v>
      </c>
      <c r="AZ10" s="291">
        <v>681276200</v>
      </c>
      <c r="BA10" s="292">
        <v>17610</v>
      </c>
      <c r="BB10" s="303" t="s">
        <v>521</v>
      </c>
      <c r="BC10" s="293" t="s">
        <v>522</v>
      </c>
      <c r="BD10" s="293"/>
      <c r="BE10" s="304" t="s">
        <v>1309</v>
      </c>
      <c r="BF10" s="274"/>
      <c r="BG10" s="270"/>
      <c r="BH10" s="268">
        <v>1</v>
      </c>
      <c r="BI10" s="273">
        <v>2</v>
      </c>
      <c r="BJ10" s="276">
        <v>29994</v>
      </c>
      <c r="BK10" s="294" t="s">
        <v>202</v>
      </c>
      <c r="BL10" s="269">
        <f t="shared" ca="1" si="28"/>
        <v>36</v>
      </c>
      <c r="BM10" s="270"/>
      <c r="BN10" s="271"/>
      <c r="BO10" s="272" t="str">
        <f t="shared" ca="1" si="29"/>
        <v/>
      </c>
      <c r="BP10" s="270"/>
      <c r="BQ10" s="271"/>
      <c r="BR10" s="272" t="str">
        <f t="shared" ca="1" si="30"/>
        <v/>
      </c>
      <c r="BS10" s="270"/>
      <c r="BT10" s="271"/>
      <c r="BU10" s="272" t="str">
        <f t="shared" ca="1" si="31"/>
        <v/>
      </c>
      <c r="BV10" s="270"/>
      <c r="BW10" s="271"/>
      <c r="BX10" s="272" t="str">
        <f t="shared" ca="1" si="32"/>
        <v/>
      </c>
      <c r="BY10" s="270"/>
      <c r="BZ10" s="271"/>
      <c r="CA10" s="272" t="str">
        <f t="shared" ca="1" si="33"/>
        <v/>
      </c>
      <c r="CB10" s="270"/>
      <c r="CC10" s="271"/>
      <c r="CD10" s="272" t="str">
        <f t="shared" ca="1" si="34"/>
        <v/>
      </c>
      <c r="CE10" s="270"/>
      <c r="CF10" s="271"/>
      <c r="CG10" s="272" t="str">
        <f t="shared" ca="1" si="35"/>
        <v/>
      </c>
      <c r="CH10" s="270"/>
      <c r="CI10" s="271"/>
      <c r="CJ10" s="272" t="str">
        <f t="shared" ca="1" si="36"/>
        <v/>
      </c>
      <c r="CK10" s="262"/>
      <c r="CL10" s="264"/>
      <c r="CM10" s="264"/>
      <c r="CN10" s="264"/>
      <c r="CO10" s="264"/>
      <c r="CP10" s="264"/>
      <c r="CQ10" s="264"/>
      <c r="CR10" s="262" t="s">
        <v>523</v>
      </c>
      <c r="CS10" s="263" t="s">
        <v>524</v>
      </c>
      <c r="CT10" s="297">
        <f t="shared" ca="1" si="37"/>
        <v>36</v>
      </c>
      <c r="CU10" s="264" t="s">
        <v>308</v>
      </c>
      <c r="CV10" s="265">
        <v>42658</v>
      </c>
      <c r="CW10" s="264" t="s">
        <v>351</v>
      </c>
      <c r="CX10" s="264" t="s">
        <v>350</v>
      </c>
      <c r="CY10" s="264" t="s">
        <v>351</v>
      </c>
      <c r="CZ10" s="264" t="s">
        <v>356</v>
      </c>
      <c r="DA10" s="264" t="s">
        <v>386</v>
      </c>
      <c r="DB10" s="266">
        <v>1650</v>
      </c>
      <c r="DC10" s="264" t="s">
        <v>343</v>
      </c>
      <c r="DD10" s="264" t="s">
        <v>362</v>
      </c>
      <c r="DE10" s="266">
        <v>0</v>
      </c>
      <c r="DF10" s="266">
        <v>79000</v>
      </c>
      <c r="DG10" s="264" t="s">
        <v>35</v>
      </c>
      <c r="DH10" s="266">
        <v>0</v>
      </c>
      <c r="DI10" s="266">
        <v>0</v>
      </c>
      <c r="DJ10" s="264" t="s">
        <v>351</v>
      </c>
      <c r="DK10" s="264" t="s">
        <v>351</v>
      </c>
      <c r="DL10" s="267" t="s">
        <v>525</v>
      </c>
      <c r="DM10" s="261">
        <f t="shared" si="38"/>
        <v>0</v>
      </c>
      <c r="DN10" s="295" t="str">
        <f t="shared" si="39"/>
        <v>OK</v>
      </c>
    </row>
    <row r="11" spans="1:118" x14ac:dyDescent="0.25">
      <c r="A11" s="599" t="str">
        <f t="shared" si="40"/>
        <v>SIMON Gwenaele - APRIL - Santé Individuelle</v>
      </c>
      <c r="B11" s="306"/>
      <c r="C11" s="305" t="s">
        <v>518</v>
      </c>
      <c r="D11" s="301" t="s">
        <v>519</v>
      </c>
      <c r="E11" s="276">
        <v>43223</v>
      </c>
      <c r="F11" s="278" t="s">
        <v>547</v>
      </c>
      <c r="G11" s="311" t="s">
        <v>170</v>
      </c>
      <c r="H11" s="276">
        <v>43194</v>
      </c>
      <c r="I11" s="313">
        <f t="shared" si="1"/>
        <v>29</v>
      </c>
      <c r="J11" s="312" t="s">
        <v>20</v>
      </c>
      <c r="K11" s="268" t="s">
        <v>33</v>
      </c>
      <c r="L11" s="277" t="s">
        <v>520</v>
      </c>
      <c r="M11" s="279">
        <v>55.83</v>
      </c>
      <c r="N11" s="280">
        <v>55.83</v>
      </c>
      <c r="O11" s="280"/>
      <c r="P11" s="455" t="s">
        <v>57</v>
      </c>
      <c r="Q11" s="281" t="str">
        <f t="shared" si="2"/>
        <v/>
      </c>
      <c r="R11" s="282">
        <f t="shared" si="3"/>
        <v>669.96</v>
      </c>
      <c r="S11" s="268" t="s">
        <v>18</v>
      </c>
      <c r="T11" s="283">
        <f>IF(G11="Annulation","",IF(assurance="ALPTIS",25,IF(assurance="APRIL",25,IF(assurance="ASAF",17.5,IF(assurance="NEOLIANE",25,IF(assurance="NEOLIANE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1" s="284">
        <f>IF(M11=0,0,IF(G11="Annulation","",IF(assurance="ALPTIS",M11*12*T11/100*'1805 Data'!$K$4,IF(assurance="APRIL",M11*12*T11/100*'1805 Data'!$F$4,IF(assurance="ASAF",M11*12*T11/100*'1805 Data'!$I$4,IF(assurance="NEOLIANE",('1805 Data'!$G$5+M11*12*'1805 Data'!$G$4)*T11/100,IF(assurance="NEOLIANE Prev",('1805 Data'!$H$5+M11*12*'1805 Data'!$H$4)*T11/100,IF(assurance="SWISSLIFE",M11*12*T11/100*'1805 Data'!$J$4,IF(assurance="AVIVA",M11*12*T11/100*'1805 Data'!$L$4,IF(assurance="CIPRES",M11*12*T11/100*'1805 Data'!$M$4,IF(assurance="CEGEMA",M11*12*T11/100*'1805 Data'!$N$4,IF(assurance=0,0))))))))))))</f>
        <v>18.4239</v>
      </c>
      <c r="V11" s="298">
        <f t="shared" si="4"/>
        <v>167.49</v>
      </c>
      <c r="W11" s="298">
        <f t="shared" si="5"/>
        <v>0</v>
      </c>
      <c r="X11" s="299">
        <f t="shared" si="6"/>
        <v>149.06610000000001</v>
      </c>
      <c r="Y11" s="368">
        <f t="shared" si="7"/>
        <v>0</v>
      </c>
      <c r="Z11" s="314">
        <v>43466</v>
      </c>
      <c r="AA11" s="313">
        <f t="shared" si="8"/>
        <v>243</v>
      </c>
      <c r="AB11" s="268" t="s">
        <v>35</v>
      </c>
      <c r="AC11" s="277" t="s">
        <v>385</v>
      </c>
      <c r="AD11" s="309" t="s">
        <v>99</v>
      </c>
      <c r="AE11" s="286">
        <f t="shared" si="9"/>
        <v>43404</v>
      </c>
      <c r="AF11" s="277"/>
      <c r="AG11" s="275">
        <f t="shared" si="10"/>
        <v>43831</v>
      </c>
      <c r="AH11" s="287">
        <f t="shared" ca="1" si="11"/>
        <v>-0.56712328767123288</v>
      </c>
      <c r="AI11" s="373">
        <f t="shared" ca="1" si="12"/>
        <v>43831</v>
      </c>
      <c r="AJ11" s="275">
        <f t="shared" ca="1" si="13"/>
        <v>43769</v>
      </c>
      <c r="AK11" s="296">
        <f t="shared" ca="1" si="14"/>
        <v>43739</v>
      </c>
      <c r="AL11" s="287">
        <f t="shared" ca="1" si="15"/>
        <v>1</v>
      </c>
      <c r="AM11" s="279">
        <f t="shared" si="16"/>
        <v>0</v>
      </c>
      <c r="AN11" s="279">
        <f t="shared" si="17"/>
        <v>0</v>
      </c>
      <c r="AO11" s="288">
        <f t="shared" si="18"/>
        <v>0</v>
      </c>
      <c r="AP11" s="279">
        <f t="shared" si="19"/>
        <v>0</v>
      </c>
      <c r="AQ11" s="288">
        <f t="shared" si="43"/>
        <v>0</v>
      </c>
      <c r="AR11" s="289">
        <f t="shared" si="44"/>
        <v>0</v>
      </c>
      <c r="AS11" s="279">
        <f t="shared" si="22"/>
        <v>55.83</v>
      </c>
      <c r="AT11" s="288">
        <f t="shared" si="23"/>
        <v>0</v>
      </c>
      <c r="AU11" s="289">
        <f t="shared" si="24"/>
        <v>0</v>
      </c>
      <c r="AV11" s="279">
        <f t="shared" si="25"/>
        <v>0</v>
      </c>
      <c r="AW11" s="288">
        <f t="shared" si="26"/>
        <v>-1</v>
      </c>
      <c r="AX11" s="289">
        <f t="shared" si="27"/>
        <v>-1</v>
      </c>
      <c r="AY11" s="290" t="s">
        <v>278</v>
      </c>
      <c r="AZ11" s="291">
        <v>681276300</v>
      </c>
      <c r="BA11" s="292">
        <v>17610</v>
      </c>
      <c r="BB11" s="303" t="s">
        <v>521</v>
      </c>
      <c r="BC11" s="293" t="s">
        <v>522</v>
      </c>
      <c r="BD11" s="293"/>
      <c r="BE11" s="304" t="s">
        <v>1309</v>
      </c>
      <c r="BF11" s="274" t="s">
        <v>1310</v>
      </c>
      <c r="BG11" s="270"/>
      <c r="BH11" s="268">
        <v>1</v>
      </c>
      <c r="BI11" s="273">
        <v>1</v>
      </c>
      <c r="BJ11" s="276">
        <v>29994</v>
      </c>
      <c r="BK11" s="294" t="s">
        <v>202</v>
      </c>
      <c r="BL11" s="269">
        <f t="shared" ca="1" si="28"/>
        <v>36</v>
      </c>
      <c r="BM11" s="270"/>
      <c r="BN11" s="271"/>
      <c r="BO11" s="272" t="str">
        <f t="shared" ca="1" si="29"/>
        <v/>
      </c>
      <c r="BP11" s="270">
        <v>42052</v>
      </c>
      <c r="BQ11" s="271" t="s">
        <v>202</v>
      </c>
      <c r="BR11" s="272">
        <f t="shared" ca="1" si="30"/>
        <v>3</v>
      </c>
      <c r="BS11" s="270"/>
      <c r="BT11" s="271"/>
      <c r="BU11" s="272" t="str">
        <f t="shared" ca="1" si="31"/>
        <v/>
      </c>
      <c r="BV11" s="270"/>
      <c r="BW11" s="271"/>
      <c r="BX11" s="272" t="str">
        <f t="shared" ca="1" si="32"/>
        <v/>
      </c>
      <c r="BY11" s="270"/>
      <c r="BZ11" s="271"/>
      <c r="CA11" s="272" t="str">
        <f t="shared" ca="1" si="33"/>
        <v/>
      </c>
      <c r="CB11" s="270"/>
      <c r="CC11" s="271"/>
      <c r="CD11" s="272" t="str">
        <f t="shared" ca="1" si="34"/>
        <v/>
      </c>
      <c r="CE11" s="270"/>
      <c r="CF11" s="271"/>
      <c r="CG11" s="272" t="str">
        <f t="shared" ca="1" si="35"/>
        <v/>
      </c>
      <c r="CH11" s="270"/>
      <c r="CI11" s="271"/>
      <c r="CJ11" s="272" t="str">
        <f t="shared" ca="1" si="36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37"/>
        <v/>
      </c>
      <c r="CU11" s="264"/>
      <c r="CV11" s="265"/>
      <c r="CW11" s="264"/>
      <c r="CX11" s="264"/>
      <c r="CY11" s="264" t="str">
        <f>IF(J11&lt;&gt;"Prev. Pro","",IF(AC11="","Non",IF(J11="Prev. Pro","Oui","Non")))</f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38"/>
        <v>0</v>
      </c>
      <c r="DN11" s="295" t="str">
        <f t="shared" si="39"/>
        <v>OK</v>
      </c>
    </row>
  </sheetData>
  <sortState ref="C2:DO13">
    <sortCondition ref="E1"/>
  </sortState>
  <mergeCells count="1">
    <mergeCell ref="A1:B1"/>
  </mergeCells>
  <conditionalFormatting sqref="BG6:BG8 CH2:CH11 CE2:CE11 CB2:CB11 BY2:BY11 BV2:BV11 BP2:BP11 BM2:BM11 BS1:BS11">
    <cfRule type="expression" dxfId="2314" priority="1419">
      <formula>$J1="Santé Individuelle"</formula>
    </cfRule>
  </conditionalFormatting>
  <conditionalFormatting sqref="BO6:BO8 BR2:BR11 BX2:BX11 CA2:CA11 CD2:CD11 CG2:CG11 CJ2:CJ11 BU1:BU11">
    <cfRule type="expression" dxfId="2313" priority="1420">
      <formula>$J1="Santé Individuelle"</formula>
    </cfRule>
  </conditionalFormatting>
  <conditionalFormatting sqref="BV1">
    <cfRule type="expression" dxfId="2312" priority="1415">
      <formula>$J1="Santé Individuelle"</formula>
    </cfRule>
  </conditionalFormatting>
  <conditionalFormatting sqref="BX1">
    <cfRule type="expression" dxfId="2311" priority="1416">
      <formula>$J1="Santé Individuelle"</formula>
    </cfRule>
  </conditionalFormatting>
  <conditionalFormatting sqref="BY1">
    <cfRule type="expression" dxfId="2310" priority="1411">
      <formula>$J1="Santé Individuelle"</formula>
    </cfRule>
  </conditionalFormatting>
  <conditionalFormatting sqref="CA1">
    <cfRule type="expression" dxfId="2309" priority="1412">
      <formula>$J1="Santé Individuelle"</formula>
    </cfRule>
  </conditionalFormatting>
  <conditionalFormatting sqref="CB1">
    <cfRule type="expression" dxfId="2308" priority="1407">
      <formula>$J1="Santé Individuelle"</formula>
    </cfRule>
  </conditionalFormatting>
  <conditionalFormatting sqref="CD1">
    <cfRule type="expression" dxfId="2307" priority="1408">
      <formula>$J1="Santé Individuelle"</formula>
    </cfRule>
  </conditionalFormatting>
  <conditionalFormatting sqref="CE1">
    <cfRule type="expression" dxfId="2306" priority="1403">
      <formula>$J1="Santé Individuelle"</formula>
    </cfRule>
  </conditionalFormatting>
  <conditionalFormatting sqref="CG1">
    <cfRule type="expression" dxfId="2305" priority="1404">
      <formula>$J1="Santé Individuelle"</formula>
    </cfRule>
  </conditionalFormatting>
  <conditionalFormatting sqref="CH1">
    <cfRule type="expression" dxfId="2304" priority="1399">
      <formula>$J1="Santé Individuelle"</formula>
    </cfRule>
  </conditionalFormatting>
  <conditionalFormatting sqref="CJ1">
    <cfRule type="expression" dxfId="2303" priority="1400">
      <formula>$J1="Santé Individuelle"</formula>
    </cfRule>
  </conditionalFormatting>
  <conditionalFormatting sqref="BM1">
    <cfRule type="expression" dxfId="2302" priority="1425">
      <formula>$BH1=1</formula>
    </cfRule>
  </conditionalFormatting>
  <conditionalFormatting sqref="BO1">
    <cfRule type="expression" dxfId="2301" priority="1426">
      <formula>$BH1=1</formula>
    </cfRule>
  </conditionalFormatting>
  <conditionalFormatting sqref="BP1">
    <cfRule type="expression" dxfId="2300" priority="1423">
      <formula>$J1="Santé Individuelle"</formula>
    </cfRule>
  </conditionalFormatting>
  <conditionalFormatting sqref="BR1">
    <cfRule type="expression" dxfId="2299" priority="1424">
      <formula>$J1="Santé Individuelle"</formula>
    </cfRule>
  </conditionalFormatting>
  <conditionalFormatting sqref="BP1">
    <cfRule type="expression" dxfId="2298" priority="1422">
      <formula>$BI1=0</formula>
    </cfRule>
  </conditionalFormatting>
  <conditionalFormatting sqref="BR1">
    <cfRule type="expression" dxfId="2297" priority="1421">
      <formula>$BI1=0</formula>
    </cfRule>
  </conditionalFormatting>
  <conditionalFormatting sqref="BS1">
    <cfRule type="expression" dxfId="2296" priority="1418">
      <formula>$BI1&lt;2</formula>
    </cfRule>
  </conditionalFormatting>
  <conditionalFormatting sqref="BU1">
    <cfRule type="expression" dxfId="2295" priority="1417">
      <formula>$BI1&lt;2</formula>
    </cfRule>
  </conditionalFormatting>
  <conditionalFormatting sqref="BV1">
    <cfRule type="expression" dxfId="2294" priority="1414">
      <formula>$BI1&lt;3</formula>
    </cfRule>
  </conditionalFormatting>
  <conditionalFormatting sqref="BX1">
    <cfRule type="expression" dxfId="2293" priority="1413">
      <formula>$BI1&lt;3</formula>
    </cfRule>
  </conditionalFormatting>
  <conditionalFormatting sqref="BY1">
    <cfRule type="expression" dxfId="2292" priority="1410">
      <formula>$BI1&lt;4</formula>
    </cfRule>
  </conditionalFormatting>
  <conditionalFormatting sqref="CA1">
    <cfRule type="expression" dxfId="2291" priority="1409">
      <formula>$BI1&lt;4</formula>
    </cfRule>
  </conditionalFormatting>
  <conditionalFormatting sqref="CB1">
    <cfRule type="expression" dxfId="2290" priority="1406">
      <formula>$BI1&lt;5</formula>
    </cfRule>
  </conditionalFormatting>
  <conditionalFormatting sqref="CD1">
    <cfRule type="expression" dxfId="2289" priority="1405">
      <formula>$BI1&lt;5</formula>
    </cfRule>
  </conditionalFormatting>
  <conditionalFormatting sqref="CE1">
    <cfRule type="expression" dxfId="2288" priority="1402">
      <formula>$BI1&lt;6</formula>
    </cfRule>
  </conditionalFormatting>
  <conditionalFormatting sqref="CG1">
    <cfRule type="expression" dxfId="2287" priority="1401">
      <formula>$BI1&lt;6</formula>
    </cfRule>
  </conditionalFormatting>
  <conditionalFormatting sqref="CH1">
    <cfRule type="expression" dxfId="2286" priority="1398">
      <formula>$BI1&lt;7</formula>
    </cfRule>
  </conditionalFormatting>
  <conditionalFormatting sqref="CJ1">
    <cfRule type="expression" dxfId="2285" priority="1397">
      <formula>$BI1&lt;7</formula>
    </cfRule>
  </conditionalFormatting>
  <conditionalFormatting sqref="C1:H1 AY1:DL1 J1:X1">
    <cfRule type="notContainsBlanks" dxfId="2284" priority="1396">
      <formula>LEN(TRIM(C1))&gt;0</formula>
    </cfRule>
  </conditionalFormatting>
  <conditionalFormatting sqref="A1">
    <cfRule type="containsText" dxfId="2283" priority="1392" operator="containsText" text="Trans.">
      <formula>NOT(ISERROR(SEARCH("Trans.",A1)))</formula>
    </cfRule>
    <cfRule type="containsText" dxfId="2282" priority="1393" operator="containsText" text="Inter.">
      <formula>NOT(ISERROR(SEARCH("Inter.",A1)))</formula>
    </cfRule>
    <cfRule type="containsText" dxfId="2281" priority="1394" operator="containsText" text="Tout">
      <formula>NOT(ISERROR(SEARCH("Tout",A1)))</formula>
    </cfRule>
    <cfRule type="containsText" dxfId="2280" priority="1395" operator="containsText" text="Mini">
      <formula>NOT(ISERROR(SEARCH("Mini",A1)))</formula>
    </cfRule>
  </conditionalFormatting>
  <conditionalFormatting sqref="A1">
    <cfRule type="notContainsBlanks" dxfId="2279" priority="1391">
      <formula>LEN(TRIM(A1))&gt;0</formula>
    </cfRule>
  </conditionalFormatting>
  <conditionalFormatting sqref="AB1:AC1">
    <cfRule type="notContainsBlanks" dxfId="2278" priority="1390">
      <formula>LEN(TRIM(AB1))&gt;0</formula>
    </cfRule>
  </conditionalFormatting>
  <conditionalFormatting sqref="AD1">
    <cfRule type="notContainsBlanks" dxfId="2277" priority="1389">
      <formula>LEN(TRIM(AD1))&gt;0</formula>
    </cfRule>
  </conditionalFormatting>
  <conditionalFormatting sqref="BH7:BH8 AB8:AD8 G7:H8 AH7:AH8 BJ7:BL8 T7:T8 V7:X8 U2:U8 AE6:AE8 AB7">
    <cfRule type="containsBlanks" dxfId="2276" priority="1290">
      <formula>LEN(TRIM(G2))=0</formula>
    </cfRule>
    <cfRule type="cellIs" dxfId="2275" priority="1386" operator="equal">
      <formula>0</formula>
    </cfRule>
  </conditionalFormatting>
  <conditionalFormatting sqref="AG6:AL6 AA8:AE8 AJ8:AP8 AG7:AI8 AG2:AH5 M2:M8 AA2:AA5 O2:U8 H6:I11 AG9:AH11 V2:W11 AA9:AD11 AM6:AP7 AJ2:AP5 AY2:DL11 AS2:AX8 AA6:AB7 AE6:AE7">
    <cfRule type="expression" dxfId="2274" priority="1222">
      <formula>$G2="Annulation"</formula>
    </cfRule>
  </conditionalFormatting>
  <conditionalFormatting sqref="AG6:AL6 BJ6:BL8 AB8:AE8 AJ8:AP8 AG7:AI8 AM6:AP7 AG2:AH5 AJ2:AP5 U2:Z8 AZ2:BE11 DM2:DM11 C2:H11 J2:L11 N2:N11 AG9:AH11 V9:X11 Z9:Z11 BH2:BH11 AB9:AD11 AS2:AX8 AB6:AB7 AE6:AE7">
    <cfRule type="expression" dxfId="2273" priority="1205">
      <formula>$G2&lt;&gt;"Annulation"</formula>
    </cfRule>
  </conditionalFormatting>
  <conditionalFormatting sqref="U2:U8">
    <cfRule type="expression" dxfId="2272" priority="1189">
      <formula>$DM2="Trans."</formula>
    </cfRule>
  </conditionalFormatting>
  <conditionalFormatting sqref="P7:P8">
    <cfRule type="cellIs" dxfId="2271" priority="1359" operator="equal">
      <formula>"Refus Médical"</formula>
    </cfRule>
    <cfRule type="cellIs" dxfId="2270" priority="1360" operator="equal">
      <formula>"Annulé"</formula>
    </cfRule>
    <cfRule type="cellIs" dxfId="2269" priority="1361" operator="equal">
      <formula>"Déjà Signé"</formula>
    </cfRule>
    <cfRule type="cellIs" dxfId="2268" priority="1362" operator="equal">
      <formula>"Sans Suite"</formula>
    </cfRule>
    <cfRule type="cellIs" dxfId="2267" priority="1363" operator="equal">
      <formula>"Refus"</formula>
    </cfRule>
    <cfRule type="cellIs" dxfId="2266" priority="1364" operator="equal">
      <formula>"Report + Médical"</formula>
    </cfRule>
    <cfRule type="cellIs" dxfId="2265" priority="1365" operator="equal">
      <formula>"Report"</formula>
    </cfRule>
    <cfRule type="cellIs" dxfId="2264" priority="1366" operator="equal">
      <formula>"Signature"</formula>
    </cfRule>
    <cfRule type="cellIs" dxfId="2263" priority="1367" operator="equal">
      <formula>"Contrat Papier + Mécical"</formula>
    </cfRule>
    <cfRule type="cellIs" dxfId="2262" priority="1368" operator="equal">
      <formula>"Validation Médicale"</formula>
    </cfRule>
    <cfRule type="cellIs" dxfId="2261" priority="1369" operator="equal">
      <formula>"Contrat Papier"</formula>
    </cfRule>
    <cfRule type="cellIs" dxfId="2260" priority="1370" operator="equal">
      <formula>"Validation Compagnie"</formula>
    </cfRule>
    <cfRule type="cellIs" dxfId="2259" priority="1371" operator="equal">
      <formula>"V"</formula>
    </cfRule>
  </conditionalFormatting>
  <conditionalFormatting sqref="AD8">
    <cfRule type="cellIs" dxfId="2258" priority="1291" operator="equal">
      <formula>"KO"</formula>
    </cfRule>
    <cfRule type="cellIs" dxfId="2257" priority="1292" operator="equal">
      <formula>"A faire"</formula>
    </cfRule>
    <cfRule type="cellIs" dxfId="2256" priority="1293" operator="equal">
      <formula>"Report"</formula>
    </cfRule>
    <cfRule type="cellIs" dxfId="2255" priority="1294" operator="equal">
      <formula>"Retour"</formula>
    </cfRule>
    <cfRule type="cellIs" dxfId="2254" priority="1295" operator="equal">
      <formula>"Envoyée"</formula>
    </cfRule>
    <cfRule type="cellIs" dxfId="2253" priority="1296" operator="equal">
      <formula>"Programmée"</formula>
    </cfRule>
    <cfRule type="cellIs" dxfId="2252" priority="1297" operator="equal">
      <formula>"Reçue"</formula>
    </cfRule>
    <cfRule type="cellIs" dxfId="2251" priority="1298" operator="equal">
      <formula>"OK"</formula>
    </cfRule>
  </conditionalFormatting>
  <conditionalFormatting sqref="J7:J8">
    <cfRule type="containsText" dxfId="2250" priority="1372" operator="containsText" text="Autre">
      <formula>NOT(ISERROR(SEARCH("Autre",J7)))</formula>
    </cfRule>
    <cfRule type="containsText" dxfId="2249" priority="1381" operator="containsText" text="Prev. Part">
      <formula>NOT(ISERROR(SEARCH("Prev. Part",J7)))</formula>
    </cfRule>
    <cfRule type="containsText" dxfId="2248" priority="1382" operator="containsText" text="Santé Collective">
      <formula>NOT(ISERROR(SEARCH("Santé Collective",J7)))</formula>
    </cfRule>
    <cfRule type="containsText" dxfId="2247" priority="1383" operator="containsText" text="Santé Individuelle">
      <formula>NOT(ISERROR(SEARCH("Santé Individuelle",J7)))</formula>
    </cfRule>
    <cfRule type="containsText" dxfId="2246" priority="1384" operator="containsText" text="Prev. Pro">
      <formula>NOT(ISERROR(SEARCH("Prev. Pro",J7)))</formula>
    </cfRule>
  </conditionalFormatting>
  <conditionalFormatting sqref="K7:K8">
    <cfRule type="containsText" dxfId="2245" priority="1373" operator="containsText" text="CEGEMA">
      <formula>NOT(ISERROR(SEARCH("CEGEMA",K7)))</formula>
    </cfRule>
    <cfRule type="containsText" dxfId="2244" priority="1374" operator="containsText" text="ASAF">
      <formula>NOT(ISERROR(SEARCH("ASAF",K7)))</formula>
    </cfRule>
    <cfRule type="containsText" dxfId="2243" priority="1375" operator="containsText" text="AVIVA">
      <formula>NOT(ISERROR(SEARCH("AVIVA",K7)))</formula>
    </cfRule>
    <cfRule type="containsText" dxfId="2242" priority="1376" operator="containsText" text="CIPRES">
      <formula>NOT(ISERROR(SEARCH("CIPRES",K7)))</formula>
    </cfRule>
    <cfRule type="containsText" dxfId="2241" priority="1377" operator="containsText" text="ALPTIS">
      <formula>NOT(ISERROR(SEARCH("ALPTIS",K7)))</formula>
    </cfRule>
    <cfRule type="containsText" dxfId="2240" priority="1378" operator="containsText" text="NEOLIANE">
      <formula>NOT(ISERROR(SEARCH("NEOLIANE",K7)))</formula>
    </cfRule>
    <cfRule type="containsText" dxfId="2239" priority="1379" operator="containsText" text="SWISSLIFE">
      <formula>NOT(ISERROR(SEARCH("SWISSLIFE",K7)))</formula>
    </cfRule>
    <cfRule type="containsText" dxfId="2238" priority="1380" operator="containsText" text="APRIL">
      <formula>NOT(ISERROR(SEARCH("APRIL",K7)))</formula>
    </cfRule>
  </conditionalFormatting>
  <conditionalFormatting sqref="P7:P8">
    <cfRule type="containsText" dxfId="2237" priority="1353" operator="containsText" text="Impayé">
      <formula>NOT(ISERROR(SEARCH("Impayé",P7)))</formula>
    </cfRule>
    <cfRule type="containsText" dxfId="2236" priority="1354" operator="containsText" text="Résilié">
      <formula>NOT(ISERROR(SEARCH("Résilié",P7)))</formula>
    </cfRule>
    <cfRule type="containsText" dxfId="2235" priority="1355" operator="containsText" text="Radié">
      <formula>NOT(ISERROR(SEARCH("Radié",P7)))</formula>
    </cfRule>
    <cfRule type="containsText" dxfId="2234" priority="1356" operator="containsText" text="Pas Trouvé">
      <formula>NOT(ISERROR(SEARCH("Pas Trouvé",P7)))</formula>
    </cfRule>
    <cfRule type="containsText" dxfId="2233" priority="1357" operator="containsText" text="A Jour">
      <formula>NOT(ISERROR(SEARCH("A Jour",P7)))</formula>
    </cfRule>
    <cfRule type="containsText" dxfId="2232" priority="1358" operator="containsText" text="A Trouver">
      <formula>NOT(ISERROR(SEARCH("A Trouver",P7)))</formula>
    </cfRule>
  </conditionalFormatting>
  <conditionalFormatting sqref="AY7:AY8">
    <cfRule type="containsText" dxfId="2231" priority="1347" operator="containsText" text="Sympathie">
      <formula>NOT(ISERROR(SEARCH("Sympathie",AY7)))</formula>
    </cfRule>
  </conditionalFormatting>
  <conditionalFormatting sqref="AY7:AY8">
    <cfRule type="containsText" dxfId="2230" priority="1348" operator="containsText" text="Argent">
      <formula>NOT(ISERROR(SEARCH("Argent",AY7)))</formula>
    </cfRule>
    <cfRule type="containsText" dxfId="2229" priority="1349" operator="containsText" text="Confort">
      <formula>NOT(ISERROR(SEARCH("Confort",AY7)))</formula>
    </cfRule>
    <cfRule type="containsText" dxfId="2228" priority="1350" operator="containsText" text="Nouveauté">
      <formula>NOT(ISERROR(SEARCH("Nouveauté",AY7)))</formula>
    </cfRule>
    <cfRule type="containsText" dxfId="2227" priority="1351" operator="containsText" text="Orgueil">
      <formula>NOT(ISERROR(SEARCH("Orgueil",AY7)))</formula>
    </cfRule>
    <cfRule type="containsText" dxfId="2226" priority="1352" operator="containsText" text="Sécurité">
      <formula>NOT(ISERROR(SEARCH("Sécurité",AY7)))</formula>
    </cfRule>
  </conditionalFormatting>
  <conditionalFormatting sqref="DM7:DM8">
    <cfRule type="containsText" dxfId="2225" priority="1345" operator="containsText" text="Tout">
      <formula>NOT(ISERROR(SEARCH("Tout",DM7)))</formula>
    </cfRule>
    <cfRule type="containsText" dxfId="2224" priority="1346" operator="containsText" text="Mini">
      <formula>NOT(ISERROR(SEARCH("Mini",DM7)))</formula>
    </cfRule>
  </conditionalFormatting>
  <conditionalFormatting sqref="DM7:DM8">
    <cfRule type="containsText" dxfId="2223" priority="1344" operator="containsText" text="Inter.">
      <formula>NOT(ISERROR(SEARCH("Inter.",DM7)))</formula>
    </cfRule>
  </conditionalFormatting>
  <conditionalFormatting sqref="DM7:DM8">
    <cfRule type="containsText" dxfId="2222" priority="1287" operator="containsText" text="Trans.">
      <formula>NOT(ISERROR(SEARCH("Trans.",DM7)))</formula>
    </cfRule>
  </conditionalFormatting>
  <conditionalFormatting sqref="Q7:S8 AY7:BE8 N7:O8 F7:F8">
    <cfRule type="cellIs" dxfId="2221" priority="1343" operator="equal">
      <formula>0</formula>
    </cfRule>
    <cfRule type="containsBlanks" dxfId="2220" priority="1385">
      <formula>LEN(TRIM(F7))=0</formula>
    </cfRule>
  </conditionalFormatting>
  <conditionalFormatting sqref="BL6:BL8 AG6:AJ8 AG2:AH5 AJ2:AJ5 Q2:R11 BO2:BO11 BR2:BR11 BU2:BU11 BX2:BX11 CA2:CA11 CD2:CD11 CG2:CG11 CJ2:CJ11 V2:W11 AA2:AA11 I2:I11 AG9:AH11 AO2:AO11 AT2:AU11 AW2:AX11 AL2:AL11 AJ9:AJ11">
    <cfRule type="expression" dxfId="2219" priority="1188">
      <formula>$DM2="Trans."</formula>
    </cfRule>
  </conditionalFormatting>
  <conditionalFormatting sqref="CR6:CS8 CV2:CV11 DB2:DB11 DE2:DF11 DH2:DI11 DL2:DL11">
    <cfRule type="expression" dxfId="2218" priority="1341">
      <formula>$J2="Prev. Pro"</formula>
    </cfRule>
  </conditionalFormatting>
  <conditionalFormatting sqref="CY6:CY8">
    <cfRule type="expression" dxfId="2217" priority="1340">
      <formula>$J6="Prev. Pro"</formula>
    </cfRule>
  </conditionalFormatting>
  <conditionalFormatting sqref="DJ6:DK8 DG2:DG11 DC2:DD11 CZ2:DA11 CW2:CX11 CU2:CU11">
    <cfRule type="expression" dxfId="2216" priority="1339">
      <formula>$J2="Prev. Pro"</formula>
    </cfRule>
  </conditionalFormatting>
  <conditionalFormatting sqref="CK6:CQ8">
    <cfRule type="expression" dxfId="2215" priority="1338" stopIfTrue="1">
      <formula>$J6="Santé Individuelle"</formula>
    </cfRule>
  </conditionalFormatting>
  <conditionalFormatting sqref="CT6:CT8">
    <cfRule type="expression" dxfId="2214" priority="1337">
      <formula>$J6="Prev. Pro"</formula>
    </cfRule>
  </conditionalFormatting>
  <conditionalFormatting sqref="CT6:CT8">
    <cfRule type="expression" dxfId="2213" priority="1190">
      <formula>$DM6="Trans."</formula>
    </cfRule>
  </conditionalFormatting>
  <conditionalFormatting sqref="C6:E8">
    <cfRule type="expression" dxfId="2212" priority="1328">
      <formula>$G6="Annulation"</formula>
    </cfRule>
  </conditionalFormatting>
  <conditionalFormatting sqref="C6:E8">
    <cfRule type="expression" dxfId="2211" priority="1329">
      <formula>$J6="Prev. Pro"</formula>
    </cfRule>
    <cfRule type="expression" dxfId="2210" priority="1330">
      <formula>$J6&lt;&gt;"Santé Individuelle"</formula>
    </cfRule>
  </conditionalFormatting>
  <conditionalFormatting sqref="X6:Y8">
    <cfRule type="expression" dxfId="2209" priority="1327">
      <formula>$P6="Annulé"</formula>
    </cfRule>
  </conditionalFormatting>
  <conditionalFormatting sqref="CI6:CI8 CF2:CF11 CC2:CC11 BZ2:BZ11 BW2:BW11 BT2:BT11 BQ2:BQ11 BI2:BI11 BN2:BN11">
    <cfRule type="expression" dxfId="2208" priority="1335">
      <formula>$J2="Santé Individuelle"</formula>
    </cfRule>
  </conditionalFormatting>
  <conditionalFormatting sqref="BQ6:BQ8">
    <cfRule type="expression" dxfId="2207" priority="1326">
      <formula>$BI6=0</formula>
    </cfRule>
  </conditionalFormatting>
  <conditionalFormatting sqref="BP6:BP8 BR2:BR11">
    <cfRule type="expression" dxfId="2206" priority="1325">
      <formula>$BI2=0</formula>
    </cfRule>
  </conditionalFormatting>
  <conditionalFormatting sqref="BT6:BT8">
    <cfRule type="expression" dxfId="2205" priority="1323">
      <formula>$BI6&lt;2</formula>
    </cfRule>
  </conditionalFormatting>
  <conditionalFormatting sqref="BS6:BS8 BU2:BU11">
    <cfRule type="expression" dxfId="2204" priority="1324">
      <formula>$BI2&lt;2</formula>
    </cfRule>
  </conditionalFormatting>
  <conditionalFormatting sqref="BW6:BW8">
    <cfRule type="expression" dxfId="2203" priority="1321">
      <formula>$BI6&lt;3</formula>
    </cfRule>
  </conditionalFormatting>
  <conditionalFormatting sqref="BV6:BV8 BX2:BX11">
    <cfRule type="expression" dxfId="2202" priority="1322">
      <formula>$BI2&lt;3</formula>
    </cfRule>
  </conditionalFormatting>
  <conditionalFormatting sqref="BZ6:BZ8">
    <cfRule type="expression" dxfId="2201" priority="1319">
      <formula>$BI6&lt;4</formula>
    </cfRule>
  </conditionalFormatting>
  <conditionalFormatting sqref="BY6:BY8 CA2:CA11">
    <cfRule type="expression" dxfId="2200" priority="1320">
      <formula>$BI2&lt;4</formula>
    </cfRule>
  </conditionalFormatting>
  <conditionalFormatting sqref="CC6:CC8">
    <cfRule type="expression" dxfId="2199" priority="1317">
      <formula>$BI6&lt;5</formula>
    </cfRule>
  </conditionalFormatting>
  <conditionalFormatting sqref="CB6:CB8 CD2:CD11">
    <cfRule type="expression" dxfId="2198" priority="1318">
      <formula>$BI2&lt;5</formula>
    </cfRule>
  </conditionalFormatting>
  <conditionalFormatting sqref="CF6:CF8">
    <cfRule type="expression" dxfId="2197" priority="1315">
      <formula>$BI6&lt;6</formula>
    </cfRule>
  </conditionalFormatting>
  <conditionalFormatting sqref="CE6:CE8 CG2:CG11">
    <cfRule type="expression" dxfId="2196" priority="1316">
      <formula>$BI2&lt;6</formula>
    </cfRule>
  </conditionalFormatting>
  <conditionalFormatting sqref="CI6:CI8">
    <cfRule type="expression" dxfId="2195" priority="1313">
      <formula>$BI6&lt;7</formula>
    </cfRule>
  </conditionalFormatting>
  <conditionalFormatting sqref="CH6:CH8 CJ2:CJ11">
    <cfRule type="expression" dxfId="2194" priority="1314">
      <formula>$BI2&lt;7</formula>
    </cfRule>
  </conditionalFormatting>
  <conditionalFormatting sqref="BJ7:BK8">
    <cfRule type="containsBlanks" dxfId="2193" priority="1312">
      <formula>LEN(TRIM(BJ7))=0</formula>
    </cfRule>
  </conditionalFormatting>
  <conditionalFormatting sqref="BF6:BF8">
    <cfRule type="expression" dxfId="2192" priority="1311">
      <formula>$J6="Santé Individuelle"</formula>
    </cfRule>
  </conditionalFormatting>
  <conditionalFormatting sqref="BG6:BG8">
    <cfRule type="expression" dxfId="2191" priority="1310">
      <formula>$BH6=1</formula>
    </cfRule>
  </conditionalFormatting>
  <conditionalFormatting sqref="CQ6:CQ8">
    <cfRule type="expression" dxfId="2190" priority="1309">
      <formula>$J6="Santé Individuelle"</formula>
    </cfRule>
  </conditionalFormatting>
  <conditionalFormatting sqref="J6:J8 L2:N8 DM2:DM11 X2:X11 G2:G11 AF2:AF11 L9:L11 N9:N11">
    <cfRule type="expression" dxfId="2189" priority="1308">
      <formula>$G2="Annulation"</formula>
    </cfRule>
  </conditionalFormatting>
  <conditionalFormatting sqref="BM6:BM8">
    <cfRule type="expression" dxfId="2188" priority="1306">
      <formula>$BH6&lt;=1</formula>
    </cfRule>
  </conditionalFormatting>
  <conditionalFormatting sqref="BN6:BN8">
    <cfRule type="expression" dxfId="2187" priority="1305">
      <formula>$BH6&lt;=1</formula>
    </cfRule>
  </conditionalFormatting>
  <conditionalFormatting sqref="BO6:BO8">
    <cfRule type="expression" dxfId="2186" priority="1304">
      <formula>$BH6&lt;=1</formula>
    </cfRule>
  </conditionalFormatting>
  <conditionalFormatting sqref="DN2:DN8">
    <cfRule type="containsText" dxfId="2185" priority="1090" operator="containsText" text="OK">
      <formula>NOT(ISERROR(SEARCH("OK",DN2)))</formula>
    </cfRule>
  </conditionalFormatting>
  <conditionalFormatting sqref="DN2:DN8">
    <cfRule type="containsText" dxfId="2184" priority="1088" operator="containsText" text="KO">
      <formula>NOT(ISERROR(SEARCH("KO",DN2)))</formula>
    </cfRule>
  </conditionalFormatting>
  <conditionalFormatting sqref="AC8:AE8 AE6:AE7">
    <cfRule type="expression" dxfId="2183" priority="1186">
      <formula>$AB6="X"</formula>
    </cfRule>
  </conditionalFormatting>
  <conditionalFormatting sqref="AY6:AY8 M6:M8 R2:S11 AA2:AA11 I2:I11">
    <cfRule type="expression" dxfId="2182" priority="1268">
      <formula>$G2&lt;&gt;"Annulation"</formula>
    </cfRule>
  </conditionalFormatting>
  <conditionalFormatting sqref="O6:T8">
    <cfRule type="expression" dxfId="2181" priority="1336">
      <formula>$G6&lt;&gt;"Annulation"</formula>
    </cfRule>
  </conditionalFormatting>
  <conditionalFormatting sqref="DM1:DN1">
    <cfRule type="notContainsBlanks" dxfId="2180" priority="1275">
      <formula>LEN(TRIM(DM1))&gt;0</formula>
    </cfRule>
  </conditionalFormatting>
  <conditionalFormatting sqref="Z6:Z8">
    <cfRule type="expression" dxfId="2179" priority="1272">
      <formula>$AA6&lt;31</formula>
    </cfRule>
  </conditionalFormatting>
  <conditionalFormatting sqref="Z6:Z8">
    <cfRule type="expression" dxfId="2178" priority="1271">
      <formula>$AA6&gt;122</formula>
    </cfRule>
  </conditionalFormatting>
  <conditionalFormatting sqref="I7:I8 AA7:AA8">
    <cfRule type="containsBlanks" dxfId="2177" priority="1270">
      <formula>LEN(TRIM(I7))=0</formula>
    </cfRule>
    <cfRule type="cellIs" dxfId="2176" priority="1285" operator="lessThan">
      <formula>31</formula>
    </cfRule>
  </conditionalFormatting>
  <conditionalFormatting sqref="AA6:AA8 I2:I11">
    <cfRule type="expression" dxfId="2175" priority="1286">
      <formula>$AA2&gt;122</formula>
    </cfRule>
  </conditionalFormatting>
  <conditionalFormatting sqref="Y1:Z1">
    <cfRule type="notContainsBlanks" dxfId="2174" priority="1267">
      <formula>LEN(TRIM(Y1))&gt;0</formula>
    </cfRule>
  </conditionalFormatting>
  <conditionalFormatting sqref="AN1:AX1">
    <cfRule type="notContainsBlanks" dxfId="2173" priority="1283">
      <formula>LEN(TRIM(AN1))&gt;0</formula>
    </cfRule>
  </conditionalFormatting>
  <conditionalFormatting sqref="AM1">
    <cfRule type="notContainsBlanks" dxfId="2172" priority="1213">
      <formula>LEN(TRIM(AM1))&gt;0</formula>
    </cfRule>
  </conditionalFormatting>
  <conditionalFormatting sqref="AE1">
    <cfRule type="notContainsBlanks" dxfId="2171" priority="1211">
      <formula>LEN(TRIM(AE1))&gt;0</formula>
    </cfRule>
  </conditionalFormatting>
  <conditionalFormatting sqref="AG1">
    <cfRule type="notContainsBlanks" dxfId="2170" priority="1209">
      <formula>LEN(TRIM(AG1))&gt;0</formula>
    </cfRule>
  </conditionalFormatting>
  <conditionalFormatting sqref="AK1">
    <cfRule type="notContainsBlanks" dxfId="2169" priority="1208">
      <formula>LEN(TRIM(AK1))&gt;0</formula>
    </cfRule>
  </conditionalFormatting>
  <conditionalFormatting sqref="AF1">
    <cfRule type="notContainsBlanks" dxfId="2168" priority="1207">
      <formula>LEN(TRIM(AF1))&gt;0</formula>
    </cfRule>
  </conditionalFormatting>
  <conditionalFormatting sqref="AF7:AF8">
    <cfRule type="containsBlanks" dxfId="2167" priority="1202">
      <formula>LEN(TRIM(AF7))=0</formula>
    </cfRule>
    <cfRule type="cellIs" dxfId="2166" priority="1203" operator="equal">
      <formula>0</formula>
    </cfRule>
  </conditionalFormatting>
  <conditionalFormatting sqref="AF6:AF8">
    <cfRule type="expression" dxfId="2165" priority="1204">
      <formula>$AB6="X"</formula>
    </cfRule>
  </conditionalFormatting>
  <conditionalFormatting sqref="AF6:AF8">
    <cfRule type="expression" dxfId="2164" priority="1201">
      <formula>$AE6&lt;&gt;"Programmée"</formula>
    </cfRule>
  </conditionalFormatting>
  <conditionalFormatting sqref="AI1">
    <cfRule type="notContainsBlanks" dxfId="2163" priority="1198">
      <formula>LEN(TRIM(AI1))&gt;0</formula>
    </cfRule>
  </conditionalFormatting>
  <conditionalFormatting sqref="AJ1">
    <cfRule type="notContainsBlanks" dxfId="2162" priority="1196">
      <formula>LEN(TRIM(AJ1))&gt;0</formula>
    </cfRule>
  </conditionalFormatting>
  <conditionalFormatting sqref="AG7:AG8">
    <cfRule type="containsBlanks" dxfId="2161" priority="1269">
      <formula>LEN(TRIM(AG7))=0</formula>
    </cfRule>
    <cfRule type="cellIs" dxfId="2160" priority="1284" operator="equal">
      <formula>0</formula>
    </cfRule>
  </conditionalFormatting>
  <conditionalFormatting sqref="AH7:AH8">
    <cfRule type="cellIs" dxfId="2159" priority="1221" operator="greaterThanOrEqual">
      <formula>2</formula>
    </cfRule>
    <cfRule type="cellIs" dxfId="2158" priority="1387" operator="between">
      <formula>1</formula>
      <formula>1.99999999999999</formula>
    </cfRule>
    <cfRule type="cellIs" dxfId="2157" priority="1388" operator="lessThan">
      <formula>1</formula>
    </cfRule>
  </conditionalFormatting>
  <conditionalFormatting sqref="AH1">
    <cfRule type="notContainsBlanks" dxfId="2156" priority="1184">
      <formula>LEN(TRIM(AH1))&gt;0</formula>
    </cfRule>
  </conditionalFormatting>
  <conditionalFormatting sqref="AL1">
    <cfRule type="notContainsBlanks" dxfId="2155" priority="1182">
      <formula>LEN(TRIM(AL1))&gt;0</formula>
    </cfRule>
  </conditionalFormatting>
  <conditionalFormatting sqref="AA1">
    <cfRule type="notContainsBlanks" dxfId="2154" priority="1180">
      <formula>LEN(TRIM(AA1))&gt;0</formula>
    </cfRule>
  </conditionalFormatting>
  <conditionalFormatting sqref="I1">
    <cfRule type="expression" dxfId="2153" priority="1174">
      <formula>$G1&lt;&gt;"Annulation"</formula>
    </cfRule>
  </conditionalFormatting>
  <conditionalFormatting sqref="I1">
    <cfRule type="expression" dxfId="2152" priority="1175">
      <formula>$G1="Annulation"</formula>
    </cfRule>
  </conditionalFormatting>
  <conditionalFormatting sqref="I1">
    <cfRule type="containsBlanks" dxfId="2151" priority="1176">
      <formula>LEN(TRIM(I1))=0</formula>
    </cfRule>
    <cfRule type="cellIs" dxfId="2150" priority="1177" operator="lessThan">
      <formula>31</formula>
    </cfRule>
  </conditionalFormatting>
  <conditionalFormatting sqref="I1">
    <cfRule type="expression" dxfId="2149" priority="1178">
      <formula>$AA1&gt;122</formula>
    </cfRule>
  </conditionalFormatting>
  <conditionalFormatting sqref="AL7:AL8">
    <cfRule type="containsBlanks" dxfId="2148" priority="932">
      <formula>LEN(TRIM(AL7))=0</formula>
    </cfRule>
    <cfRule type="cellIs" dxfId="2147" priority="934" operator="equal">
      <formula>0</formula>
    </cfRule>
  </conditionalFormatting>
  <conditionalFormatting sqref="AJ7:AL7">
    <cfRule type="expression" dxfId="2146" priority="889">
      <formula>$G7="Annulation"</formula>
    </cfRule>
  </conditionalFormatting>
  <conditionalFormatting sqref="AJ7:AL7">
    <cfRule type="expression" dxfId="2145" priority="888">
      <formula>$G7&lt;&gt;"Annulation"</formula>
    </cfRule>
  </conditionalFormatting>
  <conditionalFormatting sqref="AM8 AO2:AO11">
    <cfRule type="expression" dxfId="2144" priority="887">
      <formula>$Z2&gt;=42736</formula>
    </cfRule>
  </conditionalFormatting>
  <conditionalFormatting sqref="AN8:AO11">
    <cfRule type="expression" dxfId="2143" priority="881">
      <formula>$Z8&gt;=(42736+365)</formula>
    </cfRule>
  </conditionalFormatting>
  <conditionalFormatting sqref="AT6:AU8 AP2:AP11">
    <cfRule type="expression" dxfId="2142" priority="882">
      <formula>$Z2&gt;=(42736+365+365)</formula>
    </cfRule>
  </conditionalFormatting>
  <conditionalFormatting sqref="AW6:AX8 AS2:AS11">
    <cfRule type="expression" dxfId="2141" priority="878">
      <formula>$Z2&gt;=(42736+365+365+365)</formula>
    </cfRule>
  </conditionalFormatting>
  <conditionalFormatting sqref="AO8">
    <cfRule type="cellIs" dxfId="2140" priority="924" operator="greaterThan">
      <formula>0</formula>
    </cfRule>
    <cfRule type="cellIs" dxfId="2139" priority="925" operator="lessThan">
      <formula>0</formula>
    </cfRule>
  </conditionalFormatting>
  <conditionalFormatting sqref="AO8">
    <cfRule type="cellIs" dxfId="2138" priority="923" operator="equal">
      <formula>-1</formula>
    </cfRule>
  </conditionalFormatting>
  <conditionalFormatting sqref="AT7:AT8">
    <cfRule type="cellIs" dxfId="2137" priority="912" operator="greaterThan">
      <formula>0</formula>
    </cfRule>
    <cfRule type="cellIs" dxfId="2136" priority="913" operator="lessThan">
      <formula>0</formula>
    </cfRule>
  </conditionalFormatting>
  <conditionalFormatting sqref="AT7:AT8">
    <cfRule type="cellIs" dxfId="2135" priority="911" operator="equal">
      <formula>-1</formula>
    </cfRule>
  </conditionalFormatting>
  <conditionalFormatting sqref="AU7:AU8">
    <cfRule type="cellIs" dxfId="2134" priority="905" operator="equal">
      <formula>-1</formula>
    </cfRule>
    <cfRule type="cellIs" dxfId="2133" priority="906" operator="greaterThan">
      <formula>0.5</formula>
    </cfRule>
    <cfRule type="cellIs" dxfId="2132" priority="907" operator="between">
      <formula>0.25</formula>
      <formula>0.5</formula>
    </cfRule>
    <cfRule type="cellIs" dxfId="2131" priority="908" operator="between">
      <formula>0.1</formula>
      <formula>0.25</formula>
    </cfRule>
    <cfRule type="cellIs" dxfId="2130" priority="909" operator="lessThanOrEqual">
      <formula>0</formula>
    </cfRule>
    <cfRule type="cellIs" dxfId="2129" priority="910" operator="between">
      <formula>0</formula>
      <formula>0.1</formula>
    </cfRule>
  </conditionalFormatting>
  <conditionalFormatting sqref="AW7:AW8">
    <cfRule type="cellIs" dxfId="2128" priority="903" operator="greaterThan">
      <formula>0</formula>
    </cfRule>
    <cfRule type="cellIs" dxfId="2127" priority="904" operator="lessThan">
      <formula>0</formula>
    </cfRule>
  </conditionalFormatting>
  <conditionalFormatting sqref="AW7:AW8">
    <cfRule type="cellIs" dxfId="2126" priority="902" operator="equal">
      <formula>-1</formula>
    </cfRule>
  </conditionalFormatting>
  <conditionalFormatting sqref="AX7:AX8">
    <cfRule type="cellIs" dxfId="2125" priority="896" operator="equal">
      <formula>-1</formula>
    </cfRule>
    <cfRule type="cellIs" dxfId="2124" priority="897" operator="greaterThan">
      <formula>0.5</formula>
    </cfRule>
    <cfRule type="cellIs" dxfId="2123" priority="898" operator="between">
      <formula>0.25</formula>
      <formula>0.5</formula>
    </cfRule>
    <cfRule type="cellIs" dxfId="2122" priority="899" operator="between">
      <formula>0.1</formula>
      <formula>0.25</formula>
    </cfRule>
    <cfRule type="cellIs" dxfId="2121" priority="900" operator="lessThanOrEqual">
      <formula>0</formula>
    </cfRule>
    <cfRule type="cellIs" dxfId="2120" priority="901" operator="between">
      <formula>0</formula>
      <formula>0.1</formula>
    </cfRule>
  </conditionalFormatting>
  <conditionalFormatting sqref="AN8:AP8 AP7 AS7:AX8">
    <cfRule type="containsBlanks" dxfId="2119" priority="927">
      <formula>LEN(TRIM(AN7))=0</formula>
    </cfRule>
    <cfRule type="cellIs" dxfId="2118" priority="928" operator="equal">
      <formula>0</formula>
    </cfRule>
  </conditionalFormatting>
  <conditionalFormatting sqref="AN8:AP8 AP7 AS7:AX8">
    <cfRule type="cellIs" dxfId="2117" priority="926" operator="equal">
      <formula>0</formula>
    </cfRule>
    <cfRule type="containsBlanks" dxfId="2116" priority="929">
      <formula>LEN(TRIM(AN7))=0</formula>
    </cfRule>
  </conditionalFormatting>
  <conditionalFormatting sqref="AW7:AX8 AO8 AT7:AU8">
    <cfRule type="cellIs" dxfId="2115" priority="893" operator="equal">
      <formula>0</formula>
    </cfRule>
    <cfRule type="containsBlanks" dxfId="2114" priority="894">
      <formula>LEN(TRIM(AO7))=0</formula>
    </cfRule>
    <cfRule type="cellIs" dxfId="2113" priority="895" operator="equal">
      <formula>-1</formula>
    </cfRule>
  </conditionalFormatting>
  <conditionalFormatting sqref="AM8">
    <cfRule type="containsBlanks" dxfId="2112" priority="930">
      <formula>LEN(TRIM(AM8))=0</formula>
    </cfRule>
    <cfRule type="cellIs" dxfId="2111" priority="931" operator="equal">
      <formula>0</formula>
    </cfRule>
  </conditionalFormatting>
  <conditionalFormatting sqref="AM8">
    <cfRule type="cellIs" dxfId="2110" priority="890" operator="equal">
      <formula>0</formula>
    </cfRule>
    <cfRule type="containsBlanks" dxfId="2109" priority="933">
      <formula>LEN(TRIM(AM8))=0</formula>
    </cfRule>
  </conditionalFormatting>
  <conditionalFormatting sqref="AK6:AK8">
    <cfRule type="expression" dxfId="2108" priority="937">
      <formula>$AK6-TODAY()&lt;30</formula>
    </cfRule>
  </conditionalFormatting>
  <conditionalFormatting sqref="AK7:AK8">
    <cfRule type="containsBlanks" dxfId="2107" priority="886">
      <formula>LEN(TRIM(AK7))=0</formula>
    </cfRule>
  </conditionalFormatting>
  <conditionalFormatting sqref="AJ7:AJ8">
    <cfRule type="containsBlanks" dxfId="2106" priority="883">
      <formula>LEN(TRIM(AJ7))=0</formula>
    </cfRule>
    <cfRule type="cellIs" dxfId="2105" priority="884" operator="equal">
      <formula>0</formula>
    </cfRule>
  </conditionalFormatting>
  <conditionalFormatting sqref="AL7:AL8">
    <cfRule type="cellIs" dxfId="2104" priority="892" operator="greaterThanOrEqual">
      <formula>2</formula>
    </cfRule>
    <cfRule type="cellIs" dxfId="2103" priority="935" operator="between">
      <formula>1</formula>
      <formula>1.99999999999999</formula>
    </cfRule>
    <cfRule type="cellIs" dxfId="2102" priority="936" operator="lessThan">
      <formula>1</formula>
    </cfRule>
  </conditionalFormatting>
  <conditionalFormatting sqref="AI6:AK8">
    <cfRule type="expression" dxfId="2101" priority="877">
      <formula>$G6="Annulation"</formula>
    </cfRule>
  </conditionalFormatting>
  <conditionalFormatting sqref="M7:M8">
    <cfRule type="cellIs" dxfId="2100" priority="871" operator="greaterThan">
      <formula>0</formula>
    </cfRule>
  </conditionalFormatting>
  <conditionalFormatting sqref="Y7:Y8">
    <cfRule type="containsBlanks" dxfId="2099" priority="865">
      <formula>LEN(TRIM(Y7))=0</formula>
    </cfRule>
    <cfRule type="cellIs" dxfId="2098" priority="866" operator="equal">
      <formula>0</formula>
    </cfRule>
  </conditionalFormatting>
  <conditionalFormatting sqref="AI7:AI8">
    <cfRule type="containsBlanks" dxfId="2097" priority="860">
      <formula>LEN(TRIM(AI7))=0</formula>
    </cfRule>
    <cfRule type="cellIs" dxfId="2096" priority="861" operator="equal">
      <formula>0</formula>
    </cfRule>
  </conditionalFormatting>
  <conditionalFormatting sqref="BJ6:BL6 T6 AH6 G6:H6 BH6 V6:X6 AB6">
    <cfRule type="containsBlanks" dxfId="2095" priority="759">
      <formula>LEN(TRIM(G6))=0</formula>
    </cfRule>
    <cfRule type="cellIs" dxfId="2094" priority="853" operator="equal">
      <formula>0</formula>
    </cfRule>
  </conditionalFormatting>
  <conditionalFormatting sqref="P6">
    <cfRule type="cellIs" dxfId="2093" priority="826" operator="equal">
      <formula>"Refus Médical"</formula>
    </cfRule>
    <cfRule type="cellIs" dxfId="2092" priority="827" operator="equal">
      <formula>"Annulé"</formula>
    </cfRule>
    <cfRule type="cellIs" dxfId="2091" priority="828" operator="equal">
      <formula>"Déjà Signé"</formula>
    </cfRule>
    <cfRule type="cellIs" dxfId="2090" priority="829" operator="equal">
      <formula>"Sans Suite"</formula>
    </cfRule>
    <cfRule type="cellIs" dxfId="2089" priority="830" operator="equal">
      <formula>"Refus"</formula>
    </cfRule>
    <cfRule type="cellIs" dxfId="2088" priority="831" operator="equal">
      <formula>"Report + Médical"</formula>
    </cfRule>
    <cfRule type="cellIs" dxfId="2087" priority="832" operator="equal">
      <formula>"Report"</formula>
    </cfRule>
    <cfRule type="cellIs" dxfId="2086" priority="833" operator="equal">
      <formula>"Signature"</formula>
    </cfRule>
    <cfRule type="cellIs" dxfId="2085" priority="834" operator="equal">
      <formula>"Contrat Papier + Mécical"</formula>
    </cfRule>
    <cfRule type="cellIs" dxfId="2084" priority="835" operator="equal">
      <formula>"Validation Médicale"</formula>
    </cfRule>
    <cfRule type="cellIs" dxfId="2083" priority="836" operator="equal">
      <formula>"Contrat Papier"</formula>
    </cfRule>
    <cfRule type="cellIs" dxfId="2082" priority="837" operator="equal">
      <formula>"Validation Compagnie"</formula>
    </cfRule>
    <cfRule type="cellIs" dxfId="2081" priority="838" operator="equal">
      <formula>"V"</formula>
    </cfRule>
  </conditionalFormatting>
  <conditionalFormatting sqref="J6">
    <cfRule type="containsText" dxfId="2080" priority="839" operator="containsText" text="Autre">
      <formula>NOT(ISERROR(SEARCH("Autre",J6)))</formula>
    </cfRule>
    <cfRule type="containsText" dxfId="2079" priority="848" operator="containsText" text="Prev. Part">
      <formula>NOT(ISERROR(SEARCH("Prev. Part",J6)))</formula>
    </cfRule>
    <cfRule type="containsText" dxfId="2078" priority="849" operator="containsText" text="Santé Collective">
      <formula>NOT(ISERROR(SEARCH("Santé Collective",J6)))</formula>
    </cfRule>
    <cfRule type="containsText" dxfId="2077" priority="850" operator="containsText" text="Santé Individuelle">
      <formula>NOT(ISERROR(SEARCH("Santé Individuelle",J6)))</formula>
    </cfRule>
    <cfRule type="containsText" dxfId="2076" priority="851" operator="containsText" text="Prev. Pro">
      <formula>NOT(ISERROR(SEARCH("Prev. Pro",J6)))</formula>
    </cfRule>
  </conditionalFormatting>
  <conditionalFormatting sqref="K6">
    <cfRule type="containsText" dxfId="2075" priority="840" operator="containsText" text="CEGEMA">
      <formula>NOT(ISERROR(SEARCH("CEGEMA",K6)))</formula>
    </cfRule>
    <cfRule type="containsText" dxfId="2074" priority="841" operator="containsText" text="ASAF">
      <formula>NOT(ISERROR(SEARCH("ASAF",K6)))</formula>
    </cfRule>
    <cfRule type="containsText" dxfId="2073" priority="842" operator="containsText" text="AVIVA">
      <formula>NOT(ISERROR(SEARCH("AVIVA",K6)))</formula>
    </cfRule>
    <cfRule type="containsText" dxfId="2072" priority="843" operator="containsText" text="CIPRES">
      <formula>NOT(ISERROR(SEARCH("CIPRES",K6)))</formula>
    </cfRule>
    <cfRule type="containsText" dxfId="2071" priority="844" operator="containsText" text="ALPTIS">
      <formula>NOT(ISERROR(SEARCH("ALPTIS",K6)))</formula>
    </cfRule>
    <cfRule type="containsText" dxfId="2070" priority="845" operator="containsText" text="NEOLIANE">
      <formula>NOT(ISERROR(SEARCH("NEOLIANE",K6)))</formula>
    </cfRule>
    <cfRule type="containsText" dxfId="2069" priority="846" operator="containsText" text="SWISSLIFE">
      <formula>NOT(ISERROR(SEARCH("SWISSLIFE",K6)))</formula>
    </cfRule>
    <cfRule type="containsText" dxfId="2068" priority="847" operator="containsText" text="APRIL">
      <formula>NOT(ISERROR(SEARCH("APRIL",K6)))</formula>
    </cfRule>
  </conditionalFormatting>
  <conditionalFormatting sqref="P6">
    <cfRule type="containsText" dxfId="2067" priority="820" operator="containsText" text="Impayé">
      <formula>NOT(ISERROR(SEARCH("Impayé",P6)))</formula>
    </cfRule>
    <cfRule type="containsText" dxfId="2066" priority="821" operator="containsText" text="Résilié">
      <formula>NOT(ISERROR(SEARCH("Résilié",P6)))</formula>
    </cfRule>
    <cfRule type="containsText" dxfId="2065" priority="822" operator="containsText" text="Radié">
      <formula>NOT(ISERROR(SEARCH("Radié",P6)))</formula>
    </cfRule>
    <cfRule type="containsText" dxfId="2064" priority="823" operator="containsText" text="Pas Trouvé">
      <formula>NOT(ISERROR(SEARCH("Pas Trouvé",P6)))</formula>
    </cfRule>
    <cfRule type="containsText" dxfId="2063" priority="824" operator="containsText" text="A Jour">
      <formula>NOT(ISERROR(SEARCH("A Jour",P6)))</formula>
    </cfRule>
    <cfRule type="containsText" dxfId="2062" priority="825" operator="containsText" text="A Trouver">
      <formula>NOT(ISERROR(SEARCH("A Trouver",P6)))</formula>
    </cfRule>
  </conditionalFormatting>
  <conditionalFormatting sqref="AY6">
    <cfRule type="containsText" dxfId="2061" priority="814" operator="containsText" text="Sympathie">
      <formula>NOT(ISERROR(SEARCH("Sympathie",AY6)))</formula>
    </cfRule>
  </conditionalFormatting>
  <conditionalFormatting sqref="AY6">
    <cfRule type="containsText" dxfId="2060" priority="815" operator="containsText" text="Argent">
      <formula>NOT(ISERROR(SEARCH("Argent",AY6)))</formula>
    </cfRule>
    <cfRule type="containsText" dxfId="2059" priority="816" operator="containsText" text="Confort">
      <formula>NOT(ISERROR(SEARCH("Confort",AY6)))</formula>
    </cfRule>
    <cfRule type="containsText" dxfId="2058" priority="817" operator="containsText" text="Nouveauté">
      <formula>NOT(ISERROR(SEARCH("Nouveauté",AY6)))</formula>
    </cfRule>
    <cfRule type="containsText" dxfId="2057" priority="818" operator="containsText" text="Orgueil">
      <formula>NOT(ISERROR(SEARCH("Orgueil",AY6)))</formula>
    </cfRule>
    <cfRule type="containsText" dxfId="2056" priority="819" operator="containsText" text="Sécurité">
      <formula>NOT(ISERROR(SEARCH("Sécurité",AY6)))</formula>
    </cfRule>
  </conditionalFormatting>
  <conditionalFormatting sqref="DM6">
    <cfRule type="containsText" dxfId="2055" priority="812" operator="containsText" text="Tout">
      <formula>NOT(ISERROR(SEARCH("Tout",DM6)))</formula>
    </cfRule>
    <cfRule type="containsText" dxfId="2054" priority="813" operator="containsText" text="Mini">
      <formula>NOT(ISERROR(SEARCH("Mini",DM6)))</formula>
    </cfRule>
  </conditionalFormatting>
  <conditionalFormatting sqref="DM6">
    <cfRule type="containsText" dxfId="2053" priority="811" operator="containsText" text="Inter.">
      <formula>NOT(ISERROR(SEARCH("Inter.",DM6)))</formula>
    </cfRule>
  </conditionalFormatting>
  <conditionalFormatting sqref="DM6">
    <cfRule type="containsText" dxfId="2052" priority="757" operator="containsText" text="Trans.">
      <formula>NOT(ISERROR(SEARCH("Trans.",DM6)))</formula>
    </cfRule>
  </conditionalFormatting>
  <conditionalFormatting sqref="F6 N6:O6 AY6:BE6 Q6:S6">
    <cfRule type="cellIs" dxfId="2051" priority="810" operator="equal">
      <formula>0</formula>
    </cfRule>
    <cfRule type="containsBlanks" dxfId="2050" priority="852">
      <formula>LEN(TRIM(F6))=0</formula>
    </cfRule>
  </conditionalFormatting>
  <conditionalFormatting sqref="BJ6:BK6">
    <cfRule type="containsBlanks" dxfId="2049" priority="780">
      <formula>LEN(TRIM(BJ6))=0</formula>
    </cfRule>
  </conditionalFormatting>
  <conditionalFormatting sqref="AA6 I6">
    <cfRule type="containsBlanks" dxfId="2048" priority="750">
      <formula>LEN(TRIM(I6))=0</formula>
    </cfRule>
    <cfRule type="cellIs" dxfId="2047" priority="755" operator="lessThan">
      <formula>31</formula>
    </cfRule>
  </conditionalFormatting>
  <conditionalFormatting sqref="AF6">
    <cfRule type="containsBlanks" dxfId="2046" priority="740">
      <formula>LEN(TRIM(AF6))=0</formula>
    </cfRule>
    <cfRule type="cellIs" dxfId="2045" priority="741" operator="equal">
      <formula>0</formula>
    </cfRule>
  </conditionalFormatting>
  <conditionalFormatting sqref="AG6">
    <cfRule type="containsBlanks" dxfId="2044" priority="749">
      <formula>LEN(TRIM(AG6))=0</formula>
    </cfRule>
    <cfRule type="cellIs" dxfId="2043" priority="754" operator="equal">
      <formula>0</formula>
    </cfRule>
  </conditionalFormatting>
  <conditionalFormatting sqref="AH6">
    <cfRule type="cellIs" dxfId="2042" priority="746" operator="greaterThanOrEqual">
      <formula>2</formula>
    </cfRule>
    <cfRule type="cellIs" dxfId="2041" priority="854" operator="between">
      <formula>1</formula>
      <formula>1.99999999999999</formula>
    </cfRule>
    <cfRule type="cellIs" dxfId="2040" priority="855" operator="lessThan">
      <formula>1</formula>
    </cfRule>
  </conditionalFormatting>
  <conditionalFormatting sqref="AL6">
    <cfRule type="containsBlanks" dxfId="2039" priority="728">
      <formula>LEN(TRIM(AL6))=0</formula>
    </cfRule>
    <cfRule type="cellIs" dxfId="2038" priority="730" operator="equal">
      <formula>0</formula>
    </cfRule>
  </conditionalFormatting>
  <conditionalFormatting sqref="AT6">
    <cfRule type="cellIs" dxfId="2037" priority="708" operator="greaterThan">
      <formula>0</formula>
    </cfRule>
    <cfRule type="cellIs" dxfId="2036" priority="709" operator="lessThan">
      <formula>0</formula>
    </cfRule>
  </conditionalFormatting>
  <conditionalFormatting sqref="AT6">
    <cfRule type="cellIs" dxfId="2035" priority="707" operator="equal">
      <formula>-1</formula>
    </cfRule>
  </conditionalFormatting>
  <conditionalFormatting sqref="AU6">
    <cfRule type="cellIs" dxfId="2034" priority="701" operator="equal">
      <formula>-1</formula>
    </cfRule>
    <cfRule type="cellIs" dxfId="2033" priority="702" operator="greaterThan">
      <formula>0.5</formula>
    </cfRule>
    <cfRule type="cellIs" dxfId="2032" priority="703" operator="between">
      <formula>0.25</formula>
      <formula>0.5</formula>
    </cfRule>
    <cfRule type="cellIs" dxfId="2031" priority="704" operator="between">
      <formula>0.1</formula>
      <formula>0.25</formula>
    </cfRule>
    <cfRule type="cellIs" dxfId="2030" priority="705" operator="lessThanOrEqual">
      <formula>0</formula>
    </cfRule>
    <cfRule type="cellIs" dxfId="2029" priority="706" operator="between">
      <formula>0</formula>
      <formula>0.1</formula>
    </cfRule>
  </conditionalFormatting>
  <conditionalFormatting sqref="AW6">
    <cfRule type="cellIs" dxfId="2028" priority="699" operator="greaterThan">
      <formula>0</formula>
    </cfRule>
    <cfRule type="cellIs" dxfId="2027" priority="700" operator="lessThan">
      <formula>0</formula>
    </cfRule>
  </conditionalFormatting>
  <conditionalFormatting sqref="AW6">
    <cfRule type="cellIs" dxfId="2026" priority="698" operator="equal">
      <formula>-1</formula>
    </cfRule>
  </conditionalFormatting>
  <conditionalFormatting sqref="AX6">
    <cfRule type="cellIs" dxfId="2025" priority="692" operator="equal">
      <formula>-1</formula>
    </cfRule>
    <cfRule type="cellIs" dxfId="2024" priority="693" operator="greaterThan">
      <formula>0.5</formula>
    </cfRule>
    <cfRule type="cellIs" dxfId="2023" priority="694" operator="between">
      <formula>0.25</formula>
      <formula>0.5</formula>
    </cfRule>
    <cfRule type="cellIs" dxfId="2022" priority="695" operator="between">
      <formula>0.1</formula>
      <formula>0.25</formula>
    </cfRule>
    <cfRule type="cellIs" dxfId="2021" priority="696" operator="lessThanOrEqual">
      <formula>0</formula>
    </cfRule>
    <cfRule type="cellIs" dxfId="2020" priority="697" operator="between">
      <formula>0</formula>
      <formula>0.1</formula>
    </cfRule>
  </conditionalFormatting>
  <conditionalFormatting sqref="AP6 AS6:AX6">
    <cfRule type="containsBlanks" dxfId="2019" priority="723">
      <formula>LEN(TRIM(AP6))=0</formula>
    </cfRule>
    <cfRule type="cellIs" dxfId="2018" priority="724" operator="equal">
      <formula>0</formula>
    </cfRule>
  </conditionalFormatting>
  <conditionalFormatting sqref="AP6 AS6:AX6">
    <cfRule type="cellIs" dxfId="2017" priority="722" operator="equal">
      <formula>0</formula>
    </cfRule>
    <cfRule type="containsBlanks" dxfId="2016" priority="725">
      <formula>LEN(TRIM(AP6))=0</formula>
    </cfRule>
  </conditionalFormatting>
  <conditionalFormatting sqref="AT6:AU6 AW6:AX6">
    <cfRule type="cellIs" dxfId="2015" priority="689" operator="equal">
      <formula>0</formula>
    </cfRule>
    <cfRule type="containsBlanks" dxfId="2014" priority="690">
      <formula>LEN(TRIM(AT6))=0</formula>
    </cfRule>
    <cfRule type="cellIs" dxfId="2013" priority="691" operator="equal">
      <formula>-1</formula>
    </cfRule>
  </conditionalFormatting>
  <conditionalFormatting sqref="AK6">
    <cfRule type="containsBlanks" dxfId="2012" priority="683">
      <formula>LEN(TRIM(AK6))=0</formula>
    </cfRule>
  </conditionalFormatting>
  <conditionalFormatting sqref="AJ6">
    <cfRule type="containsBlanks" dxfId="2011" priority="681">
      <formula>LEN(TRIM(AJ6))=0</formula>
    </cfRule>
    <cfRule type="cellIs" dxfId="2010" priority="682" operator="equal">
      <formula>0</formula>
    </cfRule>
  </conditionalFormatting>
  <conditionalFormatting sqref="AL6">
    <cfRule type="cellIs" dxfId="2009" priority="688" operator="greaterThanOrEqual">
      <formula>2</formula>
    </cfRule>
    <cfRule type="cellIs" dxfId="2008" priority="731" operator="between">
      <formula>1</formula>
      <formula>1.99999999999999</formula>
    </cfRule>
    <cfRule type="cellIs" dxfId="2007" priority="732" operator="lessThan">
      <formula>1</formula>
    </cfRule>
  </conditionalFormatting>
  <conditionalFormatting sqref="M6">
    <cfRule type="cellIs" dxfId="2006" priority="674" operator="greaterThan">
      <formula>0</formula>
    </cfRule>
  </conditionalFormatting>
  <conditionalFormatting sqref="Y6">
    <cfRule type="containsBlanks" dxfId="2005" priority="668">
      <formula>LEN(TRIM(Y6))=0</formula>
    </cfRule>
    <cfRule type="cellIs" dxfId="2004" priority="669" operator="equal">
      <formula>0</formula>
    </cfRule>
  </conditionalFormatting>
  <conditionalFormatting sqref="AI6">
    <cfRule type="containsBlanks" dxfId="2003" priority="663">
      <formula>LEN(TRIM(AI6))=0</formula>
    </cfRule>
    <cfRule type="cellIs" dxfId="2002" priority="664" operator="equal">
      <formula>0</formula>
    </cfRule>
  </conditionalFormatting>
  <conditionalFormatting sqref="P2:P5">
    <cfRule type="cellIs" dxfId="2001" priority="434" operator="equal">
      <formula>"Refus Médical"</formula>
    </cfRule>
    <cfRule type="cellIs" dxfId="2000" priority="435" operator="equal">
      <formula>"Annulé"</formula>
    </cfRule>
    <cfRule type="cellIs" dxfId="1999" priority="436" operator="equal">
      <formula>"Déjà Signé"</formula>
    </cfRule>
    <cfRule type="cellIs" dxfId="1998" priority="437" operator="equal">
      <formula>"Sans Suite"</formula>
    </cfRule>
    <cfRule type="cellIs" dxfId="1997" priority="438" operator="equal">
      <formula>"Refus"</formula>
    </cfRule>
    <cfRule type="cellIs" dxfId="1996" priority="439" operator="equal">
      <formula>"Report + Médical"</formula>
    </cfRule>
    <cfRule type="cellIs" dxfId="1995" priority="440" operator="equal">
      <formula>"Report"</formula>
    </cfRule>
    <cfRule type="cellIs" dxfId="1994" priority="441" operator="equal">
      <formula>"Signature"</formula>
    </cfRule>
    <cfRule type="cellIs" dxfId="1993" priority="442" operator="equal">
      <formula>"Contrat Papier + Mécical"</formula>
    </cfRule>
    <cfRule type="cellIs" dxfId="1992" priority="443" operator="equal">
      <formula>"Validation Médicale"</formula>
    </cfRule>
    <cfRule type="cellIs" dxfId="1991" priority="444" operator="equal">
      <formula>"Contrat Papier"</formula>
    </cfRule>
    <cfRule type="cellIs" dxfId="1990" priority="445" operator="equal">
      <formula>"Validation Compagnie"</formula>
    </cfRule>
    <cfRule type="cellIs" dxfId="1989" priority="446" operator="equal">
      <formula>"V"</formula>
    </cfRule>
  </conditionalFormatting>
  <conditionalFormatting sqref="M2:M5">
    <cfRule type="cellIs" dxfId="1988" priority="417" operator="greaterThan">
      <formula>0</formula>
    </cfRule>
  </conditionalFormatting>
  <conditionalFormatting sqref="AO2:AO7">
    <cfRule type="cellIs" dxfId="1987" priority="354" operator="greaterThan">
      <formula>0</formula>
    </cfRule>
    <cfRule type="cellIs" dxfId="1986" priority="355" operator="lessThan">
      <formula>0</formula>
    </cfRule>
  </conditionalFormatting>
  <conditionalFormatting sqref="AO2:AO7">
    <cfRule type="cellIs" dxfId="1985" priority="353" operator="equal">
      <formula>-1</formula>
    </cfRule>
  </conditionalFormatting>
  <conditionalFormatting sqref="AT2:AT5">
    <cfRule type="cellIs" dxfId="1984" priority="342" operator="greaterThan">
      <formula>0</formula>
    </cfRule>
    <cfRule type="cellIs" dxfId="1983" priority="343" operator="lessThan">
      <formula>0</formula>
    </cfRule>
  </conditionalFormatting>
  <conditionalFormatting sqref="AT2:AT5">
    <cfRule type="cellIs" dxfId="1982" priority="341" operator="equal">
      <formula>-1</formula>
    </cfRule>
  </conditionalFormatting>
  <conditionalFormatting sqref="AU2:AU5">
    <cfRule type="cellIs" dxfId="1981" priority="335" operator="equal">
      <formula>-1</formula>
    </cfRule>
    <cfRule type="cellIs" dxfId="1980" priority="336" operator="greaterThan">
      <formula>0.5</formula>
    </cfRule>
    <cfRule type="cellIs" dxfId="1979" priority="337" operator="between">
      <formula>0.25</formula>
      <formula>0.5</formula>
    </cfRule>
    <cfRule type="cellIs" dxfId="1978" priority="338" operator="between">
      <formula>0.1</formula>
      <formula>0.25</formula>
    </cfRule>
    <cfRule type="cellIs" dxfId="1977" priority="339" operator="lessThanOrEqual">
      <formula>0</formula>
    </cfRule>
    <cfRule type="cellIs" dxfId="1976" priority="340" operator="between">
      <formula>0</formula>
      <formula>0.1</formula>
    </cfRule>
  </conditionalFormatting>
  <conditionalFormatting sqref="AW2:AW5">
    <cfRule type="cellIs" dxfId="1975" priority="333" operator="greaterThan">
      <formula>0</formula>
    </cfRule>
    <cfRule type="cellIs" dxfId="1974" priority="334" operator="lessThan">
      <formula>0</formula>
    </cfRule>
  </conditionalFormatting>
  <conditionalFormatting sqref="AW2:AW5">
    <cfRule type="cellIs" dxfId="1973" priority="332" operator="equal">
      <formula>-1</formula>
    </cfRule>
  </conditionalFormatting>
  <conditionalFormatting sqref="AX2:AX5">
    <cfRule type="cellIs" dxfId="1972" priority="326" operator="equal">
      <formula>-1</formula>
    </cfRule>
    <cfRule type="cellIs" dxfId="1971" priority="327" operator="greaterThan">
      <formula>0.5</formula>
    </cfRule>
    <cfRule type="cellIs" dxfId="1970" priority="328" operator="between">
      <formula>0.25</formula>
      <formula>0.5</formula>
    </cfRule>
    <cfRule type="cellIs" dxfId="1969" priority="329" operator="between">
      <formula>0.1</formula>
      <formula>0.25</formula>
    </cfRule>
    <cfRule type="cellIs" dxfId="1968" priority="330" operator="lessThanOrEqual">
      <formula>0</formula>
    </cfRule>
    <cfRule type="cellIs" dxfId="1967" priority="331" operator="between">
      <formula>0</formula>
      <formula>0.1</formula>
    </cfRule>
  </conditionalFormatting>
  <conditionalFormatting sqref="AH2:AH5 AL2:AL5">
    <cfRule type="cellIs" dxfId="1966" priority="322" operator="greaterThanOrEqual">
      <formula>2</formula>
    </cfRule>
    <cfRule type="cellIs" dxfId="1965" priority="462" operator="between">
      <formula>1</formula>
      <formula>1.99999999999999</formula>
    </cfRule>
    <cfRule type="cellIs" dxfId="1964" priority="463" operator="lessThan">
      <formula>1</formula>
    </cfRule>
  </conditionalFormatting>
  <conditionalFormatting sqref="AE2:AE8">
    <cfRule type="cellIs" dxfId="1963" priority="288" operator="equal">
      <formula>43404</formula>
    </cfRule>
  </conditionalFormatting>
  <conditionalFormatting sqref="AD2:AD7">
    <cfRule type="cellIs" dxfId="1962" priority="280" operator="equal">
      <formula>"KO"</formula>
    </cfRule>
    <cfRule type="cellIs" dxfId="1961" priority="281" operator="equal">
      <formula>"A faire"</formula>
    </cfRule>
    <cfRule type="cellIs" dxfId="1960" priority="282" operator="equal">
      <formula>"Report"</formula>
    </cfRule>
    <cfRule type="cellIs" dxfId="1959" priority="283" operator="equal">
      <formula>"Retour"</formula>
    </cfRule>
    <cfRule type="cellIs" dxfId="1958" priority="284" operator="equal">
      <formula>"Envoyée"</formula>
    </cfRule>
    <cfRule type="cellIs" dxfId="1957" priority="285" operator="equal">
      <formula>"Programmée"</formula>
    </cfRule>
    <cfRule type="cellIs" dxfId="1956" priority="286" operator="equal">
      <formula>"Reçue"</formula>
    </cfRule>
    <cfRule type="cellIs" dxfId="1955" priority="287" operator="equal">
      <formula>"OK"</formula>
    </cfRule>
  </conditionalFormatting>
  <conditionalFormatting sqref="BG2:BG5">
    <cfRule type="expression" dxfId="1954" priority="464">
      <formula>$J2="Santé Individuelle"</formula>
    </cfRule>
  </conditionalFormatting>
  <conditionalFormatting sqref="BO2:BO5">
    <cfRule type="expression" dxfId="1953" priority="465">
      <formula>$J2="Santé Individuelle"</formula>
    </cfRule>
  </conditionalFormatting>
  <conditionalFormatting sqref="BH2:BH5 BJ2:BL5 AH2:AH5 AL2:AL5 G2:H5 V2:X5 T2:T5">
    <cfRule type="containsBlanks" dxfId="1952" priority="374">
      <formula>LEN(TRIM(G2))=0</formula>
    </cfRule>
    <cfRule type="cellIs" dxfId="1951" priority="461" operator="equal">
      <formula>0</formula>
    </cfRule>
  </conditionalFormatting>
  <conditionalFormatting sqref="H2:I5">
    <cfRule type="expression" dxfId="1950" priority="321">
      <formula>$G2="Annulation"</formula>
    </cfRule>
  </conditionalFormatting>
  <conditionalFormatting sqref="BJ2:BL5">
    <cfRule type="expression" dxfId="1949" priority="316">
      <formula>$G2&lt;&gt;"Annulation"</formula>
    </cfRule>
  </conditionalFormatting>
  <conditionalFormatting sqref="J2:J5">
    <cfRule type="containsText" dxfId="1948" priority="447" operator="containsText" text="Autre">
      <formula>NOT(ISERROR(SEARCH("Autre",J2)))</formula>
    </cfRule>
    <cfRule type="containsText" dxfId="1947" priority="456" operator="containsText" text="Prev. Part">
      <formula>NOT(ISERROR(SEARCH("Prev. Part",J2)))</formula>
    </cfRule>
    <cfRule type="containsText" dxfId="1946" priority="457" operator="containsText" text="Santé Collective">
      <formula>NOT(ISERROR(SEARCH("Santé Collective",J2)))</formula>
    </cfRule>
    <cfRule type="containsText" dxfId="1945" priority="458" operator="containsText" text="Santé Individuelle">
      <formula>NOT(ISERROR(SEARCH("Santé Individuelle",J2)))</formula>
    </cfRule>
    <cfRule type="containsText" dxfId="1944" priority="459" operator="containsText" text="Prev. Pro">
      <formula>NOT(ISERROR(SEARCH("Prev. Pro",J2)))</formula>
    </cfRule>
  </conditionalFormatting>
  <conditionalFormatting sqref="K2:K5">
    <cfRule type="containsText" dxfId="1943" priority="448" operator="containsText" text="CEGEMA">
      <formula>NOT(ISERROR(SEARCH("CEGEMA",K2)))</formula>
    </cfRule>
    <cfRule type="containsText" dxfId="1942" priority="449" operator="containsText" text="ASAF">
      <formula>NOT(ISERROR(SEARCH("ASAF",K2)))</formula>
    </cfRule>
    <cfRule type="containsText" dxfId="1941" priority="450" operator="containsText" text="AVIVA">
      <formula>NOT(ISERROR(SEARCH("AVIVA",K2)))</formula>
    </cfRule>
    <cfRule type="containsText" dxfId="1940" priority="451" operator="containsText" text="CIPRES">
      <formula>NOT(ISERROR(SEARCH("CIPRES",K2)))</formula>
    </cfRule>
    <cfRule type="containsText" dxfId="1939" priority="452" operator="containsText" text="ALPTIS">
      <formula>NOT(ISERROR(SEARCH("ALPTIS",K2)))</formula>
    </cfRule>
    <cfRule type="containsText" dxfId="1938" priority="453" operator="containsText" text="NEOLIANE">
      <formula>NOT(ISERROR(SEARCH("NEOLIANE",K2)))</formula>
    </cfRule>
    <cfRule type="containsText" dxfId="1937" priority="454" operator="containsText" text="SWISSLIFE">
      <formula>NOT(ISERROR(SEARCH("SWISSLIFE",K2)))</formula>
    </cfRule>
    <cfRule type="containsText" dxfId="1936" priority="455" operator="containsText" text="APRIL">
      <formula>NOT(ISERROR(SEARCH("APRIL",K2)))</formula>
    </cfRule>
  </conditionalFormatting>
  <conditionalFormatting sqref="P2:P5">
    <cfRule type="containsText" dxfId="1935" priority="428" operator="containsText" text="Impayé">
      <formula>NOT(ISERROR(SEARCH("Impayé",P2)))</formula>
    </cfRule>
    <cfRule type="containsText" dxfId="1934" priority="429" operator="containsText" text="Résilié">
      <formula>NOT(ISERROR(SEARCH("Résilié",P2)))</formula>
    </cfRule>
    <cfRule type="containsText" dxfId="1933" priority="430" operator="containsText" text="Radié">
      <formula>NOT(ISERROR(SEARCH("Radié",P2)))</formula>
    </cfRule>
    <cfRule type="containsText" dxfId="1932" priority="431" operator="containsText" text="Pas Trouvé">
      <formula>NOT(ISERROR(SEARCH("Pas Trouvé",P2)))</formula>
    </cfRule>
    <cfRule type="containsText" dxfId="1931" priority="432" operator="containsText" text="A Jour">
      <formula>NOT(ISERROR(SEARCH("A Jour",P2)))</formula>
    </cfRule>
    <cfRule type="containsText" dxfId="1930" priority="433" operator="containsText" text="A Trouver">
      <formula>NOT(ISERROR(SEARCH("A Trouver",P2)))</formula>
    </cfRule>
  </conditionalFormatting>
  <conditionalFormatting sqref="AY2:AY5">
    <cfRule type="containsText" dxfId="1929" priority="422" operator="containsText" text="Sympathie">
      <formula>NOT(ISERROR(SEARCH("Sympathie",AY2)))</formula>
    </cfRule>
  </conditionalFormatting>
  <conditionalFormatting sqref="AY2:AY5">
    <cfRule type="containsText" dxfId="1928" priority="423" operator="containsText" text="Argent">
      <formula>NOT(ISERROR(SEARCH("Argent",AY2)))</formula>
    </cfRule>
    <cfRule type="containsText" dxfId="1927" priority="424" operator="containsText" text="Confort">
      <formula>NOT(ISERROR(SEARCH("Confort",AY2)))</formula>
    </cfRule>
    <cfRule type="containsText" dxfId="1926" priority="425" operator="containsText" text="Nouveauté">
      <formula>NOT(ISERROR(SEARCH("Nouveauté",AY2)))</formula>
    </cfRule>
    <cfRule type="containsText" dxfId="1925" priority="426" operator="containsText" text="Orgueil">
      <formula>NOT(ISERROR(SEARCH("Orgueil",AY2)))</formula>
    </cfRule>
    <cfRule type="containsText" dxfId="1924" priority="427" operator="containsText" text="Sécurité">
      <formula>NOT(ISERROR(SEARCH("Sécurité",AY2)))</formula>
    </cfRule>
  </conditionalFormatting>
  <conditionalFormatting sqref="DM2:DM5">
    <cfRule type="containsText" dxfId="1923" priority="420" operator="containsText" text="Tout">
      <formula>NOT(ISERROR(SEARCH("Tout",DM2)))</formula>
    </cfRule>
    <cfRule type="containsText" dxfId="1922" priority="421" operator="containsText" text="Mini">
      <formula>NOT(ISERROR(SEARCH("Mini",DM2)))</formula>
    </cfRule>
  </conditionalFormatting>
  <conditionalFormatting sqref="DM2:DM5">
    <cfRule type="containsText" dxfId="1921" priority="419" operator="containsText" text="Inter.">
      <formula>NOT(ISERROR(SEARCH("Inter.",DM2)))</formula>
    </cfRule>
  </conditionalFormatting>
  <conditionalFormatting sqref="DM2:DM5">
    <cfRule type="containsText" dxfId="1920" priority="372" operator="containsText" text="Trans.">
      <formula>NOT(ISERROR(SEARCH("Trans.",DM2)))</formula>
    </cfRule>
  </conditionalFormatting>
  <conditionalFormatting sqref="F2:F5 N2:O5 AY2:BE5 Q2:S5">
    <cfRule type="cellIs" dxfId="1919" priority="418" operator="equal">
      <formula>0</formula>
    </cfRule>
    <cfRule type="containsBlanks" dxfId="1918" priority="460">
      <formula>LEN(TRIM(F2))=0</formula>
    </cfRule>
  </conditionalFormatting>
  <conditionalFormatting sqref="BL2:BL5">
    <cfRule type="expression" dxfId="1917" priority="305">
      <formula>$DM2="Trans."</formula>
    </cfRule>
  </conditionalFormatting>
  <conditionalFormatting sqref="CR2:CS5">
    <cfRule type="expression" dxfId="1916" priority="416">
      <formula>$J2="Prev. Pro"</formula>
    </cfRule>
  </conditionalFormatting>
  <conditionalFormatting sqref="CY2:CY5">
    <cfRule type="expression" dxfId="1915" priority="415">
      <formula>$J2="Prev. Pro"</formula>
    </cfRule>
  </conditionalFormatting>
  <conditionalFormatting sqref="DJ2:DK5">
    <cfRule type="expression" dxfId="1914" priority="414">
      <formula>$J2="Prev. Pro"</formula>
    </cfRule>
  </conditionalFormatting>
  <conditionalFormatting sqref="CK2:CQ5">
    <cfRule type="expression" dxfId="1913" priority="413" stopIfTrue="1">
      <formula>$J2="Santé Individuelle"</formula>
    </cfRule>
  </conditionalFormatting>
  <conditionalFormatting sqref="CT2:CT5">
    <cfRule type="expression" dxfId="1912" priority="412">
      <formula>$J2="Prev. Pro"</formula>
    </cfRule>
  </conditionalFormatting>
  <conditionalFormatting sqref="CT2:CT5">
    <cfRule type="expression" dxfId="1911" priority="317">
      <formula>$DM2="Trans."</formula>
    </cfRule>
  </conditionalFormatting>
  <conditionalFormatting sqref="C2:E5">
    <cfRule type="expression" dxfId="1910" priority="403">
      <formula>$G2="Annulation"</formula>
    </cfRule>
  </conditionalFormatting>
  <conditionalFormatting sqref="C2:E5">
    <cfRule type="expression" dxfId="1909" priority="404">
      <formula>$J2="Prev. Pro"</formula>
    </cfRule>
    <cfRule type="expression" dxfId="1908" priority="405">
      <formula>$J2&lt;&gt;"Santé Individuelle"</formula>
    </cfRule>
  </conditionalFormatting>
  <conditionalFormatting sqref="X2:Y5">
    <cfRule type="expression" dxfId="1907" priority="402">
      <formula>$P2="Annulé"</formula>
    </cfRule>
  </conditionalFormatting>
  <conditionalFormatting sqref="CI2:CI5">
    <cfRule type="expression" dxfId="1906" priority="410">
      <formula>$J2="Santé Individuelle"</formula>
    </cfRule>
  </conditionalFormatting>
  <conditionalFormatting sqref="BQ2:BQ5">
    <cfRule type="expression" dxfId="1905" priority="401">
      <formula>$BI2=0</formula>
    </cfRule>
  </conditionalFormatting>
  <conditionalFormatting sqref="BP2:BP5">
    <cfRule type="expression" dxfId="1904" priority="400">
      <formula>$BI2=0</formula>
    </cfRule>
  </conditionalFormatting>
  <conditionalFormatting sqref="BT2:BT5">
    <cfRule type="expression" dxfId="1903" priority="398">
      <formula>$BI2&lt;2</formula>
    </cfRule>
  </conditionalFormatting>
  <conditionalFormatting sqref="BS2:BS5">
    <cfRule type="expression" dxfId="1902" priority="399">
      <formula>$BI2&lt;2</formula>
    </cfRule>
  </conditionalFormatting>
  <conditionalFormatting sqref="BW2:BW5">
    <cfRule type="expression" dxfId="1901" priority="396">
      <formula>$BI2&lt;3</formula>
    </cfRule>
  </conditionalFormatting>
  <conditionalFormatting sqref="BV2:BV5">
    <cfRule type="expression" dxfId="1900" priority="397">
      <formula>$BI2&lt;3</formula>
    </cfRule>
  </conditionalFormatting>
  <conditionalFormatting sqref="BZ2:BZ5">
    <cfRule type="expression" dxfId="1899" priority="394">
      <formula>$BI2&lt;4</formula>
    </cfRule>
  </conditionalFormatting>
  <conditionalFormatting sqref="BY2:BY5">
    <cfRule type="expression" dxfId="1898" priority="395">
      <formula>$BI2&lt;4</formula>
    </cfRule>
  </conditionalFormatting>
  <conditionalFormatting sqref="CC2:CC5">
    <cfRule type="expression" dxfId="1897" priority="392">
      <formula>$BI2&lt;5</formula>
    </cfRule>
  </conditionalFormatting>
  <conditionalFormatting sqref="CB2:CB5">
    <cfRule type="expression" dxfId="1896" priority="393">
      <formula>$BI2&lt;5</formula>
    </cfRule>
  </conditionalFormatting>
  <conditionalFormatting sqref="CF2:CF5">
    <cfRule type="expression" dxfId="1895" priority="390">
      <formula>$BI2&lt;6</formula>
    </cfRule>
  </conditionalFormatting>
  <conditionalFormatting sqref="CE2:CE5">
    <cfRule type="expression" dxfId="1894" priority="391">
      <formula>$BI2&lt;6</formula>
    </cfRule>
  </conditionalFormatting>
  <conditionalFormatting sqref="CI2:CI5">
    <cfRule type="expression" dxfId="1893" priority="388">
      <formula>$BI2&lt;7</formula>
    </cfRule>
  </conditionalFormatting>
  <conditionalFormatting sqref="CH2:CH5">
    <cfRule type="expression" dxfId="1892" priority="389">
      <formula>$BI2&lt;7</formula>
    </cfRule>
  </conditionalFormatting>
  <conditionalFormatting sqref="BJ2:BK5">
    <cfRule type="containsBlanks" dxfId="1891" priority="387">
      <formula>LEN(TRIM(BJ2))=0</formula>
    </cfRule>
  </conditionalFormatting>
  <conditionalFormatting sqref="BF2:BF5">
    <cfRule type="expression" dxfId="1890" priority="386">
      <formula>$J2="Santé Individuelle"</formula>
    </cfRule>
  </conditionalFormatting>
  <conditionalFormatting sqref="BG2:BG5">
    <cfRule type="expression" dxfId="1889" priority="385">
      <formula>$BH2=1</formula>
    </cfRule>
  </conditionalFormatting>
  <conditionalFormatting sqref="CQ2:CQ5">
    <cfRule type="expression" dxfId="1888" priority="384">
      <formula>$J2="Santé Individuelle"</formula>
    </cfRule>
  </conditionalFormatting>
  <conditionalFormatting sqref="J2:J5">
    <cfRule type="expression" dxfId="1887" priority="383">
      <formula>$G2="Annulation"</formula>
    </cfRule>
  </conditionalFormatting>
  <conditionalFormatting sqref="BM2:BM5">
    <cfRule type="expression" dxfId="1886" priority="381">
      <formula>$BH2&lt;=1</formula>
    </cfRule>
  </conditionalFormatting>
  <conditionalFormatting sqref="BN2:BN5">
    <cfRule type="expression" dxfId="1885" priority="380">
      <formula>$BH2&lt;=1</formula>
    </cfRule>
  </conditionalFormatting>
  <conditionalFormatting sqref="BO2:BO5">
    <cfRule type="expression" dxfId="1884" priority="379">
      <formula>$BH2&lt;=1</formula>
    </cfRule>
  </conditionalFormatting>
  <conditionalFormatting sqref="AY2:AY5">
    <cfRule type="expression" dxfId="1883" priority="359">
      <formula>$G2&lt;&gt;"Annulation"</formula>
    </cfRule>
  </conditionalFormatting>
  <conditionalFormatting sqref="O2:T5">
    <cfRule type="expression" dxfId="1882" priority="411">
      <formula>$G2&lt;&gt;"Annulation"</formula>
    </cfRule>
  </conditionalFormatting>
  <conditionalFormatting sqref="AM2:AM7">
    <cfRule type="expression" dxfId="1881" priority="315">
      <formula>$Z2&gt;=42736</formula>
    </cfRule>
  </conditionalFormatting>
  <conditionalFormatting sqref="AN2:AO7">
    <cfRule type="expression" dxfId="1880" priority="306">
      <formula>$Z2&gt;=(42736+365)</formula>
    </cfRule>
  </conditionalFormatting>
  <conditionalFormatting sqref="AT2:AU5">
    <cfRule type="expression" dxfId="1879" priority="307">
      <formula>$Z2&gt;=(42736+365+365)</formula>
    </cfRule>
  </conditionalFormatting>
  <conditionalFormatting sqref="AW2:AX5">
    <cfRule type="expression" dxfId="1878" priority="303">
      <formula>$Z2&gt;=(42736+365+365+365)</formula>
    </cfRule>
  </conditionalFormatting>
  <conditionalFormatting sqref="Y2:Y5">
    <cfRule type="containsBlanks" dxfId="1877" priority="363">
      <formula>LEN(TRIM(Y2))=0</formula>
    </cfRule>
    <cfRule type="cellIs" dxfId="1876" priority="364" operator="equal">
      <formula>0</formula>
    </cfRule>
  </conditionalFormatting>
  <conditionalFormatting sqref="Z2:Z5">
    <cfRule type="expression" dxfId="1875" priority="362">
      <formula>$AA2&lt;31</formula>
    </cfRule>
  </conditionalFormatting>
  <conditionalFormatting sqref="Z2:Z5">
    <cfRule type="expression" dxfId="1874" priority="361">
      <formula>$AA2&gt;122</formula>
    </cfRule>
  </conditionalFormatting>
  <conditionalFormatting sqref="AA2:AA5 I2:I5">
    <cfRule type="containsBlanks" dxfId="1873" priority="360">
      <formula>LEN(TRIM(I2))=0</formula>
    </cfRule>
    <cfRule type="cellIs" dxfId="1872" priority="370" operator="lessThan">
      <formula>31</formula>
    </cfRule>
  </conditionalFormatting>
  <conditionalFormatting sqref="AA2:AA5">
    <cfRule type="expression" dxfId="1871" priority="371">
      <formula>$AA2&gt;122</formula>
    </cfRule>
  </conditionalFormatting>
  <conditionalFormatting sqref="AN2:AP5 AN6:AO7 AS2:AX5">
    <cfRule type="containsBlanks" dxfId="1870" priority="357">
      <formula>LEN(TRIM(AN2))=0</formula>
    </cfRule>
    <cfRule type="cellIs" dxfId="1869" priority="366" operator="equal">
      <formula>0</formula>
    </cfRule>
  </conditionalFormatting>
  <conditionalFormatting sqref="AN2:AP5 AN6:AO7 AS2:AX5">
    <cfRule type="cellIs" dxfId="1868" priority="356" operator="equal">
      <formula>0</formula>
    </cfRule>
    <cfRule type="containsBlanks" dxfId="1867" priority="367">
      <formula>LEN(TRIM(AN2))=0</formula>
    </cfRule>
  </conditionalFormatting>
  <conditionalFormatting sqref="AT2:AU5 AW2:AX5 AO2:AO7">
    <cfRule type="cellIs" dxfId="1866" priority="323" operator="equal">
      <formula>0</formula>
    </cfRule>
    <cfRule type="containsBlanks" dxfId="1865" priority="324">
      <formula>LEN(TRIM(AO2))=0</formula>
    </cfRule>
    <cfRule type="cellIs" dxfId="1864" priority="325" operator="equal">
      <formula>-1</formula>
    </cfRule>
  </conditionalFormatting>
  <conditionalFormatting sqref="AM2:AM7">
    <cfRule type="containsBlanks" dxfId="1863" priority="368">
      <formula>LEN(TRIM(AM2))=0</formula>
    </cfRule>
    <cfRule type="cellIs" dxfId="1862" priority="373" operator="equal">
      <formula>0</formula>
    </cfRule>
  </conditionalFormatting>
  <conditionalFormatting sqref="AM2:AM7">
    <cfRule type="cellIs" dxfId="1861" priority="320" operator="equal">
      <formula>0</formula>
    </cfRule>
    <cfRule type="containsBlanks" dxfId="1860" priority="382">
      <formula>LEN(TRIM(AM2))=0</formula>
    </cfRule>
  </conditionalFormatting>
  <conditionalFormatting sqref="AF2:AF5">
    <cfRule type="containsBlanks" dxfId="1859" priority="312">
      <formula>LEN(TRIM(AF2))=0</formula>
    </cfRule>
    <cfRule type="cellIs" dxfId="1858" priority="313" operator="equal">
      <formula>0</formula>
    </cfRule>
  </conditionalFormatting>
  <conditionalFormatting sqref="AF2:AF5">
    <cfRule type="expression" dxfId="1857" priority="314">
      <formula>$AB2="X"</formula>
    </cfRule>
  </conditionalFormatting>
  <conditionalFormatting sqref="AF2:AF5">
    <cfRule type="expression" dxfId="1856" priority="311">
      <formula>$AE2&lt;&gt;"Programmée"</formula>
    </cfRule>
  </conditionalFormatting>
  <conditionalFormatting sqref="AK2:AK5">
    <cfRule type="expression" dxfId="1855" priority="466">
      <formula>$AK2-TODAY()&lt;30</formula>
    </cfRule>
  </conditionalFormatting>
  <conditionalFormatting sqref="AG2:AG5">
    <cfRule type="containsBlanks" dxfId="1854" priority="358">
      <formula>LEN(TRIM(AG2))=0</formula>
    </cfRule>
    <cfRule type="cellIs" dxfId="1853" priority="369" operator="equal">
      <formula>0</formula>
    </cfRule>
  </conditionalFormatting>
  <conditionalFormatting sqref="AK2:AK5">
    <cfRule type="containsBlanks" dxfId="1852" priority="310">
      <formula>LEN(TRIM(AK2))=0</formula>
    </cfRule>
  </conditionalFormatting>
  <conditionalFormatting sqref="AJ2:AJ5">
    <cfRule type="containsBlanks" dxfId="1851" priority="308">
      <formula>LEN(TRIM(AJ2))=0</formula>
    </cfRule>
    <cfRule type="cellIs" dxfId="1850" priority="309" operator="equal">
      <formula>0</formula>
    </cfRule>
  </conditionalFormatting>
  <conditionalFormatting sqref="AJ2:AK5">
    <cfRule type="expression" dxfId="1849" priority="302">
      <formula>$G2="Annulation"</formula>
    </cfRule>
  </conditionalFormatting>
  <conditionalFormatting sqref="M2:M5">
    <cfRule type="expression" dxfId="1848" priority="301">
      <formula>$G2&lt;&gt;"Annulation"</formula>
    </cfRule>
  </conditionalFormatting>
  <conditionalFormatting sqref="AI2:AI5">
    <cfRule type="expression" dxfId="1847" priority="294">
      <formula>$G2="Annulation"</formula>
    </cfRule>
  </conditionalFormatting>
  <conditionalFormatting sqref="AI2:AI5">
    <cfRule type="expression" dxfId="1846" priority="295">
      <formula>$G2&lt;&gt;"Annulation"</formula>
    </cfRule>
  </conditionalFormatting>
  <conditionalFormatting sqref="AI2:AI5">
    <cfRule type="expression" dxfId="1845" priority="290">
      <formula>$DM2="Trans."</formula>
    </cfRule>
  </conditionalFormatting>
  <conditionalFormatting sqref="AI2:AI5">
    <cfRule type="containsBlanks" dxfId="1844" priority="292">
      <formula>LEN(TRIM(AI2))=0</formula>
    </cfRule>
    <cfRule type="cellIs" dxfId="1843" priority="293" operator="equal">
      <formula>0</formula>
    </cfRule>
  </conditionalFormatting>
  <conditionalFormatting sqref="AI2:AI5">
    <cfRule type="expression" dxfId="1842" priority="291">
      <formula>$G2="Annulation"</formula>
    </cfRule>
  </conditionalFormatting>
  <conditionalFormatting sqref="AB2:AE5 AC6:AD7">
    <cfRule type="containsBlanks" dxfId="1841" priority="279">
      <formula>LEN(TRIM(AB2))=0</formula>
    </cfRule>
    <cfRule type="cellIs" dxfId="1840" priority="289" operator="equal">
      <formula>0</formula>
    </cfRule>
  </conditionalFormatting>
  <conditionalFormatting sqref="AB2:AE5 AC6:AD7">
    <cfRule type="expression" dxfId="1839" priority="278">
      <formula>$G2="Annulation"</formula>
    </cfRule>
  </conditionalFormatting>
  <conditionalFormatting sqref="AB2:AE5 AC6:AD7">
    <cfRule type="expression" dxfId="1838" priority="277">
      <formula>$G2&lt;&gt;"Annulation"</formula>
    </cfRule>
  </conditionalFormatting>
  <conditionalFormatting sqref="AC2:AE5 AC6:AD7">
    <cfRule type="expression" dxfId="1837" priority="276">
      <formula>$AB2="X"</formula>
    </cfRule>
  </conditionalFormatting>
  <conditionalFormatting sqref="AE2:AE8">
    <cfRule type="expression" dxfId="1836" priority="275">
      <formula>$AD2&lt;&gt;"Programmée"</formula>
    </cfRule>
  </conditionalFormatting>
  <conditionalFormatting sqref="DN2:DN8">
    <cfRule type="containsText" dxfId="1835" priority="238" operator="containsText" text="Mini">
      <formula>NOT(ISERROR(SEARCH("Mini",DN2)))</formula>
    </cfRule>
  </conditionalFormatting>
  <conditionalFormatting sqref="DN2:DN8">
    <cfRule type="containsText" dxfId="1834" priority="236" operator="containsText" text="AJ">
      <formula>NOT(ISERROR(SEARCH("AJ",DN2)))</formula>
    </cfRule>
  </conditionalFormatting>
  <conditionalFormatting sqref="U9:U11">
    <cfRule type="containsBlanks" dxfId="1833" priority="234">
      <formula>LEN(TRIM(U9))=0</formula>
    </cfRule>
    <cfRule type="cellIs" dxfId="1832" priority="235" operator="equal">
      <formula>0</formula>
    </cfRule>
  </conditionalFormatting>
  <conditionalFormatting sqref="U9:U11">
    <cfRule type="expression" dxfId="1831" priority="233">
      <formula>$G9="Annulation"</formula>
    </cfRule>
  </conditionalFormatting>
  <conditionalFormatting sqref="U9:U11">
    <cfRule type="expression" dxfId="1830" priority="232">
      <formula>$G9&lt;&gt;"Annulation"</formula>
    </cfRule>
  </conditionalFormatting>
  <conditionalFormatting sqref="U9:U11">
    <cfRule type="expression" dxfId="1829" priority="231">
      <formula>$DM9="Trans."</formula>
    </cfRule>
  </conditionalFormatting>
  <conditionalFormatting sqref="BG9:BG11">
    <cfRule type="expression" dxfId="1828" priority="229">
      <formula>$J9="Santé Individuelle"</formula>
    </cfRule>
  </conditionalFormatting>
  <conditionalFormatting sqref="BO9:BO11">
    <cfRule type="expression" dxfId="1827" priority="230">
      <formula>$J9="Santé Individuelle"</formula>
    </cfRule>
  </conditionalFormatting>
  <conditionalFormatting sqref="BJ9:BL11 T9:T11 AH9:AH11 G9:H11 BH9:BH11 V9:X11 AB9:AD11">
    <cfRule type="containsBlanks" dxfId="1826" priority="141">
      <formula>LEN(TRIM(G9))=0</formula>
    </cfRule>
    <cfRule type="cellIs" dxfId="1825" priority="226" operator="equal">
      <formula>0</formula>
    </cfRule>
  </conditionalFormatting>
  <conditionalFormatting sqref="O9:T11">
    <cfRule type="expression" dxfId="1824" priority="130">
      <formula>$G9="Annulation"</formula>
    </cfRule>
  </conditionalFormatting>
  <conditionalFormatting sqref="BJ9:BL11">
    <cfRule type="expression" dxfId="1823" priority="126">
      <formula>$G9&lt;&gt;"Annulation"</formula>
    </cfRule>
  </conditionalFormatting>
  <conditionalFormatting sqref="P9:P11">
    <cfRule type="cellIs" dxfId="1822" priority="199" operator="equal">
      <formula>"Refus Médical"</formula>
    </cfRule>
    <cfRule type="cellIs" dxfId="1821" priority="200" operator="equal">
      <formula>"Annulé"</formula>
    </cfRule>
    <cfRule type="cellIs" dxfId="1820" priority="201" operator="equal">
      <formula>"Déjà Signé"</formula>
    </cfRule>
    <cfRule type="cellIs" dxfId="1819" priority="202" operator="equal">
      <formula>"Sans Suite"</formula>
    </cfRule>
    <cfRule type="cellIs" dxfId="1818" priority="203" operator="equal">
      <formula>"Refus"</formula>
    </cfRule>
    <cfRule type="cellIs" dxfId="1817" priority="204" operator="equal">
      <formula>"Report + Médical"</formula>
    </cfRule>
    <cfRule type="cellIs" dxfId="1816" priority="205" operator="equal">
      <formula>"Report"</formula>
    </cfRule>
    <cfRule type="cellIs" dxfId="1815" priority="206" operator="equal">
      <formula>"Signature"</formula>
    </cfRule>
    <cfRule type="cellIs" dxfId="1814" priority="207" operator="equal">
      <formula>"Contrat Papier + Mécical"</formula>
    </cfRule>
    <cfRule type="cellIs" dxfId="1813" priority="208" operator="equal">
      <formula>"Validation Médicale"</formula>
    </cfRule>
    <cfRule type="cellIs" dxfId="1812" priority="209" operator="equal">
      <formula>"Contrat Papier"</formula>
    </cfRule>
    <cfRule type="cellIs" dxfId="1811" priority="210" operator="equal">
      <formula>"Validation Compagnie"</formula>
    </cfRule>
    <cfRule type="cellIs" dxfId="1810" priority="211" operator="equal">
      <formula>"V"</formula>
    </cfRule>
  </conditionalFormatting>
  <conditionalFormatting sqref="AD9:AD11">
    <cfRule type="cellIs" dxfId="1809" priority="142" operator="equal">
      <formula>"KO"</formula>
    </cfRule>
    <cfRule type="cellIs" dxfId="1808" priority="143" operator="equal">
      <formula>"A faire"</formula>
    </cfRule>
    <cfRule type="cellIs" dxfId="1807" priority="144" operator="equal">
      <formula>"Report"</formula>
    </cfRule>
    <cfRule type="cellIs" dxfId="1806" priority="145" operator="equal">
      <formula>"Retour"</formula>
    </cfRule>
    <cfRule type="cellIs" dxfId="1805" priority="146" operator="equal">
      <formula>"Envoyée"</formula>
    </cfRule>
    <cfRule type="cellIs" dxfId="1804" priority="147" operator="equal">
      <formula>"Programmée"</formula>
    </cfRule>
    <cfRule type="cellIs" dxfId="1803" priority="148" operator="equal">
      <formula>"Reçue"</formula>
    </cfRule>
    <cfRule type="cellIs" dxfId="1802" priority="149" operator="equal">
      <formula>"OK"</formula>
    </cfRule>
  </conditionalFormatting>
  <conditionalFormatting sqref="J9:J11">
    <cfRule type="containsText" dxfId="1801" priority="212" operator="containsText" text="Autre">
      <formula>NOT(ISERROR(SEARCH("Autre",J9)))</formula>
    </cfRule>
    <cfRule type="containsText" dxfId="1800" priority="221" operator="containsText" text="Prev. Part">
      <formula>NOT(ISERROR(SEARCH("Prev. Part",J9)))</formula>
    </cfRule>
    <cfRule type="containsText" dxfId="1799" priority="222" operator="containsText" text="Santé Collective">
      <formula>NOT(ISERROR(SEARCH("Santé Collective",J9)))</formula>
    </cfRule>
    <cfRule type="containsText" dxfId="1798" priority="223" operator="containsText" text="Santé Individuelle">
      <formula>NOT(ISERROR(SEARCH("Santé Individuelle",J9)))</formula>
    </cfRule>
    <cfRule type="containsText" dxfId="1797" priority="224" operator="containsText" text="Prev. Pro">
      <formula>NOT(ISERROR(SEARCH("Prev. Pro",J9)))</formula>
    </cfRule>
  </conditionalFormatting>
  <conditionalFormatting sqref="K9:K11">
    <cfRule type="containsText" dxfId="1796" priority="213" operator="containsText" text="CEGEMA">
      <formula>NOT(ISERROR(SEARCH("CEGEMA",K9)))</formula>
    </cfRule>
    <cfRule type="containsText" dxfId="1795" priority="214" operator="containsText" text="ASAF">
      <formula>NOT(ISERROR(SEARCH("ASAF",K9)))</formula>
    </cfRule>
    <cfRule type="containsText" dxfId="1794" priority="215" operator="containsText" text="AVIVA">
      <formula>NOT(ISERROR(SEARCH("AVIVA",K9)))</formula>
    </cfRule>
    <cfRule type="containsText" dxfId="1793" priority="216" operator="containsText" text="CIPRES">
      <formula>NOT(ISERROR(SEARCH("CIPRES",K9)))</formula>
    </cfRule>
    <cfRule type="containsText" dxfId="1792" priority="217" operator="containsText" text="ALPTIS">
      <formula>NOT(ISERROR(SEARCH("ALPTIS",K9)))</formula>
    </cfRule>
    <cfRule type="containsText" dxfId="1791" priority="218" operator="containsText" text="NEOLIANE">
      <formula>NOT(ISERROR(SEARCH("NEOLIANE",K9)))</formula>
    </cfRule>
    <cfRule type="containsText" dxfId="1790" priority="219" operator="containsText" text="SWISSLIFE">
      <formula>NOT(ISERROR(SEARCH("SWISSLIFE",K9)))</formula>
    </cfRule>
    <cfRule type="containsText" dxfId="1789" priority="220" operator="containsText" text="APRIL">
      <formula>NOT(ISERROR(SEARCH("APRIL",K9)))</formula>
    </cfRule>
  </conditionalFormatting>
  <conditionalFormatting sqref="P9:P11">
    <cfRule type="containsText" dxfId="1788" priority="193" operator="containsText" text="Impayé">
      <formula>NOT(ISERROR(SEARCH("Impayé",P9)))</formula>
    </cfRule>
    <cfRule type="containsText" dxfId="1787" priority="194" operator="containsText" text="Résilié">
      <formula>NOT(ISERROR(SEARCH("Résilié",P9)))</formula>
    </cfRule>
    <cfRule type="containsText" dxfId="1786" priority="195" operator="containsText" text="Radié">
      <formula>NOT(ISERROR(SEARCH("Radié",P9)))</formula>
    </cfRule>
    <cfRule type="containsText" dxfId="1785" priority="196" operator="containsText" text="Pas Trouvé">
      <formula>NOT(ISERROR(SEARCH("Pas Trouvé",P9)))</formula>
    </cfRule>
    <cfRule type="containsText" dxfId="1784" priority="197" operator="containsText" text="A Jour">
      <formula>NOT(ISERROR(SEARCH("A Jour",P9)))</formula>
    </cfRule>
    <cfRule type="containsText" dxfId="1783" priority="198" operator="containsText" text="A Trouver">
      <formula>NOT(ISERROR(SEARCH("A Trouver",P9)))</formula>
    </cfRule>
  </conditionalFormatting>
  <conditionalFormatting sqref="AY9:AY11">
    <cfRule type="containsText" dxfId="1782" priority="187" operator="containsText" text="Sympathie">
      <formula>NOT(ISERROR(SEARCH("Sympathie",AY9)))</formula>
    </cfRule>
  </conditionalFormatting>
  <conditionalFormatting sqref="AY9:AY11">
    <cfRule type="containsText" dxfId="1781" priority="188" operator="containsText" text="Argent">
      <formula>NOT(ISERROR(SEARCH("Argent",AY9)))</formula>
    </cfRule>
    <cfRule type="containsText" dxfId="1780" priority="189" operator="containsText" text="Confort">
      <formula>NOT(ISERROR(SEARCH("Confort",AY9)))</formula>
    </cfRule>
    <cfRule type="containsText" dxfId="1779" priority="190" operator="containsText" text="Nouveauté">
      <formula>NOT(ISERROR(SEARCH("Nouveauté",AY9)))</formula>
    </cfRule>
    <cfRule type="containsText" dxfId="1778" priority="191" operator="containsText" text="Orgueil">
      <formula>NOT(ISERROR(SEARCH("Orgueil",AY9)))</formula>
    </cfRule>
    <cfRule type="containsText" dxfId="1777" priority="192" operator="containsText" text="Sécurité">
      <formula>NOT(ISERROR(SEARCH("Sécurité",AY9)))</formula>
    </cfRule>
  </conditionalFormatting>
  <conditionalFormatting sqref="DM9:DM11">
    <cfRule type="containsText" dxfId="1776" priority="185" operator="containsText" text="Tout">
      <formula>NOT(ISERROR(SEARCH("Tout",DM9)))</formula>
    </cfRule>
    <cfRule type="containsText" dxfId="1775" priority="186" operator="containsText" text="Mini">
      <formula>NOT(ISERROR(SEARCH("Mini",DM9)))</formula>
    </cfRule>
  </conditionalFormatting>
  <conditionalFormatting sqref="DM9:DM11">
    <cfRule type="containsText" dxfId="1774" priority="184" operator="containsText" text="Inter.">
      <formula>NOT(ISERROR(SEARCH("Inter.",DM9)))</formula>
    </cfRule>
  </conditionalFormatting>
  <conditionalFormatting sqref="DM9:DM11">
    <cfRule type="containsText" dxfId="1773" priority="140" operator="containsText" text="Trans.">
      <formula>NOT(ISERROR(SEARCH("Trans.",DM9)))</formula>
    </cfRule>
  </conditionalFormatting>
  <conditionalFormatting sqref="F9:F11 N9:O11 AY9:BE11 Q9:S11">
    <cfRule type="cellIs" dxfId="1772" priority="183" operator="equal">
      <formula>0</formula>
    </cfRule>
    <cfRule type="containsBlanks" dxfId="1771" priority="225">
      <formula>LEN(TRIM(F9))=0</formula>
    </cfRule>
  </conditionalFormatting>
  <conditionalFormatting sqref="BL9:BL11">
    <cfRule type="expression" dxfId="1770" priority="120">
      <formula>$DM9="Trans."</formula>
    </cfRule>
  </conditionalFormatting>
  <conditionalFormatting sqref="CR9:CS11">
    <cfRule type="expression" dxfId="1769" priority="182">
      <formula>$J9="Prev. Pro"</formula>
    </cfRule>
  </conditionalFormatting>
  <conditionalFormatting sqref="CY9:CY11">
    <cfRule type="expression" dxfId="1768" priority="181">
      <formula>$J9="Prev. Pro"</formula>
    </cfRule>
  </conditionalFormatting>
  <conditionalFormatting sqref="DJ9:DK11">
    <cfRule type="expression" dxfId="1767" priority="180">
      <formula>$J9="Prev. Pro"</formula>
    </cfRule>
  </conditionalFormatting>
  <conditionalFormatting sqref="CK9:CQ11">
    <cfRule type="expression" dxfId="1766" priority="179" stopIfTrue="1">
      <formula>$J9="Santé Individuelle"</formula>
    </cfRule>
  </conditionalFormatting>
  <conditionalFormatting sqref="CT9:CT11">
    <cfRule type="expression" dxfId="1765" priority="178">
      <formula>$J9="Prev. Pro"</formula>
    </cfRule>
  </conditionalFormatting>
  <conditionalFormatting sqref="CT9:CT11">
    <cfRule type="expression" dxfId="1764" priority="121">
      <formula>$DM9="Trans."</formula>
    </cfRule>
  </conditionalFormatting>
  <conditionalFormatting sqref="C9:E11">
    <cfRule type="expression" dxfId="1763" priority="173">
      <formula>$G9="Annulation"</formula>
    </cfRule>
  </conditionalFormatting>
  <conditionalFormatting sqref="C9:E11">
    <cfRule type="expression" dxfId="1762" priority="174">
      <formula>$J9="Prev. Pro"</formula>
    </cfRule>
    <cfRule type="expression" dxfId="1761" priority="175">
      <formula>$J9&lt;&gt;"Santé Individuelle"</formula>
    </cfRule>
  </conditionalFormatting>
  <conditionalFormatting sqref="X9:X11">
    <cfRule type="expression" dxfId="1760" priority="172">
      <formula>$P9="Annulé"</formula>
    </cfRule>
  </conditionalFormatting>
  <conditionalFormatting sqref="CI9:CI11">
    <cfRule type="expression" dxfId="1759" priority="176">
      <formula>$J9="Santé Individuelle"</formula>
    </cfRule>
  </conditionalFormatting>
  <conditionalFormatting sqref="BQ9:BQ11">
    <cfRule type="expression" dxfId="1758" priority="171">
      <formula>$BI9=0</formula>
    </cfRule>
  </conditionalFormatting>
  <conditionalFormatting sqref="BP9:BP11">
    <cfRule type="expression" dxfId="1757" priority="170">
      <formula>$BI9=0</formula>
    </cfRule>
  </conditionalFormatting>
  <conditionalFormatting sqref="BT9:BT11">
    <cfRule type="expression" dxfId="1756" priority="168">
      <formula>$BI9&lt;2</formula>
    </cfRule>
  </conditionalFormatting>
  <conditionalFormatting sqref="BS9:BS11">
    <cfRule type="expression" dxfId="1755" priority="169">
      <formula>$BI9&lt;2</formula>
    </cfRule>
  </conditionalFormatting>
  <conditionalFormatting sqref="BW9:BW11">
    <cfRule type="expression" dxfId="1754" priority="166">
      <formula>$BI9&lt;3</formula>
    </cfRule>
  </conditionalFormatting>
  <conditionalFormatting sqref="BV9:BV11">
    <cfRule type="expression" dxfId="1753" priority="167">
      <formula>$BI9&lt;3</formula>
    </cfRule>
  </conditionalFormatting>
  <conditionalFormatting sqref="BZ9:BZ11">
    <cfRule type="expression" dxfId="1752" priority="164">
      <formula>$BI9&lt;4</formula>
    </cfRule>
  </conditionalFormatting>
  <conditionalFormatting sqref="BY9:BY11">
    <cfRule type="expression" dxfId="1751" priority="165">
      <formula>$BI9&lt;4</formula>
    </cfRule>
  </conditionalFormatting>
  <conditionalFormatting sqref="CC9:CC11">
    <cfRule type="expression" dxfId="1750" priority="162">
      <formula>$BI9&lt;5</formula>
    </cfRule>
  </conditionalFormatting>
  <conditionalFormatting sqref="CB9:CB11">
    <cfRule type="expression" dxfId="1749" priority="163">
      <formula>$BI9&lt;5</formula>
    </cfRule>
  </conditionalFormatting>
  <conditionalFormatting sqref="CF9:CF11">
    <cfRule type="expression" dxfId="1748" priority="160">
      <formula>$BI9&lt;6</formula>
    </cfRule>
  </conditionalFormatting>
  <conditionalFormatting sqref="CE9:CE11">
    <cfRule type="expression" dxfId="1747" priority="161">
      <formula>$BI9&lt;6</formula>
    </cfRule>
  </conditionalFormatting>
  <conditionalFormatting sqref="CI9:CI11">
    <cfRule type="expression" dxfId="1746" priority="158">
      <formula>$BI9&lt;7</formula>
    </cfRule>
  </conditionalFormatting>
  <conditionalFormatting sqref="CH9:CH11">
    <cfRule type="expression" dxfId="1745" priority="159">
      <formula>$BI9&lt;7</formula>
    </cfRule>
  </conditionalFormatting>
  <conditionalFormatting sqref="BJ9:BK11">
    <cfRule type="containsBlanks" dxfId="1744" priority="157">
      <formula>LEN(TRIM(BJ9))=0</formula>
    </cfRule>
  </conditionalFormatting>
  <conditionalFormatting sqref="BF9:BF11">
    <cfRule type="expression" dxfId="1743" priority="156">
      <formula>$J9="Santé Individuelle"</formula>
    </cfRule>
  </conditionalFormatting>
  <conditionalFormatting sqref="BG9:BG11">
    <cfRule type="expression" dxfId="1742" priority="155">
      <formula>$BH9=1</formula>
    </cfRule>
  </conditionalFormatting>
  <conditionalFormatting sqref="CQ9:CQ11">
    <cfRule type="expression" dxfId="1741" priority="154">
      <formula>$J9="Santé Individuelle"</formula>
    </cfRule>
  </conditionalFormatting>
  <conditionalFormatting sqref="J9:J11">
    <cfRule type="expression" dxfId="1740" priority="153">
      <formula>$G9="Annulation"</formula>
    </cfRule>
  </conditionalFormatting>
  <conditionalFormatting sqref="BM9:BM11">
    <cfRule type="expression" dxfId="1739" priority="152">
      <formula>$BH9&lt;=1</formula>
    </cfRule>
  </conditionalFormatting>
  <conditionalFormatting sqref="BN9:BN11">
    <cfRule type="expression" dxfId="1738" priority="151">
      <formula>$BH9&lt;=1</formula>
    </cfRule>
  </conditionalFormatting>
  <conditionalFormatting sqref="BO9:BO11">
    <cfRule type="expression" dxfId="1737" priority="150">
      <formula>$BH9&lt;=1</formula>
    </cfRule>
  </conditionalFormatting>
  <conditionalFormatting sqref="AC9:AD11">
    <cfRule type="expression" dxfId="1736" priority="119">
      <formula>$AB9="X"</formula>
    </cfRule>
  </conditionalFormatting>
  <conditionalFormatting sqref="AY9:AY11">
    <cfRule type="expression" dxfId="1735" priority="131">
      <formula>$G9&lt;&gt;"Annulation"</formula>
    </cfRule>
  </conditionalFormatting>
  <conditionalFormatting sqref="O9:T11">
    <cfRule type="expression" dxfId="1734" priority="177">
      <formula>$G9&lt;&gt;"Annulation"</formula>
    </cfRule>
  </conditionalFormatting>
  <conditionalFormatting sqref="Z9:Z11">
    <cfRule type="expression" dxfId="1733" priority="135">
      <formula>$AA9&lt;31</formula>
    </cfRule>
  </conditionalFormatting>
  <conditionalFormatting sqref="Z9:Z11">
    <cfRule type="expression" dxfId="1732" priority="134">
      <formula>$AA9&gt;122</formula>
    </cfRule>
  </conditionalFormatting>
  <conditionalFormatting sqref="AA9:AA11 I9:I11">
    <cfRule type="containsBlanks" dxfId="1731" priority="133">
      <formula>LEN(TRIM(I9))=0</formula>
    </cfRule>
    <cfRule type="cellIs" dxfId="1730" priority="138" operator="lessThan">
      <formula>31</formula>
    </cfRule>
  </conditionalFormatting>
  <conditionalFormatting sqref="AA9:AA11">
    <cfRule type="expression" dxfId="1729" priority="139">
      <formula>$AA9&gt;122</formula>
    </cfRule>
  </conditionalFormatting>
  <conditionalFormatting sqref="AF9:AF11">
    <cfRule type="containsBlanks" dxfId="1728" priority="123">
      <formula>LEN(TRIM(AF9))=0</formula>
    </cfRule>
    <cfRule type="cellIs" dxfId="1727" priority="124" operator="equal">
      <formula>0</formula>
    </cfRule>
  </conditionalFormatting>
  <conditionalFormatting sqref="AF9:AF11">
    <cfRule type="expression" dxfId="1726" priority="125">
      <formula>$AB9="X"</formula>
    </cfRule>
  </conditionalFormatting>
  <conditionalFormatting sqref="AF9:AF11">
    <cfRule type="expression" dxfId="1725" priority="122">
      <formula>$AE9&lt;&gt;"Programmée"</formula>
    </cfRule>
  </conditionalFormatting>
  <conditionalFormatting sqref="AG9:AG11">
    <cfRule type="containsBlanks" dxfId="1724" priority="132">
      <formula>LEN(TRIM(AG9))=0</formula>
    </cfRule>
    <cfRule type="cellIs" dxfId="1723" priority="137" operator="equal">
      <formula>0</formula>
    </cfRule>
  </conditionalFormatting>
  <conditionalFormatting sqref="AH9:AH11">
    <cfRule type="cellIs" dxfId="1722" priority="129" operator="greaterThanOrEqual">
      <formula>2</formula>
    </cfRule>
    <cfRule type="cellIs" dxfId="1721" priority="227" operator="between">
      <formula>1</formula>
      <formula>1.99999999999999</formula>
    </cfRule>
    <cfRule type="cellIs" dxfId="1720" priority="228" operator="lessThan">
      <formula>1</formula>
    </cfRule>
  </conditionalFormatting>
  <conditionalFormatting sqref="AL9:AL11">
    <cfRule type="containsBlanks" dxfId="1719" priority="112">
      <formula>LEN(TRIM(AL9))=0</formula>
    </cfRule>
    <cfRule type="cellIs" dxfId="1718" priority="114" operator="equal">
      <formula>0</formula>
    </cfRule>
  </conditionalFormatting>
  <conditionalFormatting sqref="AJ10:AX11 AJ9:AP9 AS9:AX9 AQ2:AR9">
    <cfRule type="expression" dxfId="1717" priority="70">
      <formula>$G2="Annulation"</formula>
    </cfRule>
  </conditionalFormatting>
  <conditionalFormatting sqref="AJ10:AX11 AJ9:AP9 AS9:AX9 AQ2:AR9">
    <cfRule type="expression" dxfId="1716" priority="69">
      <formula>$G2&lt;&gt;"Annulation"</formula>
    </cfRule>
  </conditionalFormatting>
  <conditionalFormatting sqref="AQ2:AR11">
    <cfRule type="expression" dxfId="1715" priority="62">
      <formula>$DM2="Trans."</formula>
    </cfRule>
  </conditionalFormatting>
  <conditionalFormatting sqref="AM9:AM11">
    <cfRule type="expression" dxfId="1714" priority="68">
      <formula>$Z9&gt;=42736</formula>
    </cfRule>
  </conditionalFormatting>
  <conditionalFormatting sqref="AQ2:AR11">
    <cfRule type="expression" dxfId="1713" priority="63">
      <formula>$Z2&gt;=(42736+365)</formula>
    </cfRule>
  </conditionalFormatting>
  <conditionalFormatting sqref="AT9:AU11">
    <cfRule type="expression" dxfId="1712" priority="64">
      <formula>$Z9&gt;=(42736+365+365)</formula>
    </cfRule>
  </conditionalFormatting>
  <conditionalFormatting sqref="AW9:AX11">
    <cfRule type="expression" dxfId="1711" priority="60">
      <formula>$Z9&gt;=(42736+365+365+365)</formula>
    </cfRule>
  </conditionalFormatting>
  <conditionalFormatting sqref="AO9:AO11">
    <cfRule type="cellIs" dxfId="1710" priority="104" operator="greaterThan">
      <formula>0</formula>
    </cfRule>
    <cfRule type="cellIs" dxfId="1709" priority="105" operator="lessThan">
      <formula>0</formula>
    </cfRule>
  </conditionalFormatting>
  <conditionalFormatting sqref="AO9:AO11">
    <cfRule type="cellIs" dxfId="1708" priority="103" operator="equal">
      <formula>-1</formula>
    </cfRule>
  </conditionalFormatting>
  <conditionalFormatting sqref="AQ2:AQ11">
    <cfRule type="cellIs" dxfId="1707" priority="101" operator="greaterThan">
      <formula>0</formula>
    </cfRule>
    <cfRule type="cellIs" dxfId="1706" priority="102" operator="lessThan">
      <formula>0</formula>
    </cfRule>
  </conditionalFormatting>
  <conditionalFormatting sqref="AQ2:AQ11">
    <cfRule type="cellIs" dxfId="1705" priority="100" operator="equal">
      <formula>-1</formula>
    </cfRule>
  </conditionalFormatting>
  <conditionalFormatting sqref="AR2:AR11">
    <cfRule type="cellIs" dxfId="1704" priority="94" operator="equal">
      <formula>-1</formula>
    </cfRule>
    <cfRule type="cellIs" dxfId="1703" priority="95" operator="greaterThan">
      <formula>0.5</formula>
    </cfRule>
    <cfRule type="cellIs" dxfId="1702" priority="96" operator="between">
      <formula>0.25</formula>
      <formula>0.5</formula>
    </cfRule>
    <cfRule type="cellIs" dxfId="1701" priority="97" operator="between">
      <formula>0.1</formula>
      <formula>0.25</formula>
    </cfRule>
    <cfRule type="cellIs" dxfId="1700" priority="98" operator="lessThanOrEqual">
      <formula>0</formula>
    </cfRule>
    <cfRule type="cellIs" dxfId="1699" priority="99" operator="between">
      <formula>0</formula>
      <formula>0.1</formula>
    </cfRule>
  </conditionalFormatting>
  <conditionalFormatting sqref="AT9:AT11">
    <cfRule type="cellIs" dxfId="1698" priority="92" operator="greaterThan">
      <formula>0</formula>
    </cfRule>
    <cfRule type="cellIs" dxfId="1697" priority="93" operator="lessThan">
      <formula>0</formula>
    </cfRule>
  </conditionalFormatting>
  <conditionalFormatting sqref="AT9:AT11">
    <cfRule type="cellIs" dxfId="1696" priority="91" operator="equal">
      <formula>-1</formula>
    </cfRule>
  </conditionalFormatting>
  <conditionalFormatting sqref="AU9:AU11">
    <cfRule type="cellIs" dxfId="1695" priority="85" operator="equal">
      <formula>-1</formula>
    </cfRule>
    <cfRule type="cellIs" dxfId="1694" priority="86" operator="greaterThan">
      <formula>0.5</formula>
    </cfRule>
    <cfRule type="cellIs" dxfId="1693" priority="87" operator="between">
      <formula>0.25</formula>
      <formula>0.5</formula>
    </cfRule>
    <cfRule type="cellIs" dxfId="1692" priority="88" operator="between">
      <formula>0.1</formula>
      <formula>0.25</formula>
    </cfRule>
    <cfRule type="cellIs" dxfId="1691" priority="89" operator="lessThanOrEqual">
      <formula>0</formula>
    </cfRule>
    <cfRule type="cellIs" dxfId="1690" priority="90" operator="between">
      <formula>0</formula>
      <formula>0.1</formula>
    </cfRule>
  </conditionalFormatting>
  <conditionalFormatting sqref="AW9:AW11">
    <cfRule type="cellIs" dxfId="1689" priority="83" operator="greaterThan">
      <formula>0</formula>
    </cfRule>
    <cfRule type="cellIs" dxfId="1688" priority="84" operator="lessThan">
      <formula>0</formula>
    </cfRule>
  </conditionalFormatting>
  <conditionalFormatting sqref="AW9:AW11">
    <cfRule type="cellIs" dxfId="1687" priority="82" operator="equal">
      <formula>-1</formula>
    </cfRule>
  </conditionalFormatting>
  <conditionalFormatting sqref="AX9:AX11">
    <cfRule type="cellIs" dxfId="1686" priority="76" operator="equal">
      <formula>-1</formula>
    </cfRule>
    <cfRule type="cellIs" dxfId="1685" priority="77" operator="greaterThan">
      <formula>0.5</formula>
    </cfRule>
    <cfRule type="cellIs" dxfId="1684" priority="78" operator="between">
      <formula>0.25</formula>
      <formula>0.5</formula>
    </cfRule>
    <cfRule type="cellIs" dxfId="1683" priority="79" operator="between">
      <formula>0.1</formula>
      <formula>0.25</formula>
    </cfRule>
    <cfRule type="cellIs" dxfId="1682" priority="80" operator="lessThanOrEqual">
      <formula>0</formula>
    </cfRule>
    <cfRule type="cellIs" dxfId="1681" priority="81" operator="between">
      <formula>0</formula>
      <formula>0.1</formula>
    </cfRule>
  </conditionalFormatting>
  <conditionalFormatting sqref="AN10:AX11 AN9:AP9 AS9:AX9 AQ2:AR9">
    <cfRule type="containsBlanks" dxfId="1680" priority="107">
      <formula>LEN(TRIM(AN2))=0</formula>
    </cfRule>
    <cfRule type="cellIs" dxfId="1679" priority="108" operator="equal">
      <formula>0</formula>
    </cfRule>
  </conditionalFormatting>
  <conditionalFormatting sqref="AN10:AX11 AN9:AP9 AS9:AX9 AQ2:AR9">
    <cfRule type="cellIs" dxfId="1678" priority="106" operator="equal">
      <formula>0</formula>
    </cfRule>
    <cfRule type="containsBlanks" dxfId="1677" priority="109">
      <formula>LEN(TRIM(AN2))=0</formula>
    </cfRule>
  </conditionalFormatting>
  <conditionalFormatting sqref="AT9:AU11 AO9:AO11 AW9:AX11 AQ2:AR11">
    <cfRule type="cellIs" dxfId="1676" priority="73" operator="equal">
      <formula>0</formula>
    </cfRule>
    <cfRule type="containsBlanks" dxfId="1675" priority="74">
      <formula>LEN(TRIM(AO2))=0</formula>
    </cfRule>
    <cfRule type="cellIs" dxfId="1674" priority="75" operator="equal">
      <formula>-1</formula>
    </cfRule>
  </conditionalFormatting>
  <conditionalFormatting sqref="AM9:AM11">
    <cfRule type="containsBlanks" dxfId="1673" priority="110">
      <formula>LEN(TRIM(AM9))=0</formula>
    </cfRule>
    <cfRule type="cellIs" dxfId="1672" priority="111" operator="equal">
      <formula>0</formula>
    </cfRule>
  </conditionalFormatting>
  <conditionalFormatting sqref="AM9:AM11">
    <cfRule type="cellIs" dxfId="1671" priority="71" operator="equal">
      <formula>0</formula>
    </cfRule>
    <cfRule type="containsBlanks" dxfId="1670" priority="113">
      <formula>LEN(TRIM(AM9))=0</formula>
    </cfRule>
  </conditionalFormatting>
  <conditionalFormatting sqref="AK9:AK11">
    <cfRule type="expression" dxfId="1669" priority="117">
      <formula>$AK9-TODAY()&lt;30</formula>
    </cfRule>
  </conditionalFormatting>
  <conditionalFormatting sqref="AK9:AK11">
    <cfRule type="containsBlanks" dxfId="1668" priority="67">
      <formula>LEN(TRIM(AK9))=0</formula>
    </cfRule>
  </conditionalFormatting>
  <conditionalFormatting sqref="AJ9:AJ11">
    <cfRule type="containsBlanks" dxfId="1667" priority="65">
      <formula>LEN(TRIM(AJ9))=0</formula>
    </cfRule>
    <cfRule type="cellIs" dxfId="1666" priority="66" operator="equal">
      <formula>0</formula>
    </cfRule>
  </conditionalFormatting>
  <conditionalFormatting sqref="AL9:AL11">
    <cfRule type="cellIs" dxfId="1665" priority="72" operator="greaterThanOrEqual">
      <formula>2</formula>
    </cfRule>
    <cfRule type="cellIs" dxfId="1664" priority="115" operator="between">
      <formula>1</formula>
      <formula>1.99999999999999</formula>
    </cfRule>
    <cfRule type="cellIs" dxfId="1663" priority="116" operator="lessThan">
      <formula>1</formula>
    </cfRule>
  </conditionalFormatting>
  <conditionalFormatting sqref="AJ9:AK11">
    <cfRule type="expression" dxfId="1662" priority="59">
      <formula>$G9="Annulation"</formula>
    </cfRule>
  </conditionalFormatting>
  <conditionalFormatting sqref="M9:M11">
    <cfRule type="expression" dxfId="1661" priority="56">
      <formula>$G9="Annulation"</formula>
    </cfRule>
  </conditionalFormatting>
  <conditionalFormatting sqref="M9:M11">
    <cfRule type="cellIs" dxfId="1660" priority="58" operator="greaterThan">
      <formula>0</formula>
    </cfRule>
  </conditionalFormatting>
  <conditionalFormatting sqref="M9:M11">
    <cfRule type="expression" dxfId="1659" priority="57">
      <formula>$G9="Annulation"</formula>
    </cfRule>
  </conditionalFormatting>
  <conditionalFormatting sqref="M9:M11">
    <cfRule type="expression" dxfId="1658" priority="55">
      <formula>$G9&lt;&gt;"Annulation"</formula>
    </cfRule>
  </conditionalFormatting>
  <conditionalFormatting sqref="Y9:Y11">
    <cfRule type="expression" dxfId="1657" priority="51">
      <formula>$G9&lt;&gt;"Annulation"</formula>
    </cfRule>
  </conditionalFormatting>
  <conditionalFormatting sqref="Y9:Y11">
    <cfRule type="expression" dxfId="1656" priority="54">
      <formula>$P9="Annulé"</formula>
    </cfRule>
  </conditionalFormatting>
  <conditionalFormatting sqref="Y9:Y11">
    <cfRule type="containsBlanks" dxfId="1655" priority="52">
      <formula>LEN(TRIM(Y9))=0</formula>
    </cfRule>
    <cfRule type="cellIs" dxfId="1654" priority="53" operator="equal">
      <formula>0</formula>
    </cfRule>
  </conditionalFormatting>
  <conditionalFormatting sqref="AI9:AI11">
    <cfRule type="expression" dxfId="1653" priority="49">
      <formula>$G9="Annulation"</formula>
    </cfRule>
  </conditionalFormatting>
  <conditionalFormatting sqref="AI9:AI11">
    <cfRule type="expression" dxfId="1652" priority="50">
      <formula>$G9&lt;&gt;"Annulation"</formula>
    </cfRule>
  </conditionalFormatting>
  <conditionalFormatting sqref="AI9:AI11">
    <cfRule type="expression" dxfId="1651" priority="45">
      <formula>$DM9="Trans."</formula>
    </cfRule>
  </conditionalFormatting>
  <conditionalFormatting sqref="AI9:AI11">
    <cfRule type="containsBlanks" dxfId="1650" priority="47">
      <formula>LEN(TRIM(AI9))=0</formula>
    </cfRule>
    <cfRule type="cellIs" dxfId="1649" priority="48" operator="equal">
      <formula>0</formula>
    </cfRule>
  </conditionalFormatting>
  <conditionalFormatting sqref="AI9:AI11">
    <cfRule type="expression" dxfId="1648" priority="46">
      <formula>$G9="Annulation"</formula>
    </cfRule>
  </conditionalFormatting>
  <conditionalFormatting sqref="AE9:AE11">
    <cfRule type="cellIs" dxfId="1647" priority="43" operator="equal">
      <formula>43404</formula>
    </cfRule>
  </conditionalFormatting>
  <conditionalFormatting sqref="AE9:AE11">
    <cfRule type="containsBlanks" dxfId="1646" priority="42">
      <formula>LEN(TRIM(AE9))=0</formula>
    </cfRule>
    <cfRule type="cellIs" dxfId="1645" priority="44" operator="equal">
      <formula>0</formula>
    </cfRule>
  </conditionalFormatting>
  <conditionalFormatting sqref="AE9:AE11">
    <cfRule type="expression" dxfId="1644" priority="41">
      <formula>$G9="Annulation"</formula>
    </cfRule>
  </conditionalFormatting>
  <conditionalFormatting sqref="AE9:AE11">
    <cfRule type="expression" dxfId="1643" priority="40">
      <formula>$G9&lt;&gt;"Annulation"</formula>
    </cfRule>
  </conditionalFormatting>
  <conditionalFormatting sqref="AE9:AE11">
    <cfRule type="expression" dxfId="1642" priority="39">
      <formula>$AB9="X"</formula>
    </cfRule>
  </conditionalFormatting>
  <conditionalFormatting sqref="AE9:AE11">
    <cfRule type="expression" dxfId="1641" priority="38">
      <formula>$AD9&lt;&gt;"Programmée"</formula>
    </cfRule>
  </conditionalFormatting>
  <conditionalFormatting sqref="DN9:DN11">
    <cfRule type="containsText" dxfId="1640" priority="30" operator="containsText" text="OK">
      <formula>NOT(ISERROR(SEARCH("OK",DN9)))</formula>
    </cfRule>
  </conditionalFormatting>
  <conditionalFormatting sqref="DN9:DN11">
    <cfRule type="containsText" dxfId="1639" priority="29" operator="containsText" text="Mini">
      <formula>NOT(ISERROR(SEARCH("Mini",DN9)))</formula>
    </cfRule>
  </conditionalFormatting>
  <conditionalFormatting sqref="DN9:DN11">
    <cfRule type="containsText" dxfId="1638" priority="28" operator="containsText" text="KO">
      <formula>NOT(ISERROR(SEARCH("KO",DN9)))</formula>
    </cfRule>
  </conditionalFormatting>
  <conditionalFormatting sqref="DN9:DN11">
    <cfRule type="containsText" dxfId="1637" priority="1428" operator="containsText" text="AJ">
      <formula>NOT(ISERROR(SEARCH("AJ",DN9)))</formula>
    </cfRule>
  </conditionalFormatting>
  <conditionalFormatting sqref="AK2:AK11">
    <cfRule type="expression" dxfId="1636" priority="8862">
      <formula>$DM2="Trans."</formula>
    </cfRule>
    <cfRule type="expression" dxfId="1635" priority="8863">
      <formula>$AK2-TODAY()&gt;90</formula>
    </cfRule>
  </conditionalFormatting>
  <conditionalFormatting sqref="Q1:R1 U1:W1 BL1 BO1 BR1 BU1 BX1 CA1 CD1 CG1 CJ1 CT1 AQ1:AR1 AT1:AU1 AW1:AX1 AO1 AG1:AL1 AA1">
    <cfRule type="expression" dxfId="1634" priority="8945">
      <formula>$A1="Trans."</formula>
    </cfRule>
  </conditionalFormatting>
  <conditionalFormatting sqref="C1:H1 J1:P1 S1 AY1:BK1 BM1:BN1 BP1:BQ1 BS1:BT1 BV1:BW1 BY1:BZ1 CB1:CC1 CE1:CF1 CH1:CI1 CK1:CS1 CU1:DL1 Z1 AB1:AF1">
    <cfRule type="expression" dxfId="1633" priority="8961">
      <formula>$A1="Trans."</formula>
    </cfRule>
  </conditionalFormatting>
  <conditionalFormatting sqref="T1 CY1 AP1 AS1 AV1 X1:Y1 AM1:AN1">
    <cfRule type="expression" dxfId="1632" priority="8976">
      <formula>$A1="Trans."</formula>
    </cfRule>
  </conditionalFormatting>
  <conditionalFormatting sqref="I1">
    <cfRule type="expression" dxfId="1631" priority="8995">
      <formula>$A1="Trans."</formula>
    </cfRule>
  </conditionalFormatting>
  <conditionalFormatting sqref="B2:B11">
    <cfRule type="expression" dxfId="1630" priority="8">
      <formula>$DM2="Trans."</formula>
    </cfRule>
  </conditionalFormatting>
  <conditionalFormatting sqref="B2:B11">
    <cfRule type="expression" dxfId="1629" priority="10">
      <formula>$DN2=""</formula>
    </cfRule>
    <cfRule type="expression" dxfId="1628" priority="14">
      <formula>$DN2="OK"</formula>
    </cfRule>
  </conditionalFormatting>
  <conditionalFormatting sqref="B2:B11">
    <cfRule type="expression" dxfId="1627" priority="13">
      <formula>$DN2="Mini"</formula>
    </cfRule>
  </conditionalFormatting>
  <conditionalFormatting sqref="B2:B11">
    <cfRule type="expression" dxfId="1626" priority="12">
      <formula>$DN2="KO"</formula>
    </cfRule>
  </conditionalFormatting>
  <conditionalFormatting sqref="B2:B11">
    <cfRule type="expression" dxfId="1625" priority="9">
      <formula>$G2="Annulation"</formula>
    </cfRule>
  </conditionalFormatting>
  <conditionalFormatting sqref="B2:B11">
    <cfRule type="expression" dxfId="1624" priority="11">
      <formula>$DN2="AJ"</formula>
    </cfRule>
  </conditionalFormatting>
  <conditionalFormatting sqref="A2:A11">
    <cfRule type="expression" dxfId="1623" priority="1">
      <formula>$DM2="Trans."</formula>
    </cfRule>
  </conditionalFormatting>
  <conditionalFormatting sqref="A2:A11">
    <cfRule type="expression" dxfId="1622" priority="3">
      <formula>$DN2=""</formula>
    </cfRule>
    <cfRule type="expression" dxfId="1621" priority="7">
      <formula>$DN2="OK"</formula>
    </cfRule>
  </conditionalFormatting>
  <conditionalFormatting sqref="A2:A11">
    <cfRule type="expression" dxfId="1620" priority="6">
      <formula>$DN2="Mini"</formula>
    </cfRule>
  </conditionalFormatting>
  <conditionalFormatting sqref="A2:A11">
    <cfRule type="expression" dxfId="1619" priority="5">
      <formula>$DN2="KO"</formula>
    </cfRule>
  </conditionalFormatting>
  <conditionalFormatting sqref="A2:A11">
    <cfRule type="expression" dxfId="1618" priority="2">
      <formula>$G2="Annulation"</formula>
    </cfRule>
  </conditionalFormatting>
  <conditionalFormatting sqref="A2:A11">
    <cfRule type="expression" dxfId="1617" priority="4">
      <formula>$DN2="AJ"</formula>
    </cfRule>
  </conditionalFormatting>
  <dataValidations count="1">
    <dataValidation type="list" allowBlank="1" showInputMessage="1" showErrorMessage="1" sqref="DM2:DM11">
      <formula1>#REF!</formula1>
    </dataValidation>
  </dataValidations>
  <hyperlinks>
    <hyperlink ref="BB3" r:id="rId1"/>
    <hyperlink ref="BB6" r:id="rId2"/>
  </hyperlinks>
  <pageMargins left="0" right="0" top="0" bottom="0" header="0" footer="0"/>
  <pageSetup paperSize="9" orientation="landscape" verticalDpi="360" r:id="rId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Matrice!$B$39:$J$39</xm:f>
          </x14:formula1>
          <xm:sqref>DA2:DA11</xm:sqref>
        </x14:dataValidation>
        <x14:dataValidation type="list" allowBlank="1" showInputMessage="1" showErrorMessage="1">
          <x14:formula1>
            <xm:f>Matrice!$B$38:$I$38</xm:f>
          </x14:formula1>
          <xm:sqref>DK2:DK11</xm:sqref>
        </x14:dataValidation>
        <x14:dataValidation type="list" allowBlank="1" showInputMessage="1" showErrorMessage="1">
          <x14:formula1>
            <xm:f>Matrice!$B$37:$I$37</xm:f>
          </x14:formula1>
          <xm:sqref>DJ2:DJ11</xm:sqref>
        </x14:dataValidation>
        <x14:dataValidation type="list" allowBlank="1" showInputMessage="1" showErrorMessage="1">
          <x14:formula1>
            <xm:f>Matrice!$B$36:$O$36</xm:f>
          </x14:formula1>
          <xm:sqref>DG2:DG11</xm:sqref>
        </x14:dataValidation>
        <x14:dataValidation type="list" allowBlank="1" showInputMessage="1" showErrorMessage="1">
          <x14:formula1>
            <xm:f>Matrice!$B$28:$H$28</xm:f>
          </x14:formula1>
          <xm:sqref>DD2:DD11</xm:sqref>
        </x14:dataValidation>
        <x14:dataValidation type="list" allowBlank="1" showInputMessage="1" showErrorMessage="1">
          <x14:formula1>
            <xm:f>Matrice!$B$32:$F$32</xm:f>
          </x14:formula1>
          <xm:sqref>DC2:DC11</xm:sqref>
        </x14:dataValidation>
        <x14:dataValidation type="list" allowBlank="1" showInputMessage="1" showErrorMessage="1">
          <x14:formula1>
            <xm:f>Matrice!$B$33:$E$33</xm:f>
          </x14:formula1>
          <xm:sqref>CW2:CW11</xm:sqref>
        </x14:dataValidation>
        <x14:dataValidation type="list" allowBlank="1" showInputMessage="1" showErrorMessage="1">
          <x14:formula1>
            <xm:f>Matrice!$C$25:$N$25</xm:f>
          </x14:formula1>
          <xm:sqref>CK2:CP11</xm:sqref>
        </x14:dataValidation>
        <x14:dataValidation type="list" allowBlank="1" showInputMessage="1" showErrorMessage="1">
          <x14:formula1>
            <xm:f>Matrice!$B$23:$I$23</xm:f>
          </x14:formula1>
          <xm:sqref>AY2:AY11</xm:sqref>
        </x14:dataValidation>
        <x14:dataValidation type="list" allowBlank="1" showInputMessage="1" showErrorMessage="1">
          <x14:formula1>
            <xm:f>Matrice!$B$12:$M$12</xm:f>
          </x14:formula1>
          <xm:sqref>BH2:BI11</xm:sqref>
        </x14:dataValidation>
        <x14:dataValidation type="list" allowBlank="1" showInputMessage="1" showErrorMessage="1">
          <x14:formula1>
            <xm:f>Matrice!$B$11:$J$11</xm:f>
          </x14:formula1>
          <xm:sqref>BT2:BT11 BW2:BW11 BK2:BK11 BZ2:BZ11 CC2:CC11 CF2:CF11 CI2:CI11 BQ2:BQ11 BN2:BN11</xm:sqref>
        </x14:dataValidation>
        <x14:dataValidation type="list" allowBlank="1" showInputMessage="1" showErrorMessage="1">
          <x14:formula1>
            <xm:f>Matrice!$B$7:$L$7</xm:f>
          </x14:formula1>
          <xm:sqref>AB2:AB11</xm:sqref>
        </x14:dataValidation>
        <x14:dataValidation type="list" allowBlank="1" showInputMessage="1" showErrorMessage="1">
          <x14:formula1>
            <xm:f>Matrice!$B$8:$K$8</xm:f>
          </x14:formula1>
          <xm:sqref>AD2:AD11</xm:sqref>
        </x14:dataValidation>
        <x14:dataValidation type="list" allowBlank="1" showInputMessage="1" showErrorMessage="1">
          <x14:formula1>
            <xm:f>Matrice!$B$2:$O$2</xm:f>
          </x14:formula1>
          <xm:sqref>K2:K11</xm:sqref>
        </x14:dataValidation>
        <x14:dataValidation type="list" allowBlank="1" showInputMessage="1" showErrorMessage="1">
          <x14:formula1>
            <xm:f>Matrice!$B$1:$J$1</xm:f>
          </x14:formula1>
          <xm:sqref>J2:J11</xm:sqref>
        </x14:dataValidation>
        <x14:dataValidation type="list" allowBlank="1" showInputMessage="1" showErrorMessage="1">
          <x14:formula1>
            <xm:f>Matrice!$B$9:$O$9</xm:f>
          </x14:formula1>
          <xm:sqref>G2:G11</xm:sqref>
        </x14:dataValidation>
        <x14:dataValidation type="list" allowBlank="1" showInputMessage="1" showErrorMessage="1">
          <x14:formula1>
            <xm:f>Matrice!$B$4:$J$4</xm:f>
          </x14:formula1>
          <xm:sqref>S2:S11</xm:sqref>
        </x14:dataValidation>
        <x14:dataValidation type="list" allowBlank="1" showInputMessage="1" showErrorMessage="1">
          <x14:formula1>
            <xm:f>Matrice!$B$49:$D$49</xm:f>
          </x14:formula1>
          <xm:sqref>F2:F11</xm:sqref>
        </x14:dataValidation>
        <x14:dataValidation type="list" allowBlank="1" showInputMessage="1" showErrorMessage="1">
          <x14:formula1>
            <xm:f>Matrice!$B$34:$I$34</xm:f>
          </x14:formula1>
          <xm:sqref>CX2:CX11</xm:sqref>
        </x14:dataValidation>
        <x14:dataValidation type="list" allowBlank="1" showInputMessage="1" showErrorMessage="1">
          <x14:formula1>
            <xm:f>Matrice!$B$35:$M$35</xm:f>
          </x14:formula1>
          <xm:sqref>CZ2:CZ11</xm:sqref>
        </x14:dataValidation>
        <x14:dataValidation type="list" allowBlank="1" showInputMessage="1" showErrorMessage="1">
          <x14:formula1>
            <xm:f>Matrice!$B$31:$V$31</xm:f>
          </x14:formula1>
          <xm:sqref>CU2:CU11</xm:sqref>
        </x14:dataValidation>
        <x14:dataValidation type="list" allowBlank="1" showInputMessage="1" showErrorMessage="1">
          <x14:formula1>
            <xm:f>Matrice!$B$3:$Y$3</xm:f>
          </x14:formula1>
          <xm:sqref>P2:P11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9966"/>
  </sheetPr>
  <dimension ref="A1:DN1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D21" sqref="D21"/>
    </sheetView>
  </sheetViews>
  <sheetFormatPr baseColWidth="10" defaultColWidth="9.140625" defaultRowHeight="15" x14ac:dyDescent="0.25"/>
  <cols>
    <col min="1" max="1" width="2.42578125" style="600" customWidth="1"/>
    <col min="2" max="2" width="2.28515625" style="228" customWidth="1"/>
    <col min="3" max="3" width="21.42578125" style="226" bestFit="1" customWidth="1"/>
    <col min="4" max="4" width="13" style="226" bestFit="1" customWidth="1"/>
    <col min="5" max="5" width="12.285156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6.570312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3.140625" style="226" bestFit="1" customWidth="1"/>
    <col min="29" max="29" width="13.5703125" style="226" bestFit="1" customWidth="1"/>
    <col min="30" max="30" width="13.42578125" style="226" bestFit="1" customWidth="1"/>
    <col min="31" max="31" width="15.5703125" style="226" bestFit="1" customWidth="1"/>
    <col min="32" max="32" width="53.710937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710937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9.28515625" style="226" bestFit="1" customWidth="1"/>
    <col min="53" max="53" width="6.5703125" style="226" bestFit="1" customWidth="1"/>
    <col min="54" max="54" width="33.42578125" style="226" bestFit="1" customWidth="1"/>
    <col min="55" max="55" width="14.140625" style="226" bestFit="1" customWidth="1"/>
    <col min="56" max="56" width="5.85546875" style="226" bestFit="1" customWidth="1"/>
    <col min="57" max="57" width="35.140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10" style="226" bestFit="1" customWidth="1"/>
    <col min="96" max="96" width="24.42578125" style="226" bestFit="1" customWidth="1"/>
    <col min="97" max="97" width="7" style="226" bestFit="1" customWidth="1"/>
    <col min="98" max="98" width="4.5703125" style="226" bestFit="1" customWidth="1"/>
    <col min="99" max="99" width="10.85546875" style="226" bestFit="1" customWidth="1"/>
    <col min="100" max="100" width="13.42578125" style="226" bestFit="1" customWidth="1"/>
    <col min="101" max="101" width="8" style="226" bestFit="1" customWidth="1"/>
    <col min="102" max="102" width="20.7109375" style="226" bestFit="1" customWidth="1"/>
    <col min="103" max="103" width="7.85546875" style="226" bestFit="1" customWidth="1"/>
    <col min="104" max="104" width="14.140625" style="226" bestFit="1" customWidth="1"/>
    <col min="105" max="105" width="15.57031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IF(COUNT(I2:I18)=0,"+J",SUM(I2:I18)/COUNT(I2:I18))</f>
        <v>95.461538461538467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IF(COUNT(AA2:AA18)=0,"+J",SUM(AA2:AA18)/COUNT(AA2:AA18))</f>
        <v>31.846153846153847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PANAIVA MONTEGUT Valerie - NEOLIANE - Santé Individuelle</v>
      </c>
      <c r="B2" s="306"/>
      <c r="C2" s="305" t="s">
        <v>1138</v>
      </c>
      <c r="D2" s="301" t="s">
        <v>1139</v>
      </c>
      <c r="E2" s="276">
        <v>43117</v>
      </c>
      <c r="F2" s="278" t="s">
        <v>547</v>
      </c>
      <c r="G2" s="311" t="s">
        <v>174</v>
      </c>
      <c r="H2" s="276">
        <v>43110</v>
      </c>
      <c r="I2" s="313" t="str">
        <f t="shared" ref="I2:I18" si="1">IF(G2="Annulation","",IF(H2=0,"",E2-H2))</f>
        <v/>
      </c>
      <c r="J2" s="312" t="s">
        <v>20</v>
      </c>
      <c r="K2" s="268" t="s">
        <v>21</v>
      </c>
      <c r="L2" s="277" t="s">
        <v>40</v>
      </c>
      <c r="M2" s="279"/>
      <c r="N2" s="280">
        <v>125.86</v>
      </c>
      <c r="O2" s="280"/>
      <c r="P2" s="285" t="s">
        <v>48</v>
      </c>
      <c r="Q2" s="281" t="str">
        <f t="shared" ref="Q2:Q18" si="2">IF(COUNT(AD2)=0,"",AD2)</f>
        <v/>
      </c>
      <c r="R2" s="282">
        <f t="shared" ref="R2:R18" si="3">SUM(M2*12)</f>
        <v>0</v>
      </c>
      <c r="S2" s="268"/>
      <c r="T2" s="283" t="str">
        <f t="shared" ref="T2:T9" si="4"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IF(M2=0,0,IF(G2="Annulation","",IF(assurance="ALPTIS",M2*12*T2/100*'1804 Data'!$K$4,IF(assurance="APRIL",M2*12*T2/100*'1804 Data'!$F$4,IF(assurance="ASAF",M2*12*T2/100*'1804 Data'!$I$4,IF(assurance="NEOLIANE",('1804 Data'!$G$5+M2*12*'1804 Data'!$G$4)*T2/100,IF(assurance="NEOLIANE Prev",('1804 Data'!$H$5+M2*12*'1804 Data'!$H$4)*T2/100,IF(assurance="SWISSLIFE",M2*12*T2/100*'1804 Data'!$J$4,IF(assurance="AVIVA",M2*12*T2/100*'1804 Data'!$L$4,IF(assurance="CIPRES",M2*12*T2/100*'1804 Data'!$M$4,IF(assurance="CEGEMA",M2*12*T2/100*'1804 Data'!$N$4,IF(assurance=0,0))))))))))))</f>
        <v>0</v>
      </c>
      <c r="V2" s="298" t="str">
        <f t="shared" ref="V2:V18" si="5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8" si="6">IF(M2="","",IF(G2="Annulation","",IF(typecomm="Linéaire",SUM((M2-O2)*T2/100)+O2*0.15,IF(typecomm="Précompte 1",0,IF(typecomm="Précompte",0,IF(typecomm=0,0))))))</f>
        <v/>
      </c>
      <c r="X2" s="299">
        <v>-242</v>
      </c>
      <c r="Y2" s="368">
        <f t="shared" ref="Y2:Y18" si="7">IF(G2="Annulation",0,IF(M2="",0,IF(typecomm="Linéaire",SUM(W2-U2/12),IF(typecomm="Précompte 1",0,IF(typecomm="Précompte",0,IF(typecomm=0,0))))))</f>
        <v>0</v>
      </c>
      <c r="Z2" s="314">
        <v>43132</v>
      </c>
      <c r="AA2" s="313" t="str">
        <f t="shared" ref="AA2:AA18" si="8">IF(Z2="","",IF(G2="Annulation","",IF(E2="",0,Z2-E2)))</f>
        <v/>
      </c>
      <c r="AB2" s="268" t="s">
        <v>13</v>
      </c>
      <c r="AC2" s="277"/>
      <c r="AD2" s="309" t="str">
        <f t="shared" ref="AD2:AD8" si="9">IF(Z2=43466,"Programmée","")</f>
        <v/>
      </c>
      <c r="AE2" s="286" t="str">
        <f t="shared" ref="AE2:AE18" si="10">IF(Z2=43466,43404,"")</f>
        <v/>
      </c>
      <c r="AF2" s="277" t="s">
        <v>1360</v>
      </c>
      <c r="AG2" s="275" t="str">
        <f t="shared" ref="AG2:AG18" si="11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8" ca="1" si="12">(IF(COUNT(Z2)=0,"",IF(G2="Annulation","",IF(Z2&gt;0,(Z2-TODAY())/(-365),0))))</f>
        <v/>
      </c>
      <c r="AI2" s="373" t="str">
        <f t="shared" ref="AI2:AI18" ca="1" si="13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8" si="14">IF(G2="Annulation","",IF(Z2="","",AI2-62))</f>
        <v/>
      </c>
      <c r="AK2" s="296" t="str">
        <f t="shared" ref="AK2:AK18" si="15">IF(G2="Annulation","",IF(Z2="","",AI2-92))</f>
        <v/>
      </c>
      <c r="AL2" s="287" t="str">
        <f t="shared" ref="AL2:AL18" si="16">(IF(COUNT(Z2)=0,"",IF(G2="Annulation","",IF(Z2&gt;0,(Z2-AI2)/(-365),0))))</f>
        <v/>
      </c>
      <c r="AM2" s="279" t="str">
        <f t="shared" ref="AM2:AM18" si="17">IF(G2="Annulation","",IF(Z2&lt;42736,M2,0))</f>
        <v/>
      </c>
      <c r="AN2" s="279" t="str">
        <f t="shared" ref="AN2:AN18" si="18">IF(G2="Annulation","",IF(Z2&gt;=42736,IF(Z2&lt;43101,M2,0),0))</f>
        <v/>
      </c>
      <c r="AO2" s="288" t="str">
        <f t="shared" ref="AO2:AO18" si="19">IF(G2="Annulation","",IF(AM2&gt;0,IF(AM2&gt;0,(AM2-AN2)/AM2*(-1),),0))</f>
        <v/>
      </c>
      <c r="AP2" s="279" t="str">
        <f t="shared" ref="AP2:AP18" si="20">IF(G2="Annulation","",IF(Z2&gt;=43101,IF(Z2&lt;43466,M2,0),0))</f>
        <v/>
      </c>
      <c r="AQ2" s="288" t="str">
        <f t="shared" ref="AQ2:AQ18" si="21">IF(G2="Annulation","",IF(AN2&gt;0,(AN2-AP2)/AN2*(-1),))</f>
        <v/>
      </c>
      <c r="AR2" s="289" t="str">
        <f t="shared" ref="AR2:AR18" si="22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8" si="23">IF(G2="Annulation","",IF(Z2&gt;=43466,IF(Z2&lt;43831,M2,0),0))</f>
        <v/>
      </c>
      <c r="AT2" s="288" t="str">
        <f t="shared" ref="AT2:AT18" si="24">IF(G2="Annulation","",IF(AP2&gt;0,(AP2-AS2)/AP2*(-1),0))</f>
        <v/>
      </c>
      <c r="AU2" s="289" t="str">
        <f t="shared" ref="AU2:AU18" si="25">IF(G2="Annulation","",IF(AS2&gt;0,IF(AM2&gt;0,(AM2-AS2)/(-AM2),IF(AN2&gt;0,(AN2-AS2)/(-AN2),IF(AP2&gt;0,(AP2-AS2)/(-AP2),0))),0))</f>
        <v/>
      </c>
      <c r="AV2" s="279" t="str">
        <f t="shared" ref="AV2:AV18" si="26">IF(G2="Annulation","",IF(Z2&gt;=43831,IF(Z2&lt;44197,M2,0),0))</f>
        <v/>
      </c>
      <c r="AW2" s="288" t="str">
        <f t="shared" ref="AW2:AW18" si="27">IF(G2="Annulation","",IF(AS2&gt;0,(AS2-AV2)/AS2*(-1),0))</f>
        <v/>
      </c>
      <c r="AX2" s="289" t="str">
        <f t="shared" ref="AX2:AX18" si="28">IF(G2="Annulation","",(IF(AM2&gt;0,(AM2-AV2)/(-AM2),IF(AN2&gt;0,(AN2-AV2)/(-AN2),IF(AP2&gt;0,(AP2-AV2)/(-AP2),IF(AS2&gt;0,(AS2-AV2)/(-AS2),0))))))</f>
        <v/>
      </c>
      <c r="AY2" s="268"/>
      <c r="AZ2" s="291"/>
      <c r="BA2" s="292"/>
      <c r="BB2" s="303"/>
      <c r="BC2" s="293"/>
      <c r="BD2" s="293"/>
      <c r="BE2" s="304"/>
      <c r="BF2" s="274"/>
      <c r="BG2" s="270"/>
      <c r="BH2" s="268"/>
      <c r="BI2" s="273"/>
      <c r="BJ2" s="276"/>
      <c r="BK2" s="294"/>
      <c r="BL2" s="269" t="str">
        <f t="shared" ref="BL2:BL18" ca="1" si="29">IF(DATEDIF(BJ2,TODAY(),"Y")=118,"",DATEDIF(BJ2,TODAY(),"Y"))</f>
        <v/>
      </c>
      <c r="BM2" s="270"/>
      <c r="BN2" s="271"/>
      <c r="BO2" s="272" t="str">
        <f t="shared" ref="BO2:BO18" ca="1" si="30">IF(DATEDIF(BM2,TODAY(),"Y")=118,"",DATEDIF(BM2,TODAY(),"Y"))</f>
        <v/>
      </c>
      <c r="BP2" s="270"/>
      <c r="BQ2" s="271"/>
      <c r="BR2" s="272" t="str">
        <f t="shared" ref="BR2:BR18" ca="1" si="31">IF(DATEDIF(BP2,TODAY(),"Y")=118,"",DATEDIF(BP2,TODAY(),"Y"))</f>
        <v/>
      </c>
      <c r="BS2" s="270"/>
      <c r="BT2" s="271"/>
      <c r="BU2" s="272" t="str">
        <f t="shared" ref="BU2:BU18" ca="1" si="32">IF(DATEDIF(BS2,TODAY(),"Y")=118,"",DATEDIF(BS2,TODAY(),"Y"))</f>
        <v/>
      </c>
      <c r="BV2" s="270"/>
      <c r="BW2" s="271"/>
      <c r="BX2" s="272" t="str">
        <f t="shared" ref="BX2:BX18" ca="1" si="33">IF(DATEDIF(BV2,TODAY(),"Y")=118,"",DATEDIF(BV2,TODAY(),"Y"))</f>
        <v/>
      </c>
      <c r="BY2" s="270"/>
      <c r="BZ2" s="271"/>
      <c r="CA2" s="272" t="str">
        <f t="shared" ref="CA2:CA18" ca="1" si="34">IF(DATEDIF(BY2,TODAY(),"Y")=118,"",DATEDIF(BY2,TODAY(),"Y"))</f>
        <v/>
      </c>
      <c r="CB2" s="270"/>
      <c r="CC2" s="271"/>
      <c r="CD2" s="272" t="str">
        <f t="shared" ref="CD2:CD18" ca="1" si="35">IF(DATEDIF(CB2,TODAY(),"Y")=118,"",DATEDIF(CB2,TODAY(),"Y"))</f>
        <v/>
      </c>
      <c r="CE2" s="270"/>
      <c r="CF2" s="271"/>
      <c r="CG2" s="272" t="str">
        <f t="shared" ref="CG2:CG18" ca="1" si="36">IF(DATEDIF(CE2,TODAY(),"Y")=118,"",DATEDIF(CE2,TODAY(),"Y"))</f>
        <v/>
      </c>
      <c r="CH2" s="270"/>
      <c r="CI2" s="271"/>
      <c r="CJ2" s="272" t="str">
        <f t="shared" ref="CJ2:CJ18" ca="1" si="37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8" si="38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8" si="39">Infoman</f>
        <v>0</v>
      </c>
      <c r="DN2" s="295" t="str">
        <f t="shared" ref="DN2:DN18" si="40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8" si="41">CONCATENATE(C3," ",D3," - ",K3," - ",J3)</f>
        <v>PANAIVA MONTEGUT Valerie - NEOLIANE Prev - Prev. Part</v>
      </c>
      <c r="B3" s="306"/>
      <c r="C3" s="305" t="s">
        <v>1138</v>
      </c>
      <c r="D3" s="301" t="s">
        <v>1139</v>
      </c>
      <c r="E3" s="276">
        <v>43117</v>
      </c>
      <c r="F3" s="278" t="s">
        <v>547</v>
      </c>
      <c r="G3" s="311" t="s">
        <v>174</v>
      </c>
      <c r="H3" s="276">
        <v>43110</v>
      </c>
      <c r="I3" s="313" t="str">
        <f t="shared" si="1"/>
        <v/>
      </c>
      <c r="J3" s="312" t="s">
        <v>85</v>
      </c>
      <c r="K3" s="268" t="s">
        <v>123</v>
      </c>
      <c r="L3" s="277" t="s">
        <v>125</v>
      </c>
      <c r="M3" s="279"/>
      <c r="N3" s="280">
        <v>3.34</v>
      </c>
      <c r="O3" s="280"/>
      <c r="P3" s="285" t="s">
        <v>48</v>
      </c>
      <c r="Q3" s="281" t="str">
        <f t="shared" si="2"/>
        <v/>
      </c>
      <c r="R3" s="282">
        <f t="shared" si="3"/>
        <v>0</v>
      </c>
      <c r="S3" s="268"/>
      <c r="T3" s="283" t="str">
        <f t="shared" si="4"/>
        <v/>
      </c>
      <c r="U3" s="284">
        <f>IF(M3=0,0,IF(G3="Annulation","",IF(assurance="ALPTIS",M3*12*T3/100*'1804 Data'!$K$4,IF(assurance="APRIL",M3*12*T3/100*'1804 Data'!$F$4,IF(assurance="ASAF",M3*12*T3/100*'1804 Data'!$I$4,IF(assurance="NEOLIANE",('1804 Data'!$G$5+M3*12*'1804 Data'!$G$4)*T3/100,IF(assurance="NEOLIANE Prev",('1804 Data'!$H$5+M3*12*'1804 Data'!$H$4)*T3/100,IF(assurance="SWISSLIFE",M3*12*T3/100*'1804 Data'!$J$4,IF(assurance="AVIVA",M3*12*T3/100*'1804 Data'!$L$4,IF(assurance="CIPRES",M3*12*T3/100*'1804 Data'!$M$4,IF(assurance="CEGEMA",M3*12*T3/100*'1804 Data'!$N$4,IF(assurance=0,0))))))))))))</f>
        <v>0</v>
      </c>
      <c r="V3" s="298" t="str">
        <f t="shared" si="5"/>
        <v/>
      </c>
      <c r="W3" s="298" t="str">
        <f t="shared" si="6"/>
        <v/>
      </c>
      <c r="X3" s="299">
        <v>-10</v>
      </c>
      <c r="Y3" s="368">
        <f t="shared" si="7"/>
        <v>0</v>
      </c>
      <c r="Z3" s="314">
        <v>43132</v>
      </c>
      <c r="AA3" s="313" t="str">
        <f t="shared" si="8"/>
        <v/>
      </c>
      <c r="AB3" s="268" t="s">
        <v>13</v>
      </c>
      <c r="AC3" s="277"/>
      <c r="AD3" s="309" t="str">
        <f t="shared" si="9"/>
        <v/>
      </c>
      <c r="AE3" s="286" t="str">
        <f t="shared" si="10"/>
        <v/>
      </c>
      <c r="AF3" s="277" t="s">
        <v>1360</v>
      </c>
      <c r="AG3" s="275" t="str">
        <f t="shared" si="11"/>
        <v/>
      </c>
      <c r="AH3" s="287" t="str">
        <f t="shared" ca="1" si="12"/>
        <v/>
      </c>
      <c r="AI3" s="373" t="str">
        <f t="shared" ca="1" si="13"/>
        <v/>
      </c>
      <c r="AJ3" s="275" t="str">
        <f t="shared" si="14"/>
        <v/>
      </c>
      <c r="AK3" s="296" t="str">
        <f t="shared" si="15"/>
        <v/>
      </c>
      <c r="AL3" s="287" t="str">
        <f t="shared" si="16"/>
        <v/>
      </c>
      <c r="AM3" s="279" t="str">
        <f t="shared" si="17"/>
        <v/>
      </c>
      <c r="AN3" s="279" t="str">
        <f t="shared" si="18"/>
        <v/>
      </c>
      <c r="AO3" s="288" t="str">
        <f t="shared" si="19"/>
        <v/>
      </c>
      <c r="AP3" s="279" t="str">
        <f t="shared" si="20"/>
        <v/>
      </c>
      <c r="AQ3" s="288" t="str">
        <f t="shared" si="21"/>
        <v/>
      </c>
      <c r="AR3" s="289" t="str">
        <f t="shared" si="22"/>
        <v/>
      </c>
      <c r="AS3" s="279" t="str">
        <f t="shared" si="23"/>
        <v/>
      </c>
      <c r="AT3" s="288" t="str">
        <f t="shared" si="24"/>
        <v/>
      </c>
      <c r="AU3" s="289" t="str">
        <f t="shared" si="25"/>
        <v/>
      </c>
      <c r="AV3" s="279" t="str">
        <f t="shared" si="26"/>
        <v/>
      </c>
      <c r="AW3" s="288" t="str">
        <f t="shared" si="27"/>
        <v/>
      </c>
      <c r="AX3" s="289" t="str">
        <f t="shared" si="28"/>
        <v/>
      </c>
      <c r="AY3" s="268"/>
      <c r="AZ3" s="291"/>
      <c r="BA3" s="292"/>
      <c r="BB3" s="303"/>
      <c r="BC3" s="293"/>
      <c r="BD3" s="293"/>
      <c r="BE3" s="304"/>
      <c r="BF3" s="274"/>
      <c r="BG3" s="270"/>
      <c r="BH3" s="268"/>
      <c r="BI3" s="273"/>
      <c r="BJ3" s="276"/>
      <c r="BK3" s="294"/>
      <c r="BL3" s="269" t="str">
        <f t="shared" ca="1" si="29"/>
        <v/>
      </c>
      <c r="BM3" s="270"/>
      <c r="BN3" s="271"/>
      <c r="BO3" s="272" t="str">
        <f t="shared" ca="1" si="30"/>
        <v/>
      </c>
      <c r="BP3" s="270"/>
      <c r="BQ3" s="271"/>
      <c r="BR3" s="272" t="str">
        <f t="shared" ca="1" si="31"/>
        <v/>
      </c>
      <c r="BS3" s="270"/>
      <c r="BT3" s="271"/>
      <c r="BU3" s="272" t="str">
        <f t="shared" ca="1" si="32"/>
        <v/>
      </c>
      <c r="BV3" s="270"/>
      <c r="BW3" s="271"/>
      <c r="BX3" s="272" t="str">
        <f t="shared" ca="1" si="33"/>
        <v/>
      </c>
      <c r="BY3" s="270"/>
      <c r="BZ3" s="271"/>
      <c r="CA3" s="272" t="str">
        <f t="shared" ca="1" si="34"/>
        <v/>
      </c>
      <c r="CB3" s="270"/>
      <c r="CC3" s="271"/>
      <c r="CD3" s="272" t="str">
        <f t="shared" ca="1" si="35"/>
        <v/>
      </c>
      <c r="CE3" s="270"/>
      <c r="CF3" s="271"/>
      <c r="CG3" s="272" t="str">
        <f t="shared" ca="1" si="36"/>
        <v/>
      </c>
      <c r="CH3" s="270"/>
      <c r="CI3" s="271"/>
      <c r="CJ3" s="272" t="str">
        <f t="shared" ca="1" si="37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38"/>
        <v/>
      </c>
      <c r="CU3" s="264"/>
      <c r="CV3" s="265"/>
      <c r="CW3" s="264"/>
      <c r="CX3" s="264"/>
      <c r="CY3" s="264" t="s">
        <v>1287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9"/>
        <v>0</v>
      </c>
      <c r="DN3" s="295" t="str">
        <f t="shared" si="40"/>
        <v>KO</v>
      </c>
    </row>
    <row r="4" spans="1:118" x14ac:dyDescent="0.25">
      <c r="A4" s="599" t="str">
        <f t="shared" si="41"/>
        <v>PANAIVA MONTEGUT Valerie - NEOLIANE Prev - Prev. Part</v>
      </c>
      <c r="B4" s="306"/>
      <c r="C4" s="305" t="s">
        <v>1138</v>
      </c>
      <c r="D4" s="301" t="s">
        <v>1139</v>
      </c>
      <c r="E4" s="276">
        <v>43117</v>
      </c>
      <c r="F4" s="278" t="s">
        <v>547</v>
      </c>
      <c r="G4" s="311" t="s">
        <v>174</v>
      </c>
      <c r="H4" s="276">
        <v>43110</v>
      </c>
      <c r="I4" s="313" t="str">
        <f t="shared" si="1"/>
        <v/>
      </c>
      <c r="J4" s="312" t="s">
        <v>85</v>
      </c>
      <c r="K4" s="268" t="s">
        <v>123</v>
      </c>
      <c r="L4" s="277" t="s">
        <v>125</v>
      </c>
      <c r="M4" s="279"/>
      <c r="N4" s="280">
        <v>3.34</v>
      </c>
      <c r="O4" s="280"/>
      <c r="P4" s="285" t="s">
        <v>48</v>
      </c>
      <c r="Q4" s="281" t="str">
        <f t="shared" si="2"/>
        <v/>
      </c>
      <c r="R4" s="282">
        <f t="shared" si="3"/>
        <v>0</v>
      </c>
      <c r="S4" s="268"/>
      <c r="T4" s="283" t="str">
        <f t="shared" si="4"/>
        <v/>
      </c>
      <c r="U4" s="284">
        <f>IF(M4=0,0,IF(G4="Annulation","",IF(assurance="ALPTIS",M4*12*T4/100*'1804 Data'!$K$4,IF(assurance="APRIL",M4*12*T4/100*'1804 Data'!$F$4,IF(assurance="ASAF",M4*12*T4/100*'1804 Data'!$I$4,IF(assurance="NEOLIANE",('1804 Data'!$G$5+M4*12*'1804 Data'!$G$4)*T4/100,IF(assurance="NEOLIANE Prev",('1804 Data'!$H$5+M4*12*'1804 Data'!$H$4)*T4/100,IF(assurance="SWISSLIFE",M4*12*T4/100*'1804 Data'!$J$4,IF(assurance="AVIVA",M4*12*T4/100*'1804 Data'!$L$4,IF(assurance="CIPRES",M4*12*T4/100*'1804 Data'!$M$4,IF(assurance="CEGEMA",M4*12*T4/100*'1804 Data'!$N$4,IF(assurance=0,0))))))))))))</f>
        <v>0</v>
      </c>
      <c r="V4" s="298" t="str">
        <f t="shared" si="5"/>
        <v/>
      </c>
      <c r="W4" s="298" t="str">
        <f t="shared" si="6"/>
        <v/>
      </c>
      <c r="X4" s="299">
        <v>-10</v>
      </c>
      <c r="Y4" s="368">
        <f t="shared" si="7"/>
        <v>0</v>
      </c>
      <c r="Z4" s="314">
        <v>43132</v>
      </c>
      <c r="AA4" s="313" t="str">
        <f t="shared" si="8"/>
        <v/>
      </c>
      <c r="AB4" s="268" t="s">
        <v>13</v>
      </c>
      <c r="AC4" s="277"/>
      <c r="AD4" s="309" t="str">
        <f t="shared" si="9"/>
        <v/>
      </c>
      <c r="AE4" s="286" t="str">
        <f t="shared" si="10"/>
        <v/>
      </c>
      <c r="AF4" s="277" t="s">
        <v>1360</v>
      </c>
      <c r="AG4" s="275" t="str">
        <f t="shared" si="11"/>
        <v/>
      </c>
      <c r="AH4" s="287" t="str">
        <f t="shared" ca="1" si="12"/>
        <v/>
      </c>
      <c r="AI4" s="373" t="str">
        <f t="shared" ca="1" si="13"/>
        <v/>
      </c>
      <c r="AJ4" s="275" t="str">
        <f t="shared" si="14"/>
        <v/>
      </c>
      <c r="AK4" s="296" t="str">
        <f t="shared" si="15"/>
        <v/>
      </c>
      <c r="AL4" s="287" t="str">
        <f t="shared" si="16"/>
        <v/>
      </c>
      <c r="AM4" s="279" t="str">
        <f t="shared" si="17"/>
        <v/>
      </c>
      <c r="AN4" s="279" t="str">
        <f t="shared" si="18"/>
        <v/>
      </c>
      <c r="AO4" s="288" t="str">
        <f t="shared" si="19"/>
        <v/>
      </c>
      <c r="AP4" s="279" t="str">
        <f t="shared" si="20"/>
        <v/>
      </c>
      <c r="AQ4" s="288" t="str">
        <f t="shared" si="21"/>
        <v/>
      </c>
      <c r="AR4" s="289" t="str">
        <f t="shared" si="22"/>
        <v/>
      </c>
      <c r="AS4" s="279" t="str">
        <f t="shared" si="23"/>
        <v/>
      </c>
      <c r="AT4" s="288" t="str">
        <f t="shared" si="24"/>
        <v/>
      </c>
      <c r="AU4" s="289" t="str">
        <f t="shared" si="25"/>
        <v/>
      </c>
      <c r="AV4" s="279" t="str">
        <f t="shared" si="26"/>
        <v/>
      </c>
      <c r="AW4" s="288" t="str">
        <f t="shared" si="27"/>
        <v/>
      </c>
      <c r="AX4" s="289" t="str">
        <f t="shared" si="28"/>
        <v/>
      </c>
      <c r="AY4" s="268"/>
      <c r="AZ4" s="291"/>
      <c r="BA4" s="292"/>
      <c r="BB4" s="303"/>
      <c r="BC4" s="293"/>
      <c r="BD4" s="293"/>
      <c r="BE4" s="304"/>
      <c r="BF4" s="274"/>
      <c r="BG4" s="270"/>
      <c r="BH4" s="268"/>
      <c r="BI4" s="273"/>
      <c r="BJ4" s="276"/>
      <c r="BK4" s="294"/>
      <c r="BL4" s="269" t="str">
        <f t="shared" ca="1" si="29"/>
        <v/>
      </c>
      <c r="BM4" s="270"/>
      <c r="BN4" s="271"/>
      <c r="BO4" s="272" t="str">
        <f t="shared" ca="1" si="30"/>
        <v/>
      </c>
      <c r="BP4" s="270"/>
      <c r="BQ4" s="271"/>
      <c r="BR4" s="272" t="str">
        <f t="shared" ca="1" si="31"/>
        <v/>
      </c>
      <c r="BS4" s="270"/>
      <c r="BT4" s="271"/>
      <c r="BU4" s="272" t="str">
        <f t="shared" ca="1" si="32"/>
        <v/>
      </c>
      <c r="BV4" s="270"/>
      <c r="BW4" s="271"/>
      <c r="BX4" s="272" t="str">
        <f t="shared" ca="1" si="33"/>
        <v/>
      </c>
      <c r="BY4" s="270"/>
      <c r="BZ4" s="271"/>
      <c r="CA4" s="272" t="str">
        <f t="shared" ca="1" si="34"/>
        <v/>
      </c>
      <c r="CB4" s="270"/>
      <c r="CC4" s="271"/>
      <c r="CD4" s="272" t="str">
        <f t="shared" ca="1" si="35"/>
        <v/>
      </c>
      <c r="CE4" s="270"/>
      <c r="CF4" s="271"/>
      <c r="CG4" s="272" t="str">
        <f t="shared" ca="1" si="36"/>
        <v/>
      </c>
      <c r="CH4" s="270"/>
      <c r="CI4" s="271"/>
      <c r="CJ4" s="272" t="str">
        <f t="shared" ca="1" si="37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8"/>
        <v/>
      </c>
      <c r="CU4" s="264"/>
      <c r="CV4" s="265"/>
      <c r="CW4" s="264"/>
      <c r="CX4" s="264"/>
      <c r="CY4" s="264" t="s">
        <v>1287</v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9"/>
        <v>0</v>
      </c>
      <c r="DN4" s="295" t="str">
        <f t="shared" si="40"/>
        <v>KO</v>
      </c>
    </row>
    <row r="5" spans="1:118" x14ac:dyDescent="0.25">
      <c r="A5" s="599" t="str">
        <f t="shared" si="41"/>
        <v>PANAIVA MONTEGUT Valerie - NEOLIANE Prev - Prev. Part</v>
      </c>
      <c r="B5" s="306"/>
      <c r="C5" s="305" t="s">
        <v>1138</v>
      </c>
      <c r="D5" s="301" t="s">
        <v>1139</v>
      </c>
      <c r="E5" s="276">
        <v>43117</v>
      </c>
      <c r="F5" s="278" t="s">
        <v>547</v>
      </c>
      <c r="G5" s="311" t="s">
        <v>174</v>
      </c>
      <c r="H5" s="276">
        <v>43110</v>
      </c>
      <c r="I5" s="313" t="str">
        <f t="shared" si="1"/>
        <v/>
      </c>
      <c r="J5" s="312" t="s">
        <v>85</v>
      </c>
      <c r="K5" s="268" t="s">
        <v>123</v>
      </c>
      <c r="L5" s="277" t="s">
        <v>125</v>
      </c>
      <c r="M5" s="279"/>
      <c r="N5" s="280">
        <v>3.34</v>
      </c>
      <c r="O5" s="280"/>
      <c r="P5" s="285" t="s">
        <v>48</v>
      </c>
      <c r="Q5" s="281" t="str">
        <f t="shared" si="2"/>
        <v/>
      </c>
      <c r="R5" s="282">
        <f t="shared" si="3"/>
        <v>0</v>
      </c>
      <c r="S5" s="268"/>
      <c r="T5" s="283" t="str">
        <f t="shared" si="4"/>
        <v/>
      </c>
      <c r="U5" s="284">
        <f>IF(M5=0,0,IF(G5="Annulation","",IF(assurance="ALPTIS",M5*12*T5/100*'1804 Data'!$K$4,IF(assurance="APRIL",M5*12*T5/100*'1804 Data'!$F$4,IF(assurance="ASAF",M5*12*T5/100*'1804 Data'!$I$4,IF(assurance="NEOLIANE",('1804 Data'!$G$5+M5*12*'1804 Data'!$G$4)*T5/100,IF(assurance="NEOLIANE Prev",('1804 Data'!$H$5+M5*12*'1804 Data'!$H$4)*T5/100,IF(assurance="SWISSLIFE",M5*12*T5/100*'1804 Data'!$J$4,IF(assurance="AVIVA",M5*12*T5/100*'1804 Data'!$L$4,IF(assurance="CIPRES",M5*12*T5/100*'1804 Data'!$M$4,IF(assurance="CEGEMA",M5*12*T5/100*'1804 Data'!$N$4,IF(assurance=0,0))))))))))))</f>
        <v>0</v>
      </c>
      <c r="V5" s="298" t="str">
        <f t="shared" si="5"/>
        <v/>
      </c>
      <c r="W5" s="298" t="str">
        <f t="shared" si="6"/>
        <v/>
      </c>
      <c r="X5" s="299">
        <v>-10</v>
      </c>
      <c r="Y5" s="368">
        <f t="shared" si="7"/>
        <v>0</v>
      </c>
      <c r="Z5" s="314">
        <v>43132</v>
      </c>
      <c r="AA5" s="313" t="str">
        <f t="shared" si="8"/>
        <v/>
      </c>
      <c r="AB5" s="268" t="s">
        <v>13</v>
      </c>
      <c r="AC5" s="277"/>
      <c r="AD5" s="309" t="str">
        <f t="shared" si="9"/>
        <v/>
      </c>
      <c r="AE5" s="286" t="str">
        <f t="shared" si="10"/>
        <v/>
      </c>
      <c r="AF5" s="277" t="s">
        <v>1360</v>
      </c>
      <c r="AG5" s="275" t="str">
        <f t="shared" si="11"/>
        <v/>
      </c>
      <c r="AH5" s="287" t="str">
        <f t="shared" ca="1" si="12"/>
        <v/>
      </c>
      <c r="AI5" s="373" t="str">
        <f t="shared" ca="1" si="13"/>
        <v/>
      </c>
      <c r="AJ5" s="275" t="str">
        <f t="shared" si="14"/>
        <v/>
      </c>
      <c r="AK5" s="296" t="str">
        <f t="shared" si="15"/>
        <v/>
      </c>
      <c r="AL5" s="287" t="str">
        <f t="shared" si="16"/>
        <v/>
      </c>
      <c r="AM5" s="279" t="str">
        <f t="shared" si="17"/>
        <v/>
      </c>
      <c r="AN5" s="279" t="str">
        <f t="shared" si="18"/>
        <v/>
      </c>
      <c r="AO5" s="288" t="str">
        <f t="shared" si="19"/>
        <v/>
      </c>
      <c r="AP5" s="279" t="str">
        <f t="shared" si="20"/>
        <v/>
      </c>
      <c r="AQ5" s="288" t="str">
        <f t="shared" si="21"/>
        <v/>
      </c>
      <c r="AR5" s="289" t="str">
        <f t="shared" si="22"/>
        <v/>
      </c>
      <c r="AS5" s="279" t="str">
        <f t="shared" si="23"/>
        <v/>
      </c>
      <c r="AT5" s="288" t="str">
        <f t="shared" si="24"/>
        <v/>
      </c>
      <c r="AU5" s="289" t="str">
        <f t="shared" si="25"/>
        <v/>
      </c>
      <c r="AV5" s="279" t="str">
        <f t="shared" si="26"/>
        <v/>
      </c>
      <c r="AW5" s="288" t="str">
        <f t="shared" si="27"/>
        <v/>
      </c>
      <c r="AX5" s="289" t="str">
        <f t="shared" si="28"/>
        <v/>
      </c>
      <c r="AY5" s="268"/>
      <c r="AZ5" s="291"/>
      <c r="BA5" s="292"/>
      <c r="BB5" s="303"/>
      <c r="BC5" s="293"/>
      <c r="BD5" s="293"/>
      <c r="BE5" s="304"/>
      <c r="BF5" s="274"/>
      <c r="BG5" s="270"/>
      <c r="BH5" s="268"/>
      <c r="BI5" s="273"/>
      <c r="BJ5" s="276"/>
      <c r="BK5" s="294"/>
      <c r="BL5" s="269" t="str">
        <f t="shared" ca="1" si="29"/>
        <v/>
      </c>
      <c r="BM5" s="270"/>
      <c r="BN5" s="271"/>
      <c r="BO5" s="272" t="str">
        <f t="shared" ca="1" si="30"/>
        <v/>
      </c>
      <c r="BP5" s="270"/>
      <c r="BQ5" s="271"/>
      <c r="BR5" s="272" t="str">
        <f t="shared" ca="1" si="31"/>
        <v/>
      </c>
      <c r="BS5" s="270"/>
      <c r="BT5" s="271"/>
      <c r="BU5" s="272" t="str">
        <f t="shared" ca="1" si="32"/>
        <v/>
      </c>
      <c r="BV5" s="270"/>
      <c r="BW5" s="271"/>
      <c r="BX5" s="272" t="str">
        <f t="shared" ca="1" si="33"/>
        <v/>
      </c>
      <c r="BY5" s="270"/>
      <c r="BZ5" s="271"/>
      <c r="CA5" s="272" t="str">
        <f t="shared" ca="1" si="34"/>
        <v/>
      </c>
      <c r="CB5" s="270"/>
      <c r="CC5" s="271"/>
      <c r="CD5" s="272" t="str">
        <f t="shared" ca="1" si="35"/>
        <v/>
      </c>
      <c r="CE5" s="270"/>
      <c r="CF5" s="271"/>
      <c r="CG5" s="272" t="str">
        <f t="shared" ca="1" si="36"/>
        <v/>
      </c>
      <c r="CH5" s="270"/>
      <c r="CI5" s="271"/>
      <c r="CJ5" s="272" t="str">
        <f t="shared" ca="1" si="37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8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9"/>
        <v>0</v>
      </c>
      <c r="DN5" s="295" t="str">
        <f t="shared" si="40"/>
        <v>KO</v>
      </c>
    </row>
    <row r="6" spans="1:118" x14ac:dyDescent="0.25">
      <c r="A6" s="599" t="str">
        <f t="shared" si="41"/>
        <v>SANTONI LECOMTE Joanna - CIPRES - Prev. Pro</v>
      </c>
      <c r="B6" s="306"/>
      <c r="C6" s="305" t="s">
        <v>1274</v>
      </c>
      <c r="D6" s="301" t="s">
        <v>1273</v>
      </c>
      <c r="E6" s="276">
        <v>43119</v>
      </c>
      <c r="F6" s="278" t="s">
        <v>546</v>
      </c>
      <c r="G6" s="311" t="s">
        <v>171</v>
      </c>
      <c r="H6" s="276">
        <v>42507</v>
      </c>
      <c r="I6" s="313">
        <f t="shared" si="1"/>
        <v>612</v>
      </c>
      <c r="J6" s="312" t="s">
        <v>16</v>
      </c>
      <c r="K6" s="268" t="s">
        <v>22</v>
      </c>
      <c r="L6" s="277" t="s">
        <v>133</v>
      </c>
      <c r="M6" s="279">
        <v>86.7</v>
      </c>
      <c r="N6" s="280">
        <v>86.7</v>
      </c>
      <c r="O6" s="280"/>
      <c r="P6" s="285" t="s">
        <v>57</v>
      </c>
      <c r="Q6" s="281" t="str">
        <f t="shared" si="2"/>
        <v/>
      </c>
      <c r="R6" s="282">
        <f t="shared" si="3"/>
        <v>1040.4000000000001</v>
      </c>
      <c r="S6" s="268" t="s">
        <v>14</v>
      </c>
      <c r="T6" s="283">
        <f t="shared" si="4"/>
        <v>20</v>
      </c>
      <c r="U6" s="284">
        <f>IF(M6=0,0,IF(G6="Annulation","",IF(assurance="ALPTIS",M6*12*T6/100*'1804 Data'!$K$4,IF(assurance="APRIL",M6*12*T6/100*'1804 Data'!$F$4,IF(assurance="ASAF",M6*12*T6/100*'1804 Data'!$I$4,IF(assurance="NEOLIANE",('1804 Data'!$G$5+M6*12*'1804 Data'!$G$4)*T6/100,IF(assurance="NEOLIANE Prev",('1804 Data'!$H$5+M6*12*'1804 Data'!$H$4)*T6/100,IF(assurance="SWISSLIFE",M6*12*T6/100*'1804 Data'!$J$4,IF(assurance="AVIVA",M6*12*T6/100*'1804 Data'!$L$4,IF(assurance="CIPRES",M6*12*T6/100*'1804 Data'!$M$4,IF(assurance="CEGEMA",M6*12*T6/100*'1804 Data'!$N$4,IF(assurance=0,0))))))))))))</f>
        <v>16.6464</v>
      </c>
      <c r="V6" s="298">
        <f t="shared" si="5"/>
        <v>0</v>
      </c>
      <c r="W6" s="298">
        <f t="shared" si="6"/>
        <v>17.34</v>
      </c>
      <c r="X6" s="299">
        <f t="shared" ref="X6:X18" si="42">IF(G6="Annulation",0,IF(typecomm="Linéaire",0,IF(typecomm="Précompte 1",V6-U6,IF(mens=0,0,IF(typecomm="Précompte",V6-U6,IF(typecomm=0,0))))))</f>
        <v>0</v>
      </c>
      <c r="Y6" s="368">
        <f t="shared" si="7"/>
        <v>15.9528</v>
      </c>
      <c r="Z6" s="314">
        <v>43101</v>
      </c>
      <c r="AA6" s="313">
        <f t="shared" si="8"/>
        <v>-18</v>
      </c>
      <c r="AB6" s="268" t="s">
        <v>13</v>
      </c>
      <c r="AC6" s="277"/>
      <c r="AD6" s="309" t="str">
        <f t="shared" si="9"/>
        <v/>
      </c>
      <c r="AE6" s="286" t="str">
        <f t="shared" si="10"/>
        <v/>
      </c>
      <c r="AF6" s="277"/>
      <c r="AG6" s="275">
        <f t="shared" si="11"/>
        <v>43466</v>
      </c>
      <c r="AH6" s="287">
        <f t="shared" ca="1" si="12"/>
        <v>0.43287671232876712</v>
      </c>
      <c r="AI6" s="373">
        <f t="shared" ca="1" si="13"/>
        <v>43466</v>
      </c>
      <c r="AJ6" s="275">
        <f t="shared" ca="1" si="14"/>
        <v>43404</v>
      </c>
      <c r="AK6" s="296">
        <f t="shared" ca="1" si="15"/>
        <v>43374</v>
      </c>
      <c r="AL6" s="287">
        <f t="shared" ca="1" si="16"/>
        <v>1</v>
      </c>
      <c r="AM6" s="279">
        <f t="shared" si="17"/>
        <v>0</v>
      </c>
      <c r="AN6" s="279">
        <f t="shared" si="18"/>
        <v>0</v>
      </c>
      <c r="AO6" s="288">
        <f t="shared" si="19"/>
        <v>0</v>
      </c>
      <c r="AP6" s="279">
        <f t="shared" si="20"/>
        <v>86.7</v>
      </c>
      <c r="AQ6" s="288">
        <f t="shared" si="21"/>
        <v>0</v>
      </c>
      <c r="AR6" s="289">
        <f t="shared" si="22"/>
        <v>0</v>
      </c>
      <c r="AS6" s="279">
        <f t="shared" si="23"/>
        <v>0</v>
      </c>
      <c r="AT6" s="288">
        <f t="shared" si="24"/>
        <v>-1</v>
      </c>
      <c r="AU6" s="289">
        <f t="shared" si="25"/>
        <v>0</v>
      </c>
      <c r="AV6" s="279">
        <f t="shared" si="26"/>
        <v>0</v>
      </c>
      <c r="AW6" s="288">
        <f t="shared" si="27"/>
        <v>0</v>
      </c>
      <c r="AX6" s="289">
        <f t="shared" si="28"/>
        <v>-1</v>
      </c>
      <c r="AY6" s="268" t="s">
        <v>276</v>
      </c>
      <c r="AZ6" s="291" t="s">
        <v>1272</v>
      </c>
      <c r="BA6" s="292">
        <v>67110</v>
      </c>
      <c r="BB6" s="303" t="s">
        <v>1275</v>
      </c>
      <c r="BC6" s="293">
        <v>626460194</v>
      </c>
      <c r="BD6" s="293"/>
      <c r="BE6" s="304" t="s">
        <v>1271</v>
      </c>
      <c r="BF6" s="274"/>
      <c r="BG6" s="270"/>
      <c r="BH6" s="268">
        <v>1</v>
      </c>
      <c r="BI6" s="273">
        <v>0</v>
      </c>
      <c r="BJ6" s="276">
        <v>30050</v>
      </c>
      <c r="BK6" s="294" t="s">
        <v>202</v>
      </c>
      <c r="BL6" s="269">
        <f t="shared" ca="1" si="29"/>
        <v>36</v>
      </c>
      <c r="BM6" s="270"/>
      <c r="BN6" s="271"/>
      <c r="BO6" s="272" t="str">
        <f t="shared" ca="1" si="30"/>
        <v/>
      </c>
      <c r="BP6" s="270"/>
      <c r="BQ6" s="271"/>
      <c r="BR6" s="272" t="str">
        <f t="shared" ca="1" si="31"/>
        <v/>
      </c>
      <c r="BS6" s="270"/>
      <c r="BT6" s="271"/>
      <c r="BU6" s="272" t="str">
        <f t="shared" ca="1" si="32"/>
        <v/>
      </c>
      <c r="BV6" s="270"/>
      <c r="BW6" s="271"/>
      <c r="BX6" s="272" t="str">
        <f t="shared" ca="1" si="33"/>
        <v/>
      </c>
      <c r="BY6" s="270"/>
      <c r="BZ6" s="271"/>
      <c r="CA6" s="272" t="str">
        <f t="shared" ca="1" si="34"/>
        <v/>
      </c>
      <c r="CB6" s="270"/>
      <c r="CC6" s="271"/>
      <c r="CD6" s="272" t="str">
        <f t="shared" ca="1" si="35"/>
        <v/>
      </c>
      <c r="CE6" s="270"/>
      <c r="CF6" s="271"/>
      <c r="CG6" s="272" t="str">
        <f t="shared" ca="1" si="36"/>
        <v/>
      </c>
      <c r="CH6" s="270"/>
      <c r="CI6" s="271"/>
      <c r="CJ6" s="272" t="str">
        <f t="shared" ca="1" si="37"/>
        <v/>
      </c>
      <c r="CK6" s="262"/>
      <c r="CL6" s="264"/>
      <c r="CM6" s="264"/>
      <c r="CN6" s="264"/>
      <c r="CO6" s="264"/>
      <c r="CP6" s="264"/>
      <c r="CQ6" s="264"/>
      <c r="CR6" s="262" t="s">
        <v>1276</v>
      </c>
      <c r="CS6" s="263"/>
      <c r="CT6" s="297">
        <f t="shared" ca="1" si="38"/>
        <v>36</v>
      </c>
      <c r="CU6" s="264" t="s">
        <v>108</v>
      </c>
      <c r="CV6" s="265">
        <v>42675</v>
      </c>
      <c r="CW6" s="264" t="s">
        <v>351</v>
      </c>
      <c r="CX6" s="264" t="s">
        <v>350</v>
      </c>
      <c r="CY6" s="264" t="s">
        <v>351</v>
      </c>
      <c r="CZ6" s="264" t="s">
        <v>359</v>
      </c>
      <c r="DA6" s="264" t="s">
        <v>351</v>
      </c>
      <c r="DB6" s="266">
        <v>3311</v>
      </c>
      <c r="DC6" s="264" t="s">
        <v>343</v>
      </c>
      <c r="DD6" s="264" t="s">
        <v>363</v>
      </c>
      <c r="DE6" s="266">
        <v>0</v>
      </c>
      <c r="DF6" s="266">
        <v>59000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351</v>
      </c>
      <c r="DL6" s="267"/>
      <c r="DM6" s="261">
        <f t="shared" si="39"/>
        <v>0</v>
      </c>
      <c r="DN6" s="295" t="str">
        <f t="shared" si="40"/>
        <v>OK</v>
      </c>
    </row>
    <row r="7" spans="1:118" x14ac:dyDescent="0.25">
      <c r="A7" s="599" t="str">
        <f t="shared" si="41"/>
        <v>BITEAU Maeva - APRIL - Prev. Pro</v>
      </c>
      <c r="B7" s="306"/>
      <c r="C7" s="305" t="s">
        <v>51</v>
      </c>
      <c r="D7" s="301" t="s">
        <v>1278</v>
      </c>
      <c r="E7" s="276">
        <v>43145</v>
      </c>
      <c r="F7" s="278" t="s">
        <v>547</v>
      </c>
      <c r="G7" s="311" t="s">
        <v>170</v>
      </c>
      <c r="H7" s="276">
        <v>43139</v>
      </c>
      <c r="I7" s="313">
        <f t="shared" si="1"/>
        <v>6</v>
      </c>
      <c r="J7" s="312" t="s">
        <v>16</v>
      </c>
      <c r="K7" s="268" t="s">
        <v>33</v>
      </c>
      <c r="L7" s="277" t="s">
        <v>133</v>
      </c>
      <c r="M7" s="279">
        <v>61.5</v>
      </c>
      <c r="N7" s="280">
        <v>61.5</v>
      </c>
      <c r="O7" s="280"/>
      <c r="P7" s="285" t="s">
        <v>57</v>
      </c>
      <c r="Q7" s="281" t="str">
        <f t="shared" si="2"/>
        <v/>
      </c>
      <c r="R7" s="282">
        <f t="shared" si="3"/>
        <v>738</v>
      </c>
      <c r="S7" s="268" t="s">
        <v>18</v>
      </c>
      <c r="T7" s="283">
        <f t="shared" si="4"/>
        <v>25</v>
      </c>
      <c r="U7" s="284">
        <f>IF(M7=0,0,IF(G7="Annulation","",IF(assurance="ALPTIS",M7*12*T7/100*'1804 Data'!$K$4,IF(assurance="APRIL",M7*12*T7/100*'1804 Data'!$F$4,IF(assurance="ASAF",M7*12*T7/100*'1804 Data'!$I$4,IF(assurance="NEOLIANE",('1804 Data'!$G$5+M7*12*'1804 Data'!$G$4)*T7/100,IF(assurance="NEOLIANE Prev",('1804 Data'!$H$5+M7*12*'1804 Data'!$H$4)*T7/100,IF(assurance="SWISSLIFE",M7*12*T7/100*'1804 Data'!$J$4,IF(assurance="AVIVA",M7*12*T7/100*'1804 Data'!$L$4,IF(assurance="CIPRES",M7*12*T7/100*'1804 Data'!$M$4,IF(assurance="CEGEMA",M7*12*T7/100*'1804 Data'!$N$4,IF(assurance=0,0))))))))))))</f>
        <v>14.280299999999999</v>
      </c>
      <c r="V7" s="298">
        <f t="shared" si="5"/>
        <v>184.5</v>
      </c>
      <c r="W7" s="298">
        <f t="shared" si="6"/>
        <v>0</v>
      </c>
      <c r="X7" s="299">
        <f t="shared" si="42"/>
        <v>170.21969999999999</v>
      </c>
      <c r="Y7" s="368">
        <f t="shared" si="7"/>
        <v>0</v>
      </c>
      <c r="Z7" s="314">
        <v>43147</v>
      </c>
      <c r="AA7" s="313">
        <f t="shared" si="8"/>
        <v>2</v>
      </c>
      <c r="AB7" s="268" t="s">
        <v>13</v>
      </c>
      <c r="AC7" s="277"/>
      <c r="AD7" s="309" t="str">
        <f t="shared" si="9"/>
        <v/>
      </c>
      <c r="AE7" s="286" t="str">
        <f t="shared" si="10"/>
        <v/>
      </c>
      <c r="AF7" s="277"/>
      <c r="AG7" s="275">
        <f t="shared" si="11"/>
        <v>43466</v>
      </c>
      <c r="AH7" s="287">
        <f t="shared" ca="1" si="12"/>
        <v>0.30684931506849317</v>
      </c>
      <c r="AI7" s="373">
        <f t="shared" ca="1" si="13"/>
        <v>43466</v>
      </c>
      <c r="AJ7" s="275">
        <f t="shared" ca="1" si="14"/>
        <v>43404</v>
      </c>
      <c r="AK7" s="296">
        <f t="shared" ca="1" si="15"/>
        <v>43374</v>
      </c>
      <c r="AL7" s="287">
        <f t="shared" ca="1" si="16"/>
        <v>0.87397260273972599</v>
      </c>
      <c r="AM7" s="279">
        <f t="shared" si="17"/>
        <v>0</v>
      </c>
      <c r="AN7" s="279">
        <f t="shared" si="18"/>
        <v>0</v>
      </c>
      <c r="AO7" s="288">
        <f t="shared" si="19"/>
        <v>0</v>
      </c>
      <c r="AP7" s="279">
        <f t="shared" si="20"/>
        <v>61.5</v>
      </c>
      <c r="AQ7" s="288">
        <f t="shared" si="21"/>
        <v>0</v>
      </c>
      <c r="AR7" s="289">
        <f t="shared" si="22"/>
        <v>0</v>
      </c>
      <c r="AS7" s="279">
        <f t="shared" si="23"/>
        <v>0</v>
      </c>
      <c r="AT7" s="288">
        <f t="shared" si="24"/>
        <v>-1</v>
      </c>
      <c r="AU7" s="289">
        <f t="shared" si="25"/>
        <v>0</v>
      </c>
      <c r="AV7" s="279">
        <f t="shared" si="26"/>
        <v>0</v>
      </c>
      <c r="AW7" s="288">
        <f t="shared" si="27"/>
        <v>0</v>
      </c>
      <c r="AX7" s="289">
        <f t="shared" si="28"/>
        <v>-1</v>
      </c>
      <c r="AY7" s="268" t="s">
        <v>273</v>
      </c>
      <c r="AZ7" s="291">
        <v>679329000</v>
      </c>
      <c r="BA7" s="292">
        <v>17100</v>
      </c>
      <c r="BB7" s="303" t="s">
        <v>1279</v>
      </c>
      <c r="BC7" s="293">
        <v>658054593</v>
      </c>
      <c r="BD7" s="293"/>
      <c r="BE7" s="304" t="s">
        <v>1280</v>
      </c>
      <c r="BF7" s="274"/>
      <c r="BG7" s="270"/>
      <c r="BH7" s="268">
        <v>1</v>
      </c>
      <c r="BI7" s="273">
        <v>0</v>
      </c>
      <c r="BJ7" s="276">
        <v>32596</v>
      </c>
      <c r="BK7" s="294" t="s">
        <v>202</v>
      </c>
      <c r="BL7" s="269">
        <f t="shared" ca="1" si="29"/>
        <v>29</v>
      </c>
      <c r="BM7" s="270"/>
      <c r="BN7" s="271"/>
      <c r="BO7" s="272" t="str">
        <f t="shared" ca="1" si="30"/>
        <v/>
      </c>
      <c r="BP7" s="270"/>
      <c r="BQ7" s="271"/>
      <c r="BR7" s="272" t="str">
        <f t="shared" ca="1" si="31"/>
        <v/>
      </c>
      <c r="BS7" s="270"/>
      <c r="BT7" s="271"/>
      <c r="BU7" s="272" t="str">
        <f t="shared" ca="1" si="32"/>
        <v/>
      </c>
      <c r="BV7" s="270"/>
      <c r="BW7" s="271"/>
      <c r="BX7" s="272" t="str">
        <f t="shared" ca="1" si="33"/>
        <v/>
      </c>
      <c r="BY7" s="270"/>
      <c r="BZ7" s="271"/>
      <c r="CA7" s="272" t="str">
        <f t="shared" ca="1" si="34"/>
        <v/>
      </c>
      <c r="CB7" s="270"/>
      <c r="CC7" s="271"/>
      <c r="CD7" s="272" t="str">
        <f t="shared" ca="1" si="35"/>
        <v/>
      </c>
      <c r="CE7" s="270"/>
      <c r="CF7" s="271"/>
      <c r="CG7" s="272" t="str">
        <f t="shared" ca="1" si="36"/>
        <v/>
      </c>
      <c r="CH7" s="270"/>
      <c r="CI7" s="271"/>
      <c r="CJ7" s="272" t="str">
        <f t="shared" ca="1" si="37"/>
        <v/>
      </c>
      <c r="CK7" s="262"/>
      <c r="CL7" s="264"/>
      <c r="CM7" s="264"/>
      <c r="CN7" s="264"/>
      <c r="CO7" s="264"/>
      <c r="CP7" s="264"/>
      <c r="CQ7" s="264"/>
      <c r="CR7" s="262" t="s">
        <v>1277</v>
      </c>
      <c r="CS7" s="263" t="s">
        <v>1281</v>
      </c>
      <c r="CT7" s="297">
        <f t="shared" ca="1" si="38"/>
        <v>29</v>
      </c>
      <c r="CU7" s="264" t="s">
        <v>316</v>
      </c>
      <c r="CV7" s="265">
        <v>41585</v>
      </c>
      <c r="CW7" s="264" t="s">
        <v>351</v>
      </c>
      <c r="CX7" s="264" t="s">
        <v>377</v>
      </c>
      <c r="CY7" s="264" t="s">
        <v>351</v>
      </c>
      <c r="CZ7" s="264" t="s">
        <v>360</v>
      </c>
      <c r="DA7" s="264"/>
      <c r="DB7" s="266">
        <v>3000</v>
      </c>
      <c r="DC7" s="264" t="s">
        <v>343</v>
      </c>
      <c r="DD7" s="264" t="s">
        <v>362</v>
      </c>
      <c r="DE7" s="266">
        <v>2400</v>
      </c>
      <c r="DF7" s="266">
        <v>100000</v>
      </c>
      <c r="DG7" s="264" t="s">
        <v>35</v>
      </c>
      <c r="DH7" s="266">
        <v>0</v>
      </c>
      <c r="DI7" s="266">
        <v>0</v>
      </c>
      <c r="DJ7" s="264" t="s">
        <v>351</v>
      </c>
      <c r="DK7" s="264" t="s">
        <v>351</v>
      </c>
      <c r="DL7" s="267" t="s">
        <v>525</v>
      </c>
      <c r="DM7" s="261">
        <f t="shared" si="39"/>
        <v>0</v>
      </c>
      <c r="DN7" s="295" t="str">
        <f t="shared" si="40"/>
        <v>OK</v>
      </c>
    </row>
    <row r="8" spans="1:118" x14ac:dyDescent="0.25">
      <c r="A8" s="599" t="str">
        <f t="shared" si="41"/>
        <v>COLIN Christophe - APRIL - Prev. Pro</v>
      </c>
      <c r="B8" s="306"/>
      <c r="C8" s="305" t="s">
        <v>140</v>
      </c>
      <c r="D8" s="301" t="s">
        <v>1239</v>
      </c>
      <c r="E8" s="276">
        <v>43173</v>
      </c>
      <c r="F8" s="278" t="s">
        <v>546</v>
      </c>
      <c r="G8" s="311" t="s">
        <v>170</v>
      </c>
      <c r="H8" s="276">
        <v>43161</v>
      </c>
      <c r="I8" s="313">
        <f t="shared" si="1"/>
        <v>12</v>
      </c>
      <c r="J8" s="312" t="s">
        <v>16</v>
      </c>
      <c r="K8" s="268" t="s">
        <v>33</v>
      </c>
      <c r="L8" s="277" t="s">
        <v>133</v>
      </c>
      <c r="M8" s="279">
        <v>48.15</v>
      </c>
      <c r="N8" s="280">
        <v>48.15</v>
      </c>
      <c r="O8" s="280"/>
      <c r="P8" s="285" t="s">
        <v>57</v>
      </c>
      <c r="Q8" s="281" t="str">
        <f t="shared" si="2"/>
        <v/>
      </c>
      <c r="R8" s="282">
        <f t="shared" si="3"/>
        <v>577.79999999999995</v>
      </c>
      <c r="S8" s="268" t="s">
        <v>18</v>
      </c>
      <c r="T8" s="283">
        <f t="shared" si="4"/>
        <v>25</v>
      </c>
      <c r="U8" s="284">
        <f>IF(M8=0,0,IF(G8="Annulation","",IF(assurance="ALPTIS",M8*12*T8/100*'1804 Data'!$K$4,IF(assurance="APRIL",M8*12*T8/100*'1804 Data'!$F$4,IF(assurance="ASAF",M8*12*T8/100*'1804 Data'!$I$4,IF(assurance="NEOLIANE",('1804 Data'!$G$5+M8*12*'1804 Data'!$G$4)*T8/100,IF(assurance="NEOLIANE Prev",('1804 Data'!$H$5+M8*12*'1804 Data'!$H$4)*T8/100,IF(assurance="SWISSLIFE",M8*12*T8/100*'1804 Data'!$J$4,IF(assurance="AVIVA",M8*12*T8/100*'1804 Data'!$L$4,IF(assurance="CIPRES",M8*12*T8/100*'1804 Data'!$M$4,IF(assurance="CEGEMA",M8*12*T8/100*'1804 Data'!$N$4,IF(assurance=0,0))))))))))))</f>
        <v>11.180429999999999</v>
      </c>
      <c r="V8" s="298">
        <f t="shared" si="5"/>
        <v>144.44999999999999</v>
      </c>
      <c r="W8" s="298">
        <f t="shared" si="6"/>
        <v>0</v>
      </c>
      <c r="X8" s="299">
        <f t="shared" si="42"/>
        <v>133.26956999999999</v>
      </c>
      <c r="Y8" s="368">
        <f t="shared" si="7"/>
        <v>0</v>
      </c>
      <c r="Z8" s="314">
        <v>43177</v>
      </c>
      <c r="AA8" s="313">
        <f t="shared" si="8"/>
        <v>4</v>
      </c>
      <c r="AB8" s="268" t="s">
        <v>13</v>
      </c>
      <c r="AC8" s="277"/>
      <c r="AD8" s="309" t="str">
        <f t="shared" si="9"/>
        <v/>
      </c>
      <c r="AE8" s="286" t="str">
        <f t="shared" si="10"/>
        <v/>
      </c>
      <c r="AF8" s="277"/>
      <c r="AG8" s="275">
        <f t="shared" si="11"/>
        <v>43466</v>
      </c>
      <c r="AH8" s="287">
        <f t="shared" ca="1" si="12"/>
        <v>0.22465753424657534</v>
      </c>
      <c r="AI8" s="373">
        <f t="shared" ca="1" si="13"/>
        <v>43466</v>
      </c>
      <c r="AJ8" s="275">
        <f t="shared" ca="1" si="14"/>
        <v>43404</v>
      </c>
      <c r="AK8" s="296">
        <f t="shared" ca="1" si="15"/>
        <v>43374</v>
      </c>
      <c r="AL8" s="287">
        <f t="shared" ca="1" si="16"/>
        <v>0.79178082191780819</v>
      </c>
      <c r="AM8" s="279">
        <f t="shared" si="17"/>
        <v>0</v>
      </c>
      <c r="AN8" s="279">
        <f t="shared" si="18"/>
        <v>0</v>
      </c>
      <c r="AO8" s="288">
        <f t="shared" si="19"/>
        <v>0</v>
      </c>
      <c r="AP8" s="279">
        <f t="shared" si="20"/>
        <v>48.15</v>
      </c>
      <c r="AQ8" s="288">
        <f t="shared" si="21"/>
        <v>0</v>
      </c>
      <c r="AR8" s="289">
        <f t="shared" si="22"/>
        <v>0</v>
      </c>
      <c r="AS8" s="279">
        <f t="shared" si="23"/>
        <v>0</v>
      </c>
      <c r="AT8" s="288">
        <f t="shared" si="24"/>
        <v>-1</v>
      </c>
      <c r="AU8" s="289">
        <f t="shared" si="25"/>
        <v>0</v>
      </c>
      <c r="AV8" s="279">
        <f t="shared" si="26"/>
        <v>0</v>
      </c>
      <c r="AW8" s="288">
        <f t="shared" si="27"/>
        <v>0</v>
      </c>
      <c r="AX8" s="289">
        <f t="shared" si="28"/>
        <v>-1</v>
      </c>
      <c r="AY8" s="268" t="s">
        <v>278</v>
      </c>
      <c r="AZ8" s="291">
        <v>680300600</v>
      </c>
      <c r="BA8" s="292">
        <v>13012</v>
      </c>
      <c r="BB8" s="303" t="s">
        <v>1240</v>
      </c>
      <c r="BC8" s="293">
        <v>660661962</v>
      </c>
      <c r="BD8" s="293"/>
      <c r="BE8" s="304" t="s">
        <v>1243</v>
      </c>
      <c r="BF8" s="274"/>
      <c r="BG8" s="270"/>
      <c r="BH8" s="268">
        <v>1</v>
      </c>
      <c r="BI8" s="273">
        <v>3</v>
      </c>
      <c r="BJ8" s="276">
        <v>27916</v>
      </c>
      <c r="BK8" s="294" t="s">
        <v>202</v>
      </c>
      <c r="BL8" s="269">
        <f t="shared" ca="1" si="29"/>
        <v>42</v>
      </c>
      <c r="BM8" s="270"/>
      <c r="BN8" s="271"/>
      <c r="BO8" s="272" t="str">
        <f t="shared" ca="1" si="30"/>
        <v/>
      </c>
      <c r="BP8" s="270"/>
      <c r="BQ8" s="271"/>
      <c r="BR8" s="272" t="str">
        <f t="shared" ca="1" si="31"/>
        <v/>
      </c>
      <c r="BS8" s="270"/>
      <c r="BT8" s="271"/>
      <c r="BU8" s="272" t="str">
        <f t="shared" ca="1" si="32"/>
        <v/>
      </c>
      <c r="BV8" s="270"/>
      <c r="BW8" s="271"/>
      <c r="BX8" s="272" t="str">
        <f t="shared" ca="1" si="33"/>
        <v/>
      </c>
      <c r="BY8" s="270"/>
      <c r="BZ8" s="271"/>
      <c r="CA8" s="272" t="str">
        <f t="shared" ca="1" si="34"/>
        <v/>
      </c>
      <c r="CB8" s="270"/>
      <c r="CC8" s="271"/>
      <c r="CD8" s="272" t="str">
        <f t="shared" ca="1" si="35"/>
        <v/>
      </c>
      <c r="CE8" s="270"/>
      <c r="CF8" s="271"/>
      <c r="CG8" s="272" t="str">
        <f t="shared" ca="1" si="36"/>
        <v/>
      </c>
      <c r="CH8" s="270"/>
      <c r="CI8" s="271"/>
      <c r="CJ8" s="272" t="str">
        <f t="shared" ca="1" si="37"/>
        <v/>
      </c>
      <c r="CK8" s="262"/>
      <c r="CL8" s="264"/>
      <c r="CM8" s="264"/>
      <c r="CN8" s="264"/>
      <c r="CO8" s="264"/>
      <c r="CP8" s="264"/>
      <c r="CQ8" s="264"/>
      <c r="CR8" s="262" t="s">
        <v>1244</v>
      </c>
      <c r="CS8" s="263" t="s">
        <v>1245</v>
      </c>
      <c r="CT8" s="297">
        <f t="shared" ca="1" si="38"/>
        <v>42</v>
      </c>
      <c r="CU8" s="264" t="s">
        <v>108</v>
      </c>
      <c r="CV8" s="265">
        <v>39295</v>
      </c>
      <c r="CW8" s="264" t="s">
        <v>350</v>
      </c>
      <c r="CX8" s="264" t="s">
        <v>483</v>
      </c>
      <c r="CY8" s="264" t="s">
        <v>351</v>
      </c>
      <c r="CZ8" s="264" t="s">
        <v>356</v>
      </c>
      <c r="DA8" s="264" t="s">
        <v>386</v>
      </c>
      <c r="DB8" s="266">
        <v>2400</v>
      </c>
      <c r="DC8" s="264" t="s">
        <v>343</v>
      </c>
      <c r="DD8" s="264" t="s">
        <v>362</v>
      </c>
      <c r="DE8" s="266">
        <v>0</v>
      </c>
      <c r="DF8" s="266">
        <v>80000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351</v>
      </c>
      <c r="DL8" s="267"/>
      <c r="DM8" s="261">
        <f t="shared" si="39"/>
        <v>0</v>
      </c>
      <c r="DN8" s="295" t="str">
        <f t="shared" si="40"/>
        <v>OK</v>
      </c>
    </row>
    <row r="9" spans="1:118" x14ac:dyDescent="0.25">
      <c r="A9" s="599" t="str">
        <f t="shared" si="41"/>
        <v>LALONDE Fabienne - APRIL - Prev. Pro</v>
      </c>
      <c r="B9" s="306"/>
      <c r="C9" s="305" t="s">
        <v>129</v>
      </c>
      <c r="D9" s="301" t="s">
        <v>1314</v>
      </c>
      <c r="E9" s="276">
        <v>43175</v>
      </c>
      <c r="F9" s="278" t="s">
        <v>547</v>
      </c>
      <c r="G9" s="311" t="s">
        <v>170</v>
      </c>
      <c r="H9" s="276">
        <v>43171</v>
      </c>
      <c r="I9" s="313">
        <f t="shared" si="1"/>
        <v>4</v>
      </c>
      <c r="J9" s="312" t="s">
        <v>16</v>
      </c>
      <c r="K9" s="268" t="s">
        <v>33</v>
      </c>
      <c r="L9" s="277" t="s">
        <v>1362</v>
      </c>
      <c r="M9" s="279">
        <v>163.80000000000001</v>
      </c>
      <c r="N9" s="280">
        <v>163.80000000000001</v>
      </c>
      <c r="O9" s="280"/>
      <c r="P9" s="285" t="s">
        <v>57</v>
      </c>
      <c r="Q9" s="281" t="str">
        <f t="shared" si="2"/>
        <v/>
      </c>
      <c r="R9" s="282">
        <f t="shared" si="3"/>
        <v>1965.6000000000001</v>
      </c>
      <c r="S9" s="268" t="s">
        <v>18</v>
      </c>
      <c r="T9" s="283">
        <f t="shared" si="4"/>
        <v>25</v>
      </c>
      <c r="U9" s="284">
        <f>IF(M9=0,0,IF(G9="Annulation","",IF(assurance="ALPTIS",M9*12*T9/100*'1804 Data'!$K$4,IF(assurance="APRIL",M9*12*T9/100*'1804 Data'!$F$4,IF(assurance="ASAF",M9*12*T9/100*'1804 Data'!$I$4,IF(assurance="NEOLIANE",('1804 Data'!$G$5+M9*12*'1804 Data'!$G$4)*T9/100,IF(assurance="NEOLIANE Prev",('1804 Data'!$H$5+M9*12*'1804 Data'!$H$4)*T9/100,IF(assurance="SWISSLIFE",M9*12*T9/100*'1804 Data'!$J$4,IF(assurance="AVIVA",M9*12*T9/100*'1804 Data'!$L$4,IF(assurance="CIPRES",M9*12*T9/100*'1804 Data'!$M$4,IF(assurance="CEGEMA",M9*12*T9/100*'1804 Data'!$N$4,IF(assurance=0,0))))))))))))</f>
        <v>38.03436</v>
      </c>
      <c r="V9" s="298">
        <f t="shared" si="5"/>
        <v>491.40000000000003</v>
      </c>
      <c r="W9" s="298">
        <f t="shared" si="6"/>
        <v>0</v>
      </c>
      <c r="X9" s="299">
        <f t="shared" si="42"/>
        <v>453.36564000000004</v>
      </c>
      <c r="Y9" s="368">
        <f t="shared" si="7"/>
        <v>0</v>
      </c>
      <c r="Z9" s="314">
        <v>43177</v>
      </c>
      <c r="AA9" s="313">
        <f t="shared" si="8"/>
        <v>2</v>
      </c>
      <c r="AB9" s="268" t="s">
        <v>72</v>
      </c>
      <c r="AC9" s="277" t="s">
        <v>1357</v>
      </c>
      <c r="AD9" s="309" t="s">
        <v>78</v>
      </c>
      <c r="AE9" s="286" t="str">
        <f t="shared" si="10"/>
        <v/>
      </c>
      <c r="AF9" s="277"/>
      <c r="AG9" s="275">
        <f t="shared" si="11"/>
        <v>43466</v>
      </c>
      <c r="AH9" s="287">
        <f t="shared" ca="1" si="12"/>
        <v>0.22465753424657534</v>
      </c>
      <c r="AI9" s="373">
        <f t="shared" ca="1" si="13"/>
        <v>43466</v>
      </c>
      <c r="AJ9" s="275">
        <f t="shared" ca="1" si="14"/>
        <v>43404</v>
      </c>
      <c r="AK9" s="296">
        <f t="shared" ca="1" si="15"/>
        <v>43374</v>
      </c>
      <c r="AL9" s="287">
        <f t="shared" ca="1" si="16"/>
        <v>0.79178082191780819</v>
      </c>
      <c r="AM9" s="279">
        <f t="shared" si="17"/>
        <v>0</v>
      </c>
      <c r="AN9" s="279">
        <f t="shared" si="18"/>
        <v>0</v>
      </c>
      <c r="AO9" s="288">
        <f t="shared" si="19"/>
        <v>0</v>
      </c>
      <c r="AP9" s="279">
        <f t="shared" si="20"/>
        <v>163.80000000000001</v>
      </c>
      <c r="AQ9" s="288">
        <f t="shared" si="21"/>
        <v>0</v>
      </c>
      <c r="AR9" s="289">
        <f t="shared" si="22"/>
        <v>0</v>
      </c>
      <c r="AS9" s="279">
        <f t="shared" si="23"/>
        <v>0</v>
      </c>
      <c r="AT9" s="288">
        <f t="shared" si="24"/>
        <v>-1</v>
      </c>
      <c r="AU9" s="289">
        <f t="shared" si="25"/>
        <v>0</v>
      </c>
      <c r="AV9" s="279">
        <f t="shared" si="26"/>
        <v>0</v>
      </c>
      <c r="AW9" s="288">
        <f t="shared" si="27"/>
        <v>0</v>
      </c>
      <c r="AX9" s="289">
        <f t="shared" si="28"/>
        <v>-1</v>
      </c>
      <c r="AY9" s="268" t="s">
        <v>278</v>
      </c>
      <c r="AZ9" s="291" t="s">
        <v>1315</v>
      </c>
      <c r="BA9" s="292">
        <v>1290</v>
      </c>
      <c r="BB9" s="303" t="s">
        <v>1316</v>
      </c>
      <c r="BC9" s="293">
        <v>685556339</v>
      </c>
      <c r="BD9" s="293"/>
      <c r="BE9" s="304" t="s">
        <v>1317</v>
      </c>
      <c r="BF9" s="274"/>
      <c r="BG9" s="270"/>
      <c r="BH9" s="268">
        <v>1</v>
      </c>
      <c r="BI9" s="273">
        <v>0</v>
      </c>
      <c r="BJ9" s="276">
        <v>27928</v>
      </c>
      <c r="BK9" s="294" t="s">
        <v>203</v>
      </c>
      <c r="BL9" s="269">
        <f t="shared" ca="1" si="29"/>
        <v>41</v>
      </c>
      <c r="BM9" s="270"/>
      <c r="BN9" s="271"/>
      <c r="BO9" s="272" t="str">
        <f t="shared" ca="1" si="30"/>
        <v/>
      </c>
      <c r="BP9" s="270"/>
      <c r="BQ9" s="271"/>
      <c r="BR9" s="272" t="str">
        <f t="shared" ca="1" si="31"/>
        <v/>
      </c>
      <c r="BS9" s="270"/>
      <c r="BT9" s="271"/>
      <c r="BU9" s="272" t="str">
        <f t="shared" ca="1" si="32"/>
        <v/>
      </c>
      <c r="BV9" s="270"/>
      <c r="BW9" s="271"/>
      <c r="BX9" s="272" t="str">
        <f t="shared" ca="1" si="33"/>
        <v/>
      </c>
      <c r="BY9" s="270"/>
      <c r="BZ9" s="271"/>
      <c r="CA9" s="272" t="str">
        <f t="shared" ca="1" si="34"/>
        <v/>
      </c>
      <c r="CB9" s="270"/>
      <c r="CC9" s="271"/>
      <c r="CD9" s="272" t="str">
        <f t="shared" ca="1" si="35"/>
        <v/>
      </c>
      <c r="CE9" s="270"/>
      <c r="CF9" s="271"/>
      <c r="CG9" s="272" t="str">
        <f t="shared" ca="1" si="36"/>
        <v/>
      </c>
      <c r="CH9" s="270"/>
      <c r="CI9" s="271"/>
      <c r="CJ9" s="272" t="str">
        <f t="shared" ca="1" si="37"/>
        <v/>
      </c>
      <c r="CK9" s="262"/>
      <c r="CL9" s="264"/>
      <c r="CM9" s="264"/>
      <c r="CN9" s="264"/>
      <c r="CO9" s="264"/>
      <c r="CP9" s="264"/>
      <c r="CQ9" s="264"/>
      <c r="CR9" s="262" t="s">
        <v>1147</v>
      </c>
      <c r="CS9" s="263" t="s">
        <v>1318</v>
      </c>
      <c r="CT9" s="297">
        <f t="shared" ca="1" si="38"/>
        <v>41</v>
      </c>
      <c r="CU9" s="264" t="s">
        <v>314</v>
      </c>
      <c r="CV9" s="265">
        <v>40848</v>
      </c>
      <c r="CW9" s="264" t="s">
        <v>351</v>
      </c>
      <c r="CX9" s="264" t="s">
        <v>483</v>
      </c>
      <c r="CY9" s="264" t="s">
        <v>351</v>
      </c>
      <c r="CZ9" s="264" t="s">
        <v>353</v>
      </c>
      <c r="DA9" s="264" t="s">
        <v>386</v>
      </c>
      <c r="DB9" s="266">
        <v>2500</v>
      </c>
      <c r="DC9" s="264" t="s">
        <v>343</v>
      </c>
      <c r="DD9" s="264" t="s">
        <v>362</v>
      </c>
      <c r="DE9" s="266">
        <v>1500</v>
      </c>
      <c r="DF9" s="266">
        <v>150000</v>
      </c>
      <c r="DG9" s="264" t="s">
        <v>372</v>
      </c>
      <c r="DH9" s="266">
        <v>0</v>
      </c>
      <c r="DI9" s="266">
        <v>0</v>
      </c>
      <c r="DJ9" s="264" t="s">
        <v>351</v>
      </c>
      <c r="DK9" s="264" t="s">
        <v>350</v>
      </c>
      <c r="DL9" s="267"/>
      <c r="DM9" s="261">
        <f t="shared" si="39"/>
        <v>0</v>
      </c>
      <c r="DN9" s="295" t="str">
        <f t="shared" si="40"/>
        <v>OK</v>
      </c>
    </row>
    <row r="10" spans="1:118" x14ac:dyDescent="0.25">
      <c r="A10" s="599" t="str">
        <f t="shared" si="41"/>
        <v>COIGNARD Jules - ASAF - Santé Individuelle</v>
      </c>
      <c r="B10" s="306"/>
      <c r="C10" s="305" t="s">
        <v>153</v>
      </c>
      <c r="D10" s="301" t="s">
        <v>1303</v>
      </c>
      <c r="E10" s="276">
        <v>43181</v>
      </c>
      <c r="F10" s="278" t="s">
        <v>546</v>
      </c>
      <c r="G10" s="311" t="s">
        <v>170</v>
      </c>
      <c r="H10" s="276">
        <v>43165</v>
      </c>
      <c r="I10" s="313">
        <f t="shared" si="1"/>
        <v>16</v>
      </c>
      <c r="J10" s="312" t="s">
        <v>20</v>
      </c>
      <c r="K10" s="268" t="s">
        <v>43</v>
      </c>
      <c r="L10" s="277" t="s">
        <v>154</v>
      </c>
      <c r="M10" s="279">
        <v>54.4</v>
      </c>
      <c r="N10" s="280">
        <v>54.4</v>
      </c>
      <c r="O10" s="280"/>
      <c r="P10" s="285" t="s">
        <v>57</v>
      </c>
      <c r="Q10" s="281" t="str">
        <f t="shared" si="2"/>
        <v/>
      </c>
      <c r="R10" s="282">
        <f t="shared" si="3"/>
        <v>652.79999999999995</v>
      </c>
      <c r="S10" s="268" t="s">
        <v>18</v>
      </c>
      <c r="T10" s="376">
        <v>25</v>
      </c>
      <c r="U10" s="284">
        <f>IF(M10=0,0,IF(G10="Annulation","",IF(assurance="ALPTIS",M10*12*T10/100*'1804 Data'!$K$4,IF(assurance="APRIL",M10*12*T10/100*'1804 Data'!$F$4,IF(assurance="ASAF",M10*12*T10/100*'1804 Data'!$I$4,IF(assurance="NEOLIANE",('1804 Data'!$G$5+M10*12*'1804 Data'!$G$4)*T10/100,IF(assurance="NEOLIANE Prev",('1804 Data'!$H$5+M10*12*'1804 Data'!$H$4)*T10/100,IF(assurance="SWISSLIFE",M10*12*T10/100*'1804 Data'!$J$4,IF(assurance="AVIVA",M10*12*T10/100*'1804 Data'!$L$4,IF(assurance="CIPRES",M10*12*T10/100*'1804 Data'!$M$4,IF(assurance="CEGEMA",M10*12*T10/100*'1804 Data'!$N$4,IF(assurance=0,0))))))))))))</f>
        <v>22.684799999999999</v>
      </c>
      <c r="V10" s="298">
        <f t="shared" si="5"/>
        <v>163.19999999999999</v>
      </c>
      <c r="W10" s="298">
        <f t="shared" si="6"/>
        <v>0</v>
      </c>
      <c r="X10" s="299">
        <f t="shared" si="42"/>
        <v>140.51519999999999</v>
      </c>
      <c r="Y10" s="368">
        <f t="shared" si="7"/>
        <v>0</v>
      </c>
      <c r="Z10" s="314">
        <v>43185</v>
      </c>
      <c r="AA10" s="313">
        <f t="shared" si="8"/>
        <v>4</v>
      </c>
      <c r="AB10" s="268" t="s">
        <v>13</v>
      </c>
      <c r="AC10" s="277"/>
      <c r="AD10" s="309" t="str">
        <f t="shared" ref="AD10:AD15" si="43">IF(Z10=43466,"Programmée","")</f>
        <v/>
      </c>
      <c r="AE10" s="286" t="str">
        <f t="shared" si="10"/>
        <v/>
      </c>
      <c r="AF10" s="277"/>
      <c r="AG10" s="275">
        <f t="shared" si="11"/>
        <v>43466</v>
      </c>
      <c r="AH10" s="287">
        <f t="shared" ca="1" si="12"/>
        <v>0.20273972602739726</v>
      </c>
      <c r="AI10" s="373">
        <f t="shared" ca="1" si="13"/>
        <v>43466</v>
      </c>
      <c r="AJ10" s="275">
        <f t="shared" ca="1" si="14"/>
        <v>43404</v>
      </c>
      <c r="AK10" s="296">
        <f t="shared" ca="1" si="15"/>
        <v>43374</v>
      </c>
      <c r="AL10" s="287">
        <f t="shared" ca="1" si="16"/>
        <v>0.76986301369863008</v>
      </c>
      <c r="AM10" s="279">
        <f t="shared" si="17"/>
        <v>0</v>
      </c>
      <c r="AN10" s="279">
        <f t="shared" si="18"/>
        <v>0</v>
      </c>
      <c r="AO10" s="288">
        <f t="shared" si="19"/>
        <v>0</v>
      </c>
      <c r="AP10" s="279">
        <f t="shared" si="20"/>
        <v>54.4</v>
      </c>
      <c r="AQ10" s="288">
        <f t="shared" si="21"/>
        <v>0</v>
      </c>
      <c r="AR10" s="289">
        <f t="shared" si="22"/>
        <v>0</v>
      </c>
      <c r="AS10" s="279">
        <f t="shared" si="23"/>
        <v>0</v>
      </c>
      <c r="AT10" s="288">
        <f t="shared" si="24"/>
        <v>-1</v>
      </c>
      <c r="AU10" s="289">
        <f t="shared" si="25"/>
        <v>0</v>
      </c>
      <c r="AV10" s="279">
        <f t="shared" si="26"/>
        <v>0</v>
      </c>
      <c r="AW10" s="288">
        <f t="shared" si="27"/>
        <v>0</v>
      </c>
      <c r="AX10" s="289">
        <f t="shared" si="28"/>
        <v>-1</v>
      </c>
      <c r="AY10" s="268" t="s">
        <v>277</v>
      </c>
      <c r="AZ10" s="291" t="s">
        <v>1295</v>
      </c>
      <c r="BA10" s="292">
        <v>78610</v>
      </c>
      <c r="BB10" s="303" t="s">
        <v>1296</v>
      </c>
      <c r="BC10" s="293" t="s">
        <v>1297</v>
      </c>
      <c r="BD10" s="293"/>
      <c r="BE10" s="304" t="s">
        <v>1298</v>
      </c>
      <c r="BF10" s="274" t="s">
        <v>1299</v>
      </c>
      <c r="BG10" s="270"/>
      <c r="BH10" s="268">
        <v>1</v>
      </c>
      <c r="BI10" s="273">
        <v>0</v>
      </c>
      <c r="BJ10" s="276">
        <v>32983</v>
      </c>
      <c r="BK10" s="294" t="s">
        <v>202</v>
      </c>
      <c r="BL10" s="269">
        <f t="shared" ca="1" si="29"/>
        <v>28</v>
      </c>
      <c r="BM10" s="270"/>
      <c r="BN10" s="271"/>
      <c r="BO10" s="272" t="str">
        <f t="shared" ca="1" si="30"/>
        <v/>
      </c>
      <c r="BP10" s="270"/>
      <c r="BQ10" s="271"/>
      <c r="BR10" s="272" t="str">
        <f t="shared" ca="1" si="31"/>
        <v/>
      </c>
      <c r="BS10" s="270"/>
      <c r="BT10" s="271"/>
      <c r="BU10" s="272" t="str">
        <f t="shared" ca="1" si="32"/>
        <v/>
      </c>
      <c r="BV10" s="270"/>
      <c r="BW10" s="271"/>
      <c r="BX10" s="272" t="str">
        <f t="shared" ca="1" si="33"/>
        <v/>
      </c>
      <c r="BY10" s="270"/>
      <c r="BZ10" s="271"/>
      <c r="CA10" s="272" t="str">
        <f t="shared" ca="1" si="34"/>
        <v/>
      </c>
      <c r="CB10" s="270"/>
      <c r="CC10" s="271"/>
      <c r="CD10" s="272" t="str">
        <f t="shared" ca="1" si="35"/>
        <v/>
      </c>
      <c r="CE10" s="270"/>
      <c r="CF10" s="271"/>
      <c r="CG10" s="272" t="str">
        <f t="shared" ca="1" si="36"/>
        <v/>
      </c>
      <c r="CH10" s="270"/>
      <c r="CI10" s="271"/>
      <c r="CJ10" s="272" t="str">
        <f t="shared" ca="1" si="37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38"/>
        <v/>
      </c>
      <c r="CU10" s="264"/>
      <c r="CV10" s="265"/>
      <c r="CW10" s="264"/>
      <c r="CX10" s="264"/>
      <c r="CY10" s="264" t="s">
        <v>1287</v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39"/>
        <v>0</v>
      </c>
      <c r="DN10" s="295" t="str">
        <f t="shared" si="40"/>
        <v>OK</v>
      </c>
    </row>
    <row r="11" spans="1:118" x14ac:dyDescent="0.25">
      <c r="A11" s="599" t="str">
        <f t="shared" si="41"/>
        <v>COIGNARD Jules - APRIL - Prev. Pro</v>
      </c>
      <c r="B11" s="306"/>
      <c r="C11" s="305" t="s">
        <v>153</v>
      </c>
      <c r="D11" s="301" t="s">
        <v>1303</v>
      </c>
      <c r="E11" s="276">
        <v>43181</v>
      </c>
      <c r="F11" s="278" t="s">
        <v>546</v>
      </c>
      <c r="G11" s="311" t="s">
        <v>170</v>
      </c>
      <c r="H11" s="276">
        <v>43165</v>
      </c>
      <c r="I11" s="313">
        <f t="shared" si="1"/>
        <v>16</v>
      </c>
      <c r="J11" s="312" t="s">
        <v>16</v>
      </c>
      <c r="K11" s="268" t="s">
        <v>33</v>
      </c>
      <c r="L11" s="277" t="s">
        <v>133</v>
      </c>
      <c r="M11" s="279">
        <v>20.48</v>
      </c>
      <c r="N11" s="280">
        <v>20.48</v>
      </c>
      <c r="O11" s="280"/>
      <c r="P11" s="285" t="s">
        <v>57</v>
      </c>
      <c r="Q11" s="281" t="str">
        <f t="shared" si="2"/>
        <v/>
      </c>
      <c r="R11" s="282">
        <f t="shared" si="3"/>
        <v>245.76</v>
      </c>
      <c r="S11" s="268" t="s">
        <v>18</v>
      </c>
      <c r="T11" s="283">
        <f>IF(G11="Annulation","",IF(assurance="ALPTIS",25,IF(assurance="APRIL",25,IF(assurance="ASAF",17.5,IF(assurance="NEOLIANE",25,IF(assurance="NEOLIANE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1" s="284">
        <f>IF(M11=0,0,IF(G11="Annulation","",IF(assurance="ALPTIS",M11*12*T11/100*'1804 Data'!$K$4,IF(assurance="APRIL",M11*12*T11/100*'1804 Data'!$F$4,IF(assurance="ASAF",M11*12*T11/100*'1804 Data'!$I$4,IF(assurance="NEOLIANE",('1804 Data'!$G$5+M11*12*'1804 Data'!$G$4)*T11/100,IF(assurance="NEOLIANE Prev",('1804 Data'!$H$5+M11*12*'1804 Data'!$H$4)*T11/100,IF(assurance="SWISSLIFE",M11*12*T11/100*'1804 Data'!$J$4,IF(assurance="AVIVA",M11*12*T11/100*'1804 Data'!$L$4,IF(assurance="CIPRES",M11*12*T11/100*'1804 Data'!$M$4,IF(assurance="CEGEMA",M11*12*T11/100*'1804 Data'!$N$4,IF(assurance=0,0))))))))))))</f>
        <v>4.7554559999999997</v>
      </c>
      <c r="V11" s="298">
        <f t="shared" si="5"/>
        <v>61.44</v>
      </c>
      <c r="W11" s="298">
        <f t="shared" si="6"/>
        <v>0</v>
      </c>
      <c r="X11" s="299">
        <f t="shared" si="42"/>
        <v>56.684543999999995</v>
      </c>
      <c r="Y11" s="368">
        <f t="shared" si="7"/>
        <v>0</v>
      </c>
      <c r="Z11" s="314">
        <v>43185</v>
      </c>
      <c r="AA11" s="313">
        <f t="shared" si="8"/>
        <v>4</v>
      </c>
      <c r="AB11" s="268" t="s">
        <v>13</v>
      </c>
      <c r="AC11" s="277"/>
      <c r="AD11" s="309" t="str">
        <f t="shared" si="43"/>
        <v/>
      </c>
      <c r="AE11" s="286" t="str">
        <f t="shared" si="10"/>
        <v/>
      </c>
      <c r="AF11" s="277"/>
      <c r="AG11" s="275">
        <f t="shared" si="11"/>
        <v>43466</v>
      </c>
      <c r="AH11" s="287">
        <f t="shared" ca="1" si="12"/>
        <v>0.20273972602739726</v>
      </c>
      <c r="AI11" s="373">
        <f t="shared" ca="1" si="13"/>
        <v>43466</v>
      </c>
      <c r="AJ11" s="275">
        <f t="shared" ca="1" si="14"/>
        <v>43404</v>
      </c>
      <c r="AK11" s="296">
        <f t="shared" ca="1" si="15"/>
        <v>43374</v>
      </c>
      <c r="AL11" s="287">
        <f t="shared" ca="1" si="16"/>
        <v>0.76986301369863008</v>
      </c>
      <c r="AM11" s="279">
        <f t="shared" si="17"/>
        <v>0</v>
      </c>
      <c r="AN11" s="279">
        <f t="shared" si="18"/>
        <v>0</v>
      </c>
      <c r="AO11" s="288">
        <f t="shared" si="19"/>
        <v>0</v>
      </c>
      <c r="AP11" s="279">
        <f t="shared" si="20"/>
        <v>20.48</v>
      </c>
      <c r="AQ11" s="288">
        <f t="shared" si="21"/>
        <v>0</v>
      </c>
      <c r="AR11" s="289">
        <f t="shared" si="22"/>
        <v>0</v>
      </c>
      <c r="AS11" s="279">
        <f t="shared" si="23"/>
        <v>0</v>
      </c>
      <c r="AT11" s="288">
        <f t="shared" si="24"/>
        <v>-1</v>
      </c>
      <c r="AU11" s="289">
        <f t="shared" si="25"/>
        <v>0</v>
      </c>
      <c r="AV11" s="279">
        <f t="shared" si="26"/>
        <v>0</v>
      </c>
      <c r="AW11" s="288">
        <f t="shared" si="27"/>
        <v>0</v>
      </c>
      <c r="AX11" s="289">
        <f t="shared" si="28"/>
        <v>-1</v>
      </c>
      <c r="AY11" s="268" t="s">
        <v>277</v>
      </c>
      <c r="AZ11" s="291">
        <v>680428900</v>
      </c>
      <c r="BA11" s="292">
        <v>78610</v>
      </c>
      <c r="BB11" s="303" t="s">
        <v>1296</v>
      </c>
      <c r="BC11" s="293" t="s">
        <v>1297</v>
      </c>
      <c r="BD11" s="293"/>
      <c r="BE11" s="304" t="s">
        <v>1298</v>
      </c>
      <c r="BF11" s="274"/>
      <c r="BG11" s="270"/>
      <c r="BH11" s="268">
        <v>1</v>
      </c>
      <c r="BI11" s="273">
        <v>4</v>
      </c>
      <c r="BJ11" s="276">
        <v>32983</v>
      </c>
      <c r="BK11" s="294" t="s">
        <v>202</v>
      </c>
      <c r="BL11" s="269">
        <f t="shared" ca="1" si="29"/>
        <v>28</v>
      </c>
      <c r="BM11" s="270"/>
      <c r="BN11" s="271"/>
      <c r="BO11" s="272" t="str">
        <f t="shared" ca="1" si="30"/>
        <v/>
      </c>
      <c r="BP11" s="270"/>
      <c r="BQ11" s="271"/>
      <c r="BR11" s="272" t="str">
        <f t="shared" ca="1" si="31"/>
        <v/>
      </c>
      <c r="BS11" s="270"/>
      <c r="BT11" s="271"/>
      <c r="BU11" s="272" t="str">
        <f t="shared" ca="1" si="32"/>
        <v/>
      </c>
      <c r="BV11" s="270"/>
      <c r="BW11" s="271"/>
      <c r="BX11" s="272" t="str">
        <f t="shared" ca="1" si="33"/>
        <v/>
      </c>
      <c r="BY11" s="270"/>
      <c r="BZ11" s="271"/>
      <c r="CA11" s="272" t="str">
        <f t="shared" ca="1" si="34"/>
        <v/>
      </c>
      <c r="CB11" s="270"/>
      <c r="CC11" s="271"/>
      <c r="CD11" s="272" t="str">
        <f t="shared" ca="1" si="35"/>
        <v/>
      </c>
      <c r="CE11" s="270"/>
      <c r="CF11" s="271"/>
      <c r="CG11" s="272" t="str">
        <f t="shared" ca="1" si="36"/>
        <v/>
      </c>
      <c r="CH11" s="270"/>
      <c r="CI11" s="271"/>
      <c r="CJ11" s="272" t="str">
        <f t="shared" ca="1" si="37"/>
        <v/>
      </c>
      <c r="CK11" s="262"/>
      <c r="CL11" s="264"/>
      <c r="CM11" s="264"/>
      <c r="CN11" s="264"/>
      <c r="CO11" s="264"/>
      <c r="CP11" s="264"/>
      <c r="CQ11" s="264"/>
      <c r="CR11" s="262" t="s">
        <v>1319</v>
      </c>
      <c r="CS11" s="263" t="s">
        <v>1320</v>
      </c>
      <c r="CT11" s="297">
        <f t="shared" ca="1" si="38"/>
        <v>28</v>
      </c>
      <c r="CU11" s="264" t="s">
        <v>108</v>
      </c>
      <c r="CV11" s="265">
        <v>42790</v>
      </c>
      <c r="CW11" s="264" t="s">
        <v>351</v>
      </c>
      <c r="CX11" s="264" t="s">
        <v>483</v>
      </c>
      <c r="CY11" s="264" t="s">
        <v>351</v>
      </c>
      <c r="CZ11" s="264" t="s">
        <v>356</v>
      </c>
      <c r="DA11" s="264" t="s">
        <v>351</v>
      </c>
      <c r="DB11" s="266">
        <v>1500</v>
      </c>
      <c r="DC11" s="264" t="s">
        <v>343</v>
      </c>
      <c r="DD11" s="264" t="s">
        <v>362</v>
      </c>
      <c r="DE11" s="266">
        <v>0</v>
      </c>
      <c r="DF11" s="266">
        <v>50000</v>
      </c>
      <c r="DG11" s="264" t="s">
        <v>35</v>
      </c>
      <c r="DH11" s="266">
        <v>0</v>
      </c>
      <c r="DI11" s="266">
        <v>0</v>
      </c>
      <c r="DJ11" s="264" t="s">
        <v>351</v>
      </c>
      <c r="DK11" s="264" t="s">
        <v>351</v>
      </c>
      <c r="DL11" s="267"/>
      <c r="DM11" s="261">
        <f t="shared" si="39"/>
        <v>0</v>
      </c>
      <c r="DN11" s="295" t="str">
        <f t="shared" si="40"/>
        <v>OK</v>
      </c>
    </row>
    <row r="12" spans="1:118" x14ac:dyDescent="0.25">
      <c r="A12" s="599" t="str">
        <f t="shared" si="41"/>
        <v>FOUSSAL DE BELERD Eric - APRIL - Prev. Pro</v>
      </c>
      <c r="B12" s="306"/>
      <c r="C12" s="305" t="s">
        <v>1258</v>
      </c>
      <c r="D12" s="301" t="s">
        <v>1257</v>
      </c>
      <c r="E12" s="276">
        <v>43182</v>
      </c>
      <c r="F12" s="278" t="s">
        <v>546</v>
      </c>
      <c r="G12" s="311" t="s">
        <v>172</v>
      </c>
      <c r="H12" s="276">
        <v>43136</v>
      </c>
      <c r="I12" s="313">
        <f t="shared" si="1"/>
        <v>46</v>
      </c>
      <c r="J12" s="312" t="s">
        <v>16</v>
      </c>
      <c r="K12" s="268" t="s">
        <v>33</v>
      </c>
      <c r="L12" s="277" t="s">
        <v>133</v>
      </c>
      <c r="M12" s="279">
        <v>102.6</v>
      </c>
      <c r="N12" s="280">
        <v>102.6</v>
      </c>
      <c r="O12" s="280"/>
      <c r="P12" s="285" t="s">
        <v>57</v>
      </c>
      <c r="Q12" s="281" t="str">
        <f t="shared" si="2"/>
        <v/>
      </c>
      <c r="R12" s="282">
        <f t="shared" si="3"/>
        <v>1231.1999999999998</v>
      </c>
      <c r="S12" s="268" t="s">
        <v>18</v>
      </c>
      <c r="T12" s="283">
        <f>IF(G12="Annulation","",IF(assurance="ALPTIS",25,IF(assurance="APRIL",25,IF(assurance="ASAF",17.5,IF(assurance="NEOLIANE",25,IF(assurance="NEOLIANE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2" s="284">
        <f>IF(M12=0,0,IF(G12="Annulation","",IF(assurance="ALPTIS",M12*12*T12/100*'1804 Data'!$K$4,IF(assurance="APRIL",M12*12*T12/100*'1804 Data'!$F$4,IF(assurance="ASAF",M12*12*T12/100*'1804 Data'!$I$4,IF(assurance="NEOLIANE",('1804 Data'!$G$5+M12*12*'1804 Data'!$G$4)*T12/100,IF(assurance="NEOLIANE Prev",('1804 Data'!$H$5+M12*12*'1804 Data'!$H$4)*T12/100,IF(assurance="SWISSLIFE",M12*12*T12/100*'1804 Data'!$J$4,IF(assurance="AVIVA",M12*12*T12/100*'1804 Data'!$L$4,IF(assurance="CIPRES",M12*12*T12/100*'1804 Data'!$M$4,IF(assurance="CEGEMA",M12*12*T12/100*'1804 Data'!$N$4,IF(assurance=0,0))))))))))))</f>
        <v>23.823719999999994</v>
      </c>
      <c r="V12" s="298">
        <f t="shared" si="5"/>
        <v>307.79999999999995</v>
      </c>
      <c r="W12" s="298">
        <f t="shared" si="6"/>
        <v>0</v>
      </c>
      <c r="X12" s="299">
        <f t="shared" si="42"/>
        <v>283.97627999999997</v>
      </c>
      <c r="Y12" s="368">
        <f t="shared" si="7"/>
        <v>0</v>
      </c>
      <c r="Z12" s="314">
        <v>43191</v>
      </c>
      <c r="AA12" s="313">
        <f t="shared" si="8"/>
        <v>9</v>
      </c>
      <c r="AB12" s="268" t="s">
        <v>13</v>
      </c>
      <c r="AC12" s="277"/>
      <c r="AD12" s="309" t="str">
        <f t="shared" si="43"/>
        <v/>
      </c>
      <c r="AE12" s="286" t="str">
        <f t="shared" si="10"/>
        <v/>
      </c>
      <c r="AF12" s="277"/>
      <c r="AG12" s="275">
        <f t="shared" si="11"/>
        <v>43466</v>
      </c>
      <c r="AH12" s="287">
        <f t="shared" ca="1" si="12"/>
        <v>0.18630136986301371</v>
      </c>
      <c r="AI12" s="373">
        <f t="shared" ca="1" si="13"/>
        <v>43466</v>
      </c>
      <c r="AJ12" s="275">
        <f t="shared" ca="1" si="14"/>
        <v>43404</v>
      </c>
      <c r="AK12" s="296">
        <f t="shared" ca="1" si="15"/>
        <v>43374</v>
      </c>
      <c r="AL12" s="287">
        <f t="shared" ca="1" si="16"/>
        <v>0.75342465753424659</v>
      </c>
      <c r="AM12" s="279">
        <f t="shared" si="17"/>
        <v>0</v>
      </c>
      <c r="AN12" s="279">
        <f t="shared" si="18"/>
        <v>0</v>
      </c>
      <c r="AO12" s="288">
        <f t="shared" si="19"/>
        <v>0</v>
      </c>
      <c r="AP12" s="279">
        <f t="shared" si="20"/>
        <v>102.6</v>
      </c>
      <c r="AQ12" s="288">
        <f t="shared" si="21"/>
        <v>0</v>
      </c>
      <c r="AR12" s="289">
        <f t="shared" si="22"/>
        <v>0</v>
      </c>
      <c r="AS12" s="279">
        <f t="shared" si="23"/>
        <v>0</v>
      </c>
      <c r="AT12" s="288">
        <f t="shared" si="24"/>
        <v>-1</v>
      </c>
      <c r="AU12" s="289">
        <f t="shared" si="25"/>
        <v>0</v>
      </c>
      <c r="AV12" s="279">
        <f t="shared" si="26"/>
        <v>0</v>
      </c>
      <c r="AW12" s="288">
        <f t="shared" si="27"/>
        <v>0</v>
      </c>
      <c r="AX12" s="289">
        <f t="shared" si="28"/>
        <v>-1</v>
      </c>
      <c r="AY12" s="268" t="s">
        <v>278</v>
      </c>
      <c r="AZ12" s="291">
        <v>680494000</v>
      </c>
      <c r="BA12" s="292">
        <v>32600</v>
      </c>
      <c r="BB12" s="303" t="s">
        <v>1259</v>
      </c>
      <c r="BC12" s="293">
        <v>752033188</v>
      </c>
      <c r="BD12" s="293"/>
      <c r="BE12" s="304" t="s">
        <v>1260</v>
      </c>
      <c r="BF12" s="274"/>
      <c r="BG12" s="270"/>
      <c r="BH12" s="268">
        <v>1</v>
      </c>
      <c r="BI12" s="273">
        <v>2</v>
      </c>
      <c r="BJ12" s="276">
        <v>21198</v>
      </c>
      <c r="BK12" s="294" t="s">
        <v>202</v>
      </c>
      <c r="BL12" s="269">
        <f t="shared" ca="1" si="29"/>
        <v>60</v>
      </c>
      <c r="BM12" s="270"/>
      <c r="BN12" s="271"/>
      <c r="BO12" s="272" t="str">
        <f t="shared" ca="1" si="30"/>
        <v/>
      </c>
      <c r="BP12" s="270"/>
      <c r="BQ12" s="271"/>
      <c r="BR12" s="272" t="str">
        <f t="shared" ca="1" si="31"/>
        <v/>
      </c>
      <c r="BS12" s="270"/>
      <c r="BT12" s="271"/>
      <c r="BU12" s="272" t="str">
        <f t="shared" ca="1" si="32"/>
        <v/>
      </c>
      <c r="BV12" s="270"/>
      <c r="BW12" s="271"/>
      <c r="BX12" s="272" t="str">
        <f t="shared" ca="1" si="33"/>
        <v/>
      </c>
      <c r="BY12" s="270"/>
      <c r="BZ12" s="271"/>
      <c r="CA12" s="272" t="str">
        <f t="shared" ca="1" si="34"/>
        <v/>
      </c>
      <c r="CB12" s="270"/>
      <c r="CC12" s="271"/>
      <c r="CD12" s="272" t="str">
        <f t="shared" ca="1" si="35"/>
        <v/>
      </c>
      <c r="CE12" s="270"/>
      <c r="CF12" s="271"/>
      <c r="CG12" s="272" t="str">
        <f t="shared" ca="1" si="36"/>
        <v/>
      </c>
      <c r="CH12" s="270"/>
      <c r="CI12" s="271"/>
      <c r="CJ12" s="272" t="str">
        <f t="shared" ca="1" si="37"/>
        <v/>
      </c>
      <c r="CK12" s="262"/>
      <c r="CL12" s="264"/>
      <c r="CM12" s="264"/>
      <c r="CN12" s="264"/>
      <c r="CO12" s="264"/>
      <c r="CP12" s="264"/>
      <c r="CQ12" s="264"/>
      <c r="CR12" s="262" t="s">
        <v>1263</v>
      </c>
      <c r="CS12" s="263" t="s">
        <v>1264</v>
      </c>
      <c r="CT12" s="297">
        <f t="shared" ca="1" si="38"/>
        <v>60</v>
      </c>
      <c r="CU12" s="264" t="s">
        <v>108</v>
      </c>
      <c r="CV12" s="265">
        <v>34610</v>
      </c>
      <c r="CW12" s="264" t="s">
        <v>351</v>
      </c>
      <c r="CX12" s="264" t="s">
        <v>483</v>
      </c>
      <c r="CY12" s="264" t="s">
        <v>351</v>
      </c>
      <c r="CZ12" s="264" t="s">
        <v>356</v>
      </c>
      <c r="DA12" s="264" t="s">
        <v>386</v>
      </c>
      <c r="DB12" s="266">
        <v>1500</v>
      </c>
      <c r="DC12" s="264" t="s">
        <v>365</v>
      </c>
      <c r="DD12" s="264" t="s">
        <v>363</v>
      </c>
      <c r="DE12" s="266">
        <v>0</v>
      </c>
      <c r="DF12" s="266">
        <v>50000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9"/>
        <v>0</v>
      </c>
      <c r="DN12" s="295" t="str">
        <f t="shared" si="40"/>
        <v>OK</v>
      </c>
    </row>
    <row r="13" spans="1:118" x14ac:dyDescent="0.25">
      <c r="A13" s="599" t="str">
        <f t="shared" si="41"/>
        <v>DOUYERE Mathieu - APRIL - Prev. Pro</v>
      </c>
      <c r="B13" s="306"/>
      <c r="C13" s="305" t="s">
        <v>156</v>
      </c>
      <c r="D13" s="301" t="s">
        <v>534</v>
      </c>
      <c r="E13" s="276">
        <v>43183</v>
      </c>
      <c r="F13" s="278" t="s">
        <v>546</v>
      </c>
      <c r="G13" s="311" t="s">
        <v>173</v>
      </c>
      <c r="H13" s="276">
        <v>42889</v>
      </c>
      <c r="I13" s="313">
        <f t="shared" si="1"/>
        <v>294</v>
      </c>
      <c r="J13" s="312" t="s">
        <v>16</v>
      </c>
      <c r="K13" s="268" t="s">
        <v>33</v>
      </c>
      <c r="L13" s="277" t="s">
        <v>133</v>
      </c>
      <c r="M13" s="279">
        <v>36.71</v>
      </c>
      <c r="N13" s="280">
        <v>36.71</v>
      </c>
      <c r="O13" s="280"/>
      <c r="P13" s="285" t="s">
        <v>57</v>
      </c>
      <c r="Q13" s="281" t="str">
        <f t="shared" si="2"/>
        <v/>
      </c>
      <c r="R13" s="282">
        <f t="shared" si="3"/>
        <v>440.52</v>
      </c>
      <c r="S13" s="268" t="s">
        <v>18</v>
      </c>
      <c r="T13" s="283">
        <f>IF(G13="Annulation","",IF(assurance="ALPTIS",25,IF(assurance="APRIL",25,IF(assurance="ASAF",17.5,IF(assurance="NEOLIANE",25,IF(assurance="NEOLIANE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3" s="284">
        <f>IF(M13=0,0,IF(G13="Annulation","",IF(assurance="ALPTIS",M13*12*T13/100*'1804 Data'!$K$4,IF(assurance="APRIL",M13*12*T13/100*'1804 Data'!$F$4,IF(assurance="ASAF",M13*12*T13/100*'1804 Data'!$I$4,IF(assurance="NEOLIANE",('1804 Data'!$G$5+M13*12*'1804 Data'!$G$4)*T13/100,IF(assurance="NEOLIANE Prev",('1804 Data'!$H$5+M13*12*'1804 Data'!$H$4)*T13/100,IF(assurance="SWISSLIFE",M13*12*T13/100*'1804 Data'!$J$4,IF(assurance="AVIVA",M13*12*T13/100*'1804 Data'!$L$4,IF(assurance="CIPRES",M13*12*T13/100*'1804 Data'!$M$4,IF(assurance="CEGEMA",M13*12*T13/100*'1804 Data'!$N$4,IF(assurance=0,0))))))))))))</f>
        <v>8.5240619999999989</v>
      </c>
      <c r="V13" s="298">
        <f t="shared" si="5"/>
        <v>110.13</v>
      </c>
      <c r="W13" s="298">
        <f t="shared" si="6"/>
        <v>0</v>
      </c>
      <c r="X13" s="299">
        <f t="shared" si="42"/>
        <v>101.60593799999999</v>
      </c>
      <c r="Y13" s="368">
        <f t="shared" si="7"/>
        <v>0</v>
      </c>
      <c r="Z13" s="314">
        <v>43184</v>
      </c>
      <c r="AA13" s="313">
        <f t="shared" si="8"/>
        <v>1</v>
      </c>
      <c r="AB13" s="268" t="s">
        <v>13</v>
      </c>
      <c r="AC13" s="277"/>
      <c r="AD13" s="309" t="str">
        <f t="shared" si="43"/>
        <v/>
      </c>
      <c r="AE13" s="286" t="str">
        <f t="shared" si="10"/>
        <v/>
      </c>
      <c r="AF13" s="277"/>
      <c r="AG13" s="275">
        <f t="shared" si="11"/>
        <v>43466</v>
      </c>
      <c r="AH13" s="287">
        <f t="shared" ca="1" si="12"/>
        <v>0.20547945205479451</v>
      </c>
      <c r="AI13" s="373">
        <f t="shared" ca="1" si="13"/>
        <v>43466</v>
      </c>
      <c r="AJ13" s="275">
        <f t="shared" ca="1" si="14"/>
        <v>43404</v>
      </c>
      <c r="AK13" s="296">
        <f t="shared" ca="1" si="15"/>
        <v>43374</v>
      </c>
      <c r="AL13" s="287">
        <f t="shared" ca="1" si="16"/>
        <v>0.77260273972602744</v>
      </c>
      <c r="AM13" s="279">
        <f t="shared" si="17"/>
        <v>0</v>
      </c>
      <c r="AN13" s="279">
        <f t="shared" si="18"/>
        <v>0</v>
      </c>
      <c r="AO13" s="288">
        <f t="shared" si="19"/>
        <v>0</v>
      </c>
      <c r="AP13" s="279">
        <f t="shared" si="20"/>
        <v>36.71</v>
      </c>
      <c r="AQ13" s="288">
        <f t="shared" si="21"/>
        <v>0</v>
      </c>
      <c r="AR13" s="289">
        <f t="shared" si="22"/>
        <v>0</v>
      </c>
      <c r="AS13" s="279">
        <f t="shared" si="23"/>
        <v>0</v>
      </c>
      <c r="AT13" s="288">
        <f t="shared" si="24"/>
        <v>-1</v>
      </c>
      <c r="AU13" s="289">
        <f t="shared" si="25"/>
        <v>0</v>
      </c>
      <c r="AV13" s="279">
        <f t="shared" si="26"/>
        <v>0</v>
      </c>
      <c r="AW13" s="288">
        <f t="shared" si="27"/>
        <v>0</v>
      </c>
      <c r="AX13" s="289">
        <f t="shared" si="28"/>
        <v>-1</v>
      </c>
      <c r="AY13" s="268" t="s">
        <v>278</v>
      </c>
      <c r="AZ13" s="291">
        <v>680458800</v>
      </c>
      <c r="BA13" s="292">
        <v>66180</v>
      </c>
      <c r="BB13" s="303" t="s">
        <v>1323</v>
      </c>
      <c r="BC13" s="293">
        <v>779825300</v>
      </c>
      <c r="BD13" s="293"/>
      <c r="BE13" s="304" t="s">
        <v>1324</v>
      </c>
      <c r="BF13" s="274"/>
      <c r="BG13" s="270"/>
      <c r="BH13" s="268">
        <v>1</v>
      </c>
      <c r="BI13" s="273">
        <v>0</v>
      </c>
      <c r="BJ13" s="276">
        <v>29711</v>
      </c>
      <c r="BK13" s="294" t="s">
        <v>202</v>
      </c>
      <c r="BL13" s="269">
        <f t="shared" ca="1" si="29"/>
        <v>37</v>
      </c>
      <c r="BM13" s="270"/>
      <c r="BN13" s="271"/>
      <c r="BO13" s="272" t="str">
        <f t="shared" ca="1" si="30"/>
        <v/>
      </c>
      <c r="BP13" s="270"/>
      <c r="BQ13" s="271"/>
      <c r="BR13" s="272" t="str">
        <f t="shared" ca="1" si="31"/>
        <v/>
      </c>
      <c r="BS13" s="270"/>
      <c r="BT13" s="271"/>
      <c r="BU13" s="272" t="str">
        <f t="shared" ca="1" si="32"/>
        <v/>
      </c>
      <c r="BV13" s="270"/>
      <c r="BW13" s="271"/>
      <c r="BX13" s="272" t="str">
        <f t="shared" ca="1" si="33"/>
        <v/>
      </c>
      <c r="BY13" s="270"/>
      <c r="BZ13" s="271"/>
      <c r="CA13" s="272" t="str">
        <f t="shared" ca="1" si="34"/>
        <v/>
      </c>
      <c r="CB13" s="270"/>
      <c r="CC13" s="271"/>
      <c r="CD13" s="272" t="str">
        <f t="shared" ca="1" si="35"/>
        <v/>
      </c>
      <c r="CE13" s="270"/>
      <c r="CF13" s="271"/>
      <c r="CG13" s="272" t="str">
        <f t="shared" ca="1" si="36"/>
        <v/>
      </c>
      <c r="CH13" s="270"/>
      <c r="CI13" s="271"/>
      <c r="CJ13" s="272" t="str">
        <f t="shared" ca="1" si="37"/>
        <v/>
      </c>
      <c r="CK13" s="262"/>
      <c r="CL13" s="264"/>
      <c r="CM13" s="264"/>
      <c r="CN13" s="264"/>
      <c r="CO13" s="264"/>
      <c r="CP13" s="264"/>
      <c r="CQ13" s="264"/>
      <c r="CR13" s="262" t="s">
        <v>1321</v>
      </c>
      <c r="CS13" s="263" t="s">
        <v>1322</v>
      </c>
      <c r="CT13" s="297">
        <f t="shared" ca="1" si="38"/>
        <v>37</v>
      </c>
      <c r="CU13" s="264" t="s">
        <v>108</v>
      </c>
      <c r="CV13" s="265">
        <v>42853</v>
      </c>
      <c r="CW13" s="264" t="s">
        <v>351</v>
      </c>
      <c r="CX13" s="264" t="s">
        <v>483</v>
      </c>
      <c r="CY13" s="264" t="s">
        <v>351</v>
      </c>
      <c r="CZ13" s="264" t="s">
        <v>358</v>
      </c>
      <c r="DA13" s="264" t="s">
        <v>384</v>
      </c>
      <c r="DB13" s="266">
        <v>1200</v>
      </c>
      <c r="DC13" s="264" t="s">
        <v>365</v>
      </c>
      <c r="DD13" s="264" t="s">
        <v>363</v>
      </c>
      <c r="DE13" s="266">
        <v>0</v>
      </c>
      <c r="DF13" s="266">
        <v>40000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350</v>
      </c>
      <c r="DL13" s="267"/>
      <c r="DM13" s="261">
        <f t="shared" si="39"/>
        <v>0</v>
      </c>
      <c r="DN13" s="295" t="str">
        <f t="shared" si="40"/>
        <v>OK</v>
      </c>
    </row>
    <row r="14" spans="1:118" x14ac:dyDescent="0.25">
      <c r="A14" s="599" t="str">
        <f t="shared" si="41"/>
        <v>POY Patrick - ASAF - Santé Individuelle</v>
      </c>
      <c r="B14" s="306"/>
      <c r="C14" s="305" t="s">
        <v>158</v>
      </c>
      <c r="D14" s="301" t="s">
        <v>530</v>
      </c>
      <c r="E14" s="276">
        <v>43187</v>
      </c>
      <c r="F14" s="278" t="s">
        <v>546</v>
      </c>
      <c r="G14" s="311" t="s">
        <v>170</v>
      </c>
      <c r="H14" s="276">
        <v>43135</v>
      </c>
      <c r="I14" s="313">
        <f t="shared" si="1"/>
        <v>52</v>
      </c>
      <c r="J14" s="312" t="s">
        <v>20</v>
      </c>
      <c r="K14" s="268" t="s">
        <v>43</v>
      </c>
      <c r="L14" s="277" t="s">
        <v>159</v>
      </c>
      <c r="M14" s="279">
        <v>125.4</v>
      </c>
      <c r="N14" s="280">
        <v>125.4</v>
      </c>
      <c r="O14" s="280"/>
      <c r="P14" s="285" t="s">
        <v>57</v>
      </c>
      <c r="Q14" s="281" t="str">
        <f t="shared" si="2"/>
        <v/>
      </c>
      <c r="R14" s="282">
        <f t="shared" si="3"/>
        <v>1504.8000000000002</v>
      </c>
      <c r="S14" s="268" t="s">
        <v>18</v>
      </c>
      <c r="T14" s="376">
        <v>25</v>
      </c>
      <c r="U14" s="284">
        <f>IF(M14=0,0,IF(G14="Annulation","",IF(assurance="ALPTIS",M14*12*T14/100*'1804 Data'!$K$4,IF(assurance="APRIL",M14*12*T14/100*'1804 Data'!$F$4,IF(assurance="ASAF",M14*12*T14/100*'1804 Data'!$I$4,IF(assurance="NEOLIANE",('1804 Data'!$G$5+M14*12*'1804 Data'!$G$4)*T14/100,IF(assurance="NEOLIANE Prev",('1804 Data'!$H$5+M14*12*'1804 Data'!$H$4)*T14/100,IF(assurance="SWISSLIFE",M14*12*T14/100*'1804 Data'!$J$4,IF(assurance="AVIVA",M14*12*T14/100*'1804 Data'!$L$4,IF(assurance="CIPRES",M14*12*T14/100*'1804 Data'!$M$4,IF(assurance="CEGEMA",M14*12*T14/100*'1804 Data'!$N$4,IF(assurance=0,0))))))))))))</f>
        <v>52.291800000000009</v>
      </c>
      <c r="V14" s="298">
        <f t="shared" si="5"/>
        <v>376.20000000000005</v>
      </c>
      <c r="W14" s="298">
        <f t="shared" si="6"/>
        <v>0</v>
      </c>
      <c r="X14" s="299">
        <f t="shared" si="42"/>
        <v>323.90820000000002</v>
      </c>
      <c r="Y14" s="368">
        <f t="shared" si="7"/>
        <v>0</v>
      </c>
      <c r="Z14" s="314">
        <v>43191</v>
      </c>
      <c r="AA14" s="313">
        <f t="shared" si="8"/>
        <v>4</v>
      </c>
      <c r="AB14" s="268" t="s">
        <v>13</v>
      </c>
      <c r="AC14" s="277"/>
      <c r="AD14" s="309" t="str">
        <f t="shared" si="43"/>
        <v/>
      </c>
      <c r="AE14" s="286" t="str">
        <f t="shared" si="10"/>
        <v/>
      </c>
      <c r="AF14" s="277"/>
      <c r="AG14" s="275">
        <f t="shared" si="11"/>
        <v>43466</v>
      </c>
      <c r="AH14" s="287">
        <f t="shared" ca="1" si="12"/>
        <v>0.18630136986301371</v>
      </c>
      <c r="AI14" s="373">
        <f t="shared" ca="1" si="13"/>
        <v>43466</v>
      </c>
      <c r="AJ14" s="275">
        <f t="shared" ca="1" si="14"/>
        <v>43404</v>
      </c>
      <c r="AK14" s="296">
        <f t="shared" ca="1" si="15"/>
        <v>43374</v>
      </c>
      <c r="AL14" s="287">
        <f t="shared" ca="1" si="16"/>
        <v>0.75342465753424659</v>
      </c>
      <c r="AM14" s="279">
        <f t="shared" si="17"/>
        <v>0</v>
      </c>
      <c r="AN14" s="279">
        <f t="shared" si="18"/>
        <v>0</v>
      </c>
      <c r="AO14" s="288">
        <f t="shared" si="19"/>
        <v>0</v>
      </c>
      <c r="AP14" s="279">
        <f t="shared" si="20"/>
        <v>125.4</v>
      </c>
      <c r="AQ14" s="288">
        <f t="shared" si="21"/>
        <v>0</v>
      </c>
      <c r="AR14" s="289">
        <f t="shared" si="22"/>
        <v>0</v>
      </c>
      <c r="AS14" s="279">
        <f t="shared" si="23"/>
        <v>0</v>
      </c>
      <c r="AT14" s="288">
        <f t="shared" si="24"/>
        <v>-1</v>
      </c>
      <c r="AU14" s="289">
        <f t="shared" si="25"/>
        <v>0</v>
      </c>
      <c r="AV14" s="279">
        <f t="shared" si="26"/>
        <v>0</v>
      </c>
      <c r="AW14" s="288">
        <f t="shared" si="27"/>
        <v>0</v>
      </c>
      <c r="AX14" s="289">
        <f t="shared" si="28"/>
        <v>-1</v>
      </c>
      <c r="AY14" s="268" t="s">
        <v>278</v>
      </c>
      <c r="AZ14" s="291" t="s">
        <v>1330</v>
      </c>
      <c r="BA14" s="292">
        <v>28100</v>
      </c>
      <c r="BB14" s="303" t="s">
        <v>1331</v>
      </c>
      <c r="BC14" s="293" t="s">
        <v>1332</v>
      </c>
      <c r="BD14" s="293"/>
      <c r="BE14" s="304" t="s">
        <v>1333</v>
      </c>
      <c r="BF14" s="274" t="s">
        <v>1334</v>
      </c>
      <c r="BG14" s="270" t="s">
        <v>1335</v>
      </c>
      <c r="BH14" s="268">
        <v>2</v>
      </c>
      <c r="BI14" s="273">
        <v>0</v>
      </c>
      <c r="BJ14" s="276">
        <v>20001</v>
      </c>
      <c r="BK14" s="294" t="s">
        <v>200</v>
      </c>
      <c r="BL14" s="269">
        <f t="shared" ca="1" si="29"/>
        <v>63</v>
      </c>
      <c r="BM14" s="270">
        <v>19735</v>
      </c>
      <c r="BN14" s="271" t="s">
        <v>200</v>
      </c>
      <c r="BO14" s="272">
        <f t="shared" ca="1" si="30"/>
        <v>64</v>
      </c>
      <c r="BP14" s="270"/>
      <c r="BQ14" s="271"/>
      <c r="BR14" s="272" t="str">
        <f t="shared" ca="1" si="31"/>
        <v/>
      </c>
      <c r="BS14" s="270"/>
      <c r="BT14" s="271"/>
      <c r="BU14" s="272" t="str">
        <f t="shared" ca="1" si="32"/>
        <v/>
      </c>
      <c r="BV14" s="270"/>
      <c r="BW14" s="271"/>
      <c r="BX14" s="272" t="str">
        <f t="shared" ca="1" si="33"/>
        <v/>
      </c>
      <c r="BY14" s="270"/>
      <c r="BZ14" s="271"/>
      <c r="CA14" s="272" t="str">
        <f t="shared" ca="1" si="34"/>
        <v/>
      </c>
      <c r="CB14" s="270"/>
      <c r="CC14" s="271"/>
      <c r="CD14" s="272" t="str">
        <f t="shared" ca="1" si="35"/>
        <v/>
      </c>
      <c r="CE14" s="270"/>
      <c r="CF14" s="271"/>
      <c r="CG14" s="272" t="str">
        <f t="shared" ca="1" si="36"/>
        <v/>
      </c>
      <c r="CH14" s="270"/>
      <c r="CI14" s="271"/>
      <c r="CJ14" s="272" t="str">
        <f t="shared" ca="1" si="37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8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9"/>
        <v>0</v>
      </c>
      <c r="DN14" s="295" t="str">
        <f t="shared" si="40"/>
        <v>OK</v>
      </c>
    </row>
    <row r="15" spans="1:118" x14ac:dyDescent="0.25">
      <c r="A15" s="599" t="str">
        <f t="shared" si="41"/>
        <v>TOUNSADI Alaa - APRIL - Prev. Pro</v>
      </c>
      <c r="B15" s="306"/>
      <c r="C15" s="305" t="s">
        <v>157</v>
      </c>
      <c r="D15" s="301" t="s">
        <v>1325</v>
      </c>
      <c r="E15" s="276">
        <v>43188</v>
      </c>
      <c r="F15" s="278" t="s">
        <v>546</v>
      </c>
      <c r="G15" s="311" t="s">
        <v>170</v>
      </c>
      <c r="H15" s="276">
        <v>43135</v>
      </c>
      <c r="I15" s="313">
        <f t="shared" si="1"/>
        <v>53</v>
      </c>
      <c r="J15" s="312" t="s">
        <v>16</v>
      </c>
      <c r="K15" s="268" t="s">
        <v>33</v>
      </c>
      <c r="L15" s="277" t="s">
        <v>133</v>
      </c>
      <c r="M15" s="279">
        <v>58.12</v>
      </c>
      <c r="N15" s="280">
        <v>58.12</v>
      </c>
      <c r="O15" s="280"/>
      <c r="P15" s="285" t="s">
        <v>57</v>
      </c>
      <c r="Q15" s="281" t="str">
        <f t="shared" si="2"/>
        <v/>
      </c>
      <c r="R15" s="282">
        <f t="shared" si="3"/>
        <v>697.43999999999994</v>
      </c>
      <c r="S15" s="268" t="s">
        <v>18</v>
      </c>
      <c r="T15" s="283">
        <f>IF(G15="Annulation","",IF(assurance="ALPTIS",25,IF(assurance="APRIL",25,IF(assurance="ASAF",17.5,IF(assurance="NEOLIANE",25,IF(assurance="NEOLIANE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5" s="284">
        <f>IF(M15=0,0,IF(G15="Annulation","",IF(assurance="ALPTIS",M15*12*T15/100*'1804 Data'!$K$4,IF(assurance="APRIL",M15*12*T15/100*'1804 Data'!$F$4,IF(assurance="ASAF",M15*12*T15/100*'1804 Data'!$I$4,IF(assurance="NEOLIANE",('1804 Data'!$G$5+M15*12*'1804 Data'!$G$4)*T15/100,IF(assurance="NEOLIANE Prev",('1804 Data'!$H$5+M15*12*'1804 Data'!$H$4)*T15/100,IF(assurance="SWISSLIFE",M15*12*T15/100*'1804 Data'!$J$4,IF(assurance="AVIVA",M15*12*T15/100*'1804 Data'!$L$4,IF(assurance="CIPRES",M15*12*T15/100*'1804 Data'!$M$4,IF(assurance="CEGEMA",M15*12*T15/100*'1804 Data'!$N$4,IF(assurance=0,0))))))))))))</f>
        <v>13.495464</v>
      </c>
      <c r="V15" s="298">
        <f t="shared" si="5"/>
        <v>174.35999999999999</v>
      </c>
      <c r="W15" s="298">
        <f t="shared" si="6"/>
        <v>0</v>
      </c>
      <c r="X15" s="299">
        <f t="shared" si="42"/>
        <v>160.86453599999999</v>
      </c>
      <c r="Y15" s="368">
        <f t="shared" si="7"/>
        <v>0</v>
      </c>
      <c r="Z15" s="314">
        <v>43191</v>
      </c>
      <c r="AA15" s="313">
        <f t="shared" si="8"/>
        <v>3</v>
      </c>
      <c r="AB15" s="268" t="s">
        <v>13</v>
      </c>
      <c r="AC15" s="277"/>
      <c r="AD15" s="309" t="str">
        <f t="shared" si="43"/>
        <v/>
      </c>
      <c r="AE15" s="286" t="str">
        <f t="shared" si="10"/>
        <v/>
      </c>
      <c r="AF15" s="277"/>
      <c r="AG15" s="275">
        <f t="shared" si="11"/>
        <v>43466</v>
      </c>
      <c r="AH15" s="287">
        <f t="shared" ca="1" si="12"/>
        <v>0.18630136986301371</v>
      </c>
      <c r="AI15" s="373">
        <f t="shared" ca="1" si="13"/>
        <v>43466</v>
      </c>
      <c r="AJ15" s="275">
        <f t="shared" ca="1" si="14"/>
        <v>43404</v>
      </c>
      <c r="AK15" s="296">
        <f t="shared" ca="1" si="15"/>
        <v>43374</v>
      </c>
      <c r="AL15" s="287">
        <f t="shared" ca="1" si="16"/>
        <v>0.75342465753424659</v>
      </c>
      <c r="AM15" s="279">
        <f t="shared" si="17"/>
        <v>0</v>
      </c>
      <c r="AN15" s="279">
        <f t="shared" si="18"/>
        <v>0</v>
      </c>
      <c r="AO15" s="288">
        <f t="shared" si="19"/>
        <v>0</v>
      </c>
      <c r="AP15" s="279">
        <f t="shared" si="20"/>
        <v>58.12</v>
      </c>
      <c r="AQ15" s="288">
        <f t="shared" si="21"/>
        <v>0</v>
      </c>
      <c r="AR15" s="289">
        <f t="shared" si="22"/>
        <v>0</v>
      </c>
      <c r="AS15" s="279">
        <f t="shared" si="23"/>
        <v>0</v>
      </c>
      <c r="AT15" s="288">
        <f t="shared" si="24"/>
        <v>-1</v>
      </c>
      <c r="AU15" s="289">
        <f t="shared" si="25"/>
        <v>0</v>
      </c>
      <c r="AV15" s="279">
        <f t="shared" si="26"/>
        <v>0</v>
      </c>
      <c r="AW15" s="288">
        <f t="shared" si="27"/>
        <v>0</v>
      </c>
      <c r="AX15" s="289">
        <f t="shared" si="28"/>
        <v>-1</v>
      </c>
      <c r="AY15" s="268" t="s">
        <v>278</v>
      </c>
      <c r="AZ15" s="291">
        <v>680601700</v>
      </c>
      <c r="BA15" s="292">
        <v>92220</v>
      </c>
      <c r="BB15" s="303" t="s">
        <v>1326</v>
      </c>
      <c r="BC15" s="293">
        <v>609842832</v>
      </c>
      <c r="BD15" s="293"/>
      <c r="BE15" s="304" t="s">
        <v>1327</v>
      </c>
      <c r="BF15" s="274"/>
      <c r="BG15" s="270"/>
      <c r="BH15" s="268">
        <v>1</v>
      </c>
      <c r="BI15" s="273">
        <v>0</v>
      </c>
      <c r="BJ15" s="276">
        <v>32168</v>
      </c>
      <c r="BK15" s="294" t="s">
        <v>202</v>
      </c>
      <c r="BL15" s="269">
        <f t="shared" ca="1" si="29"/>
        <v>30</v>
      </c>
      <c r="BM15" s="270"/>
      <c r="BN15" s="271"/>
      <c r="BO15" s="272" t="str">
        <f t="shared" ca="1" si="30"/>
        <v/>
      </c>
      <c r="BP15" s="270"/>
      <c r="BQ15" s="271"/>
      <c r="BR15" s="272" t="str">
        <f t="shared" ca="1" si="31"/>
        <v/>
      </c>
      <c r="BS15" s="270"/>
      <c r="BT15" s="271"/>
      <c r="BU15" s="272" t="str">
        <f t="shared" ca="1" si="32"/>
        <v/>
      </c>
      <c r="BV15" s="270"/>
      <c r="BW15" s="271"/>
      <c r="BX15" s="272" t="str">
        <f t="shared" ca="1" si="33"/>
        <v/>
      </c>
      <c r="BY15" s="270"/>
      <c r="BZ15" s="271"/>
      <c r="CA15" s="272" t="str">
        <f t="shared" ca="1" si="34"/>
        <v/>
      </c>
      <c r="CB15" s="270"/>
      <c r="CC15" s="271"/>
      <c r="CD15" s="272" t="str">
        <f t="shared" ca="1" si="35"/>
        <v/>
      </c>
      <c r="CE15" s="270"/>
      <c r="CF15" s="271"/>
      <c r="CG15" s="272" t="str">
        <f t="shared" ca="1" si="36"/>
        <v/>
      </c>
      <c r="CH15" s="270"/>
      <c r="CI15" s="271"/>
      <c r="CJ15" s="272" t="str">
        <f t="shared" ca="1" si="37"/>
        <v/>
      </c>
      <c r="CK15" s="262"/>
      <c r="CL15" s="264"/>
      <c r="CM15" s="264"/>
      <c r="CN15" s="264"/>
      <c r="CO15" s="264"/>
      <c r="CP15" s="264"/>
      <c r="CQ15" s="264"/>
      <c r="CR15" s="262" t="s">
        <v>1328</v>
      </c>
      <c r="CS15" s="263" t="s">
        <v>1329</v>
      </c>
      <c r="CT15" s="297">
        <f t="shared" ca="1" si="38"/>
        <v>30</v>
      </c>
      <c r="CU15" s="264" t="s">
        <v>308</v>
      </c>
      <c r="CV15" s="265">
        <v>42917</v>
      </c>
      <c r="CW15" s="264" t="s">
        <v>351</v>
      </c>
      <c r="CX15" s="264" t="s">
        <v>483</v>
      </c>
      <c r="CY15" s="264" t="s">
        <v>351</v>
      </c>
      <c r="CZ15" s="264" t="s">
        <v>360</v>
      </c>
      <c r="DA15" s="264" t="s">
        <v>351</v>
      </c>
      <c r="DB15" s="266">
        <v>3600</v>
      </c>
      <c r="DC15" s="264" t="s">
        <v>365</v>
      </c>
      <c r="DD15" s="264" t="s">
        <v>362</v>
      </c>
      <c r="DE15" s="266">
        <v>0</v>
      </c>
      <c r="DF15" s="266">
        <v>120000</v>
      </c>
      <c r="DG15" s="264" t="s">
        <v>35</v>
      </c>
      <c r="DH15" s="266">
        <v>0</v>
      </c>
      <c r="DI15" s="266">
        <v>0</v>
      </c>
      <c r="DJ15" s="264" t="s">
        <v>351</v>
      </c>
      <c r="DK15" s="264" t="s">
        <v>351</v>
      </c>
      <c r="DL15" s="267"/>
      <c r="DM15" s="261">
        <f t="shared" si="39"/>
        <v>0</v>
      </c>
      <c r="DN15" s="295" t="str">
        <f t="shared" si="40"/>
        <v>OK</v>
      </c>
    </row>
    <row r="16" spans="1:118" x14ac:dyDescent="0.25">
      <c r="A16" s="599" t="str">
        <f t="shared" si="41"/>
        <v>BOUCHET Sebastien - ALPTIS - Santé Individuelle</v>
      </c>
      <c r="B16" s="306"/>
      <c r="C16" s="305" t="s">
        <v>143</v>
      </c>
      <c r="D16" s="301" t="s">
        <v>1304</v>
      </c>
      <c r="E16" s="276">
        <v>43190</v>
      </c>
      <c r="F16" s="278" t="s">
        <v>546</v>
      </c>
      <c r="G16" s="311" t="s">
        <v>172</v>
      </c>
      <c r="H16" s="276">
        <v>43152</v>
      </c>
      <c r="I16" s="313">
        <f t="shared" si="1"/>
        <v>38</v>
      </c>
      <c r="J16" s="312" t="s">
        <v>20</v>
      </c>
      <c r="K16" s="268" t="s">
        <v>17</v>
      </c>
      <c r="L16" s="277" t="s">
        <v>42</v>
      </c>
      <c r="M16" s="279">
        <v>32.200000000000003</v>
      </c>
      <c r="N16" s="280">
        <v>38.200000000000003</v>
      </c>
      <c r="O16" s="280">
        <v>6</v>
      </c>
      <c r="P16" s="285" t="s">
        <v>57</v>
      </c>
      <c r="Q16" s="281" t="str">
        <f t="shared" si="2"/>
        <v/>
      </c>
      <c r="R16" s="282">
        <f t="shared" si="3"/>
        <v>386.40000000000003</v>
      </c>
      <c r="S16" s="268" t="s">
        <v>18</v>
      </c>
      <c r="T16" s="283">
        <f>IF(G16="Annulation","",IF(assurance="ALPTIS",25,IF(assurance="APRIL",25,IF(assurance="ASAF",17.5,IF(assurance="NEOLIANE",25,IF(assurance="NEOLIANE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6" s="284">
        <f>IF(M16=0,0,IF(G16="Annulation","",IF(assurance="ALPTIS",M16*12*T16/100*'1804 Data'!$K$4,IF(assurance="APRIL",M16*12*T16/100*'1804 Data'!$F$4,IF(assurance="ASAF",M16*12*T16/100*'1804 Data'!$I$4,IF(assurance="NEOLIANE",('1804 Data'!$G$5+M16*12*'1804 Data'!$G$4)*T16/100,IF(assurance="NEOLIANE Prev",('1804 Data'!$H$5+M16*12*'1804 Data'!$H$4)*T16/100,IF(assurance="SWISSLIFE",M16*12*T16/100*'1804 Data'!$J$4,IF(assurance="AVIVA",M16*12*T16/100*'1804 Data'!$L$4,IF(assurance="CIPRES",M16*12*T16/100*'1804 Data'!$M$4,IF(assurance="CEGEMA",M16*12*T16/100*'1804 Data'!$N$4,IF(assurance=0,0))))))))))))</f>
        <v>9.66</v>
      </c>
      <c r="V16" s="298">
        <f t="shared" si="5"/>
        <v>89.4</v>
      </c>
      <c r="W16" s="298">
        <f t="shared" si="6"/>
        <v>0</v>
      </c>
      <c r="X16" s="299">
        <f t="shared" si="42"/>
        <v>79.740000000000009</v>
      </c>
      <c r="Y16" s="368">
        <f t="shared" si="7"/>
        <v>0</v>
      </c>
      <c r="Z16" s="314">
        <v>43285</v>
      </c>
      <c r="AA16" s="313">
        <f t="shared" si="8"/>
        <v>95</v>
      </c>
      <c r="AB16" s="268" t="s">
        <v>35</v>
      </c>
      <c r="AC16" s="277" t="s">
        <v>1361</v>
      </c>
      <c r="AD16" s="309" t="s">
        <v>78</v>
      </c>
      <c r="AE16" s="286" t="str">
        <f t="shared" si="10"/>
        <v/>
      </c>
      <c r="AF16" s="277"/>
      <c r="AG16" s="275">
        <f t="shared" si="11"/>
        <v>43466</v>
      </c>
      <c r="AH16" s="287">
        <f t="shared" ca="1" si="12"/>
        <v>-7.1232876712328766E-2</v>
      </c>
      <c r="AI16" s="373">
        <f t="shared" ca="1" si="13"/>
        <v>43831</v>
      </c>
      <c r="AJ16" s="275">
        <f t="shared" ca="1" si="14"/>
        <v>43769</v>
      </c>
      <c r="AK16" s="296">
        <f t="shared" ca="1" si="15"/>
        <v>43739</v>
      </c>
      <c r="AL16" s="287">
        <f t="shared" ca="1" si="16"/>
        <v>1.4958904109589042</v>
      </c>
      <c r="AM16" s="279">
        <f t="shared" si="17"/>
        <v>0</v>
      </c>
      <c r="AN16" s="279">
        <f t="shared" si="18"/>
        <v>0</v>
      </c>
      <c r="AO16" s="288">
        <f t="shared" si="19"/>
        <v>0</v>
      </c>
      <c r="AP16" s="279">
        <f t="shared" si="20"/>
        <v>32.200000000000003</v>
      </c>
      <c r="AQ16" s="288">
        <f t="shared" si="21"/>
        <v>0</v>
      </c>
      <c r="AR16" s="289">
        <f t="shared" si="22"/>
        <v>0</v>
      </c>
      <c r="AS16" s="279">
        <f t="shared" si="23"/>
        <v>0</v>
      </c>
      <c r="AT16" s="288">
        <f t="shared" si="24"/>
        <v>-1</v>
      </c>
      <c r="AU16" s="289">
        <f t="shared" si="25"/>
        <v>0</v>
      </c>
      <c r="AV16" s="279">
        <f t="shared" si="26"/>
        <v>0</v>
      </c>
      <c r="AW16" s="288">
        <f t="shared" si="27"/>
        <v>0</v>
      </c>
      <c r="AX16" s="289">
        <f t="shared" si="28"/>
        <v>-1</v>
      </c>
      <c r="AY16" s="268" t="s">
        <v>277</v>
      </c>
      <c r="AZ16" s="291">
        <v>1840792</v>
      </c>
      <c r="BA16" s="292">
        <v>13008</v>
      </c>
      <c r="BB16" s="303" t="s">
        <v>1300</v>
      </c>
      <c r="BC16" s="293">
        <v>661958963</v>
      </c>
      <c r="BD16" s="293"/>
      <c r="BE16" s="304" t="s">
        <v>1302</v>
      </c>
      <c r="BF16" s="274" t="s">
        <v>1301</v>
      </c>
      <c r="BG16" s="270"/>
      <c r="BH16" s="268">
        <v>1</v>
      </c>
      <c r="BI16" s="273">
        <v>0</v>
      </c>
      <c r="BJ16" s="276">
        <v>28047</v>
      </c>
      <c r="BK16" s="294" t="s">
        <v>202</v>
      </c>
      <c r="BL16" s="269">
        <f t="shared" ca="1" si="29"/>
        <v>41</v>
      </c>
      <c r="BM16" s="270"/>
      <c r="BN16" s="271"/>
      <c r="BO16" s="272" t="str">
        <f t="shared" ca="1" si="30"/>
        <v/>
      </c>
      <c r="BP16" s="270"/>
      <c r="BQ16" s="271"/>
      <c r="BR16" s="272" t="str">
        <f t="shared" ca="1" si="31"/>
        <v/>
      </c>
      <c r="BS16" s="270"/>
      <c r="BT16" s="271"/>
      <c r="BU16" s="272" t="str">
        <f t="shared" ca="1" si="32"/>
        <v/>
      </c>
      <c r="BV16" s="270"/>
      <c r="BW16" s="271"/>
      <c r="BX16" s="272" t="str">
        <f t="shared" ca="1" si="33"/>
        <v/>
      </c>
      <c r="BY16" s="270"/>
      <c r="BZ16" s="271"/>
      <c r="CA16" s="272" t="str">
        <f t="shared" ca="1" si="34"/>
        <v/>
      </c>
      <c r="CB16" s="270"/>
      <c r="CC16" s="271"/>
      <c r="CD16" s="272" t="str">
        <f t="shared" ca="1" si="35"/>
        <v/>
      </c>
      <c r="CE16" s="270"/>
      <c r="CF16" s="271"/>
      <c r="CG16" s="272" t="str">
        <f t="shared" ca="1" si="36"/>
        <v/>
      </c>
      <c r="CH16" s="270"/>
      <c r="CI16" s="271"/>
      <c r="CJ16" s="272" t="str">
        <f t="shared" ca="1" si="37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38"/>
        <v/>
      </c>
      <c r="CU16" s="264"/>
      <c r="CV16" s="265"/>
      <c r="CW16" s="264"/>
      <c r="CX16" s="264"/>
      <c r="CY16" s="264" t="s">
        <v>1287</v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39"/>
        <v>0</v>
      </c>
      <c r="DN16" s="295" t="str">
        <f t="shared" si="40"/>
        <v>OK</v>
      </c>
    </row>
    <row r="17" spans="1:118" x14ac:dyDescent="0.25">
      <c r="A17" s="599" t="str">
        <f t="shared" si="41"/>
        <v>PEZAT Yannick - APRIL - Santé Individuelle</v>
      </c>
      <c r="B17" s="306"/>
      <c r="C17" s="305" t="s">
        <v>161</v>
      </c>
      <c r="D17" s="301" t="s">
        <v>1115</v>
      </c>
      <c r="E17" s="276">
        <v>43190</v>
      </c>
      <c r="F17" s="278" t="s">
        <v>546</v>
      </c>
      <c r="G17" s="311" t="s">
        <v>172</v>
      </c>
      <c r="H17" s="276">
        <v>43181</v>
      </c>
      <c r="I17" s="313">
        <f t="shared" si="1"/>
        <v>9</v>
      </c>
      <c r="J17" s="312" t="s">
        <v>20</v>
      </c>
      <c r="K17" s="268" t="s">
        <v>33</v>
      </c>
      <c r="L17" s="277" t="s">
        <v>109</v>
      </c>
      <c r="M17" s="279">
        <v>137.97999999999999</v>
      </c>
      <c r="N17" s="280">
        <v>137.97999999999999</v>
      </c>
      <c r="O17" s="280"/>
      <c r="P17" s="285" t="s">
        <v>57</v>
      </c>
      <c r="Q17" s="281" t="str">
        <f t="shared" si="2"/>
        <v/>
      </c>
      <c r="R17" s="282">
        <f t="shared" si="3"/>
        <v>1655.7599999999998</v>
      </c>
      <c r="S17" s="268" t="s">
        <v>18</v>
      </c>
      <c r="T17" s="283">
        <f>IF(G17="Annulation","",IF(assurance="ALPTIS",25,IF(assurance="APRIL",25,IF(assurance="ASAF",17.5,IF(assurance="NEOLIANE",25,IF(assurance="NEOLIANE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7" s="284">
        <f>IF(M17=0,0,IF(G17="Annulation","",IF(assurance="ALPTIS",M17*12*T17/100*'1804 Data'!$K$4,IF(assurance="APRIL",M17*12*T17/100*'1804 Data'!$F$4,IF(assurance="ASAF",M17*12*T17/100*'1804 Data'!$I$4,IF(assurance="NEOLIANE",('1804 Data'!$G$5+M17*12*'1804 Data'!$G$4)*T17/100,IF(assurance="NEOLIANE Prev",('1804 Data'!$H$5+M17*12*'1804 Data'!$H$4)*T17/100,IF(assurance="SWISSLIFE",M17*12*T17/100*'1804 Data'!$J$4,IF(assurance="AVIVA",M17*12*T17/100*'1804 Data'!$L$4,IF(assurance="CIPRES",M17*12*T17/100*'1804 Data'!$M$4,IF(assurance="CEGEMA",M17*12*T17/100*'1804 Data'!$N$4,IF(assurance=0,0))))))))))))</f>
        <v>32.038955999999992</v>
      </c>
      <c r="V17" s="298">
        <f t="shared" si="5"/>
        <v>413.93999999999994</v>
      </c>
      <c r="W17" s="298">
        <f t="shared" si="6"/>
        <v>0</v>
      </c>
      <c r="X17" s="299">
        <f t="shared" si="42"/>
        <v>381.90104399999996</v>
      </c>
      <c r="Y17" s="368">
        <f t="shared" si="7"/>
        <v>0</v>
      </c>
      <c r="Z17" s="314">
        <v>43466</v>
      </c>
      <c r="AA17" s="313">
        <f t="shared" si="8"/>
        <v>276</v>
      </c>
      <c r="AB17" s="268" t="s">
        <v>35</v>
      </c>
      <c r="AC17" s="277" t="s">
        <v>1358</v>
      </c>
      <c r="AD17" s="309" t="str">
        <f>IF(Z17=43466,"Programmée","")</f>
        <v>Programmée</v>
      </c>
      <c r="AE17" s="286">
        <f t="shared" si="10"/>
        <v>43404</v>
      </c>
      <c r="AF17" s="277"/>
      <c r="AG17" s="275">
        <f t="shared" si="11"/>
        <v>43831</v>
      </c>
      <c r="AH17" s="287">
        <f t="shared" ca="1" si="12"/>
        <v>-0.56712328767123288</v>
      </c>
      <c r="AI17" s="373">
        <f t="shared" ca="1" si="13"/>
        <v>43831</v>
      </c>
      <c r="AJ17" s="275">
        <f t="shared" ca="1" si="14"/>
        <v>43769</v>
      </c>
      <c r="AK17" s="296">
        <f t="shared" ca="1" si="15"/>
        <v>43739</v>
      </c>
      <c r="AL17" s="287">
        <f t="shared" ca="1" si="16"/>
        <v>1</v>
      </c>
      <c r="AM17" s="279">
        <f t="shared" si="17"/>
        <v>0</v>
      </c>
      <c r="AN17" s="279">
        <f t="shared" si="18"/>
        <v>0</v>
      </c>
      <c r="AO17" s="288">
        <f t="shared" si="19"/>
        <v>0</v>
      </c>
      <c r="AP17" s="279">
        <f t="shared" si="20"/>
        <v>0</v>
      </c>
      <c r="AQ17" s="288">
        <f t="shared" si="21"/>
        <v>0</v>
      </c>
      <c r="AR17" s="289">
        <f t="shared" si="22"/>
        <v>0</v>
      </c>
      <c r="AS17" s="279">
        <f t="shared" si="23"/>
        <v>137.97999999999999</v>
      </c>
      <c r="AT17" s="288">
        <f t="shared" si="24"/>
        <v>0</v>
      </c>
      <c r="AU17" s="289">
        <f t="shared" si="25"/>
        <v>0</v>
      </c>
      <c r="AV17" s="279">
        <f t="shared" si="26"/>
        <v>0</v>
      </c>
      <c r="AW17" s="288">
        <f t="shared" si="27"/>
        <v>-1</v>
      </c>
      <c r="AX17" s="289">
        <f t="shared" si="28"/>
        <v>-1</v>
      </c>
      <c r="AY17" s="268" t="s">
        <v>273</v>
      </c>
      <c r="AZ17" s="291">
        <v>680634700</v>
      </c>
      <c r="BA17" s="292">
        <v>31530</v>
      </c>
      <c r="BB17" s="303" t="s">
        <v>1305</v>
      </c>
      <c r="BC17" s="293">
        <v>633335041</v>
      </c>
      <c r="BD17" s="293"/>
      <c r="BE17" s="304" t="s">
        <v>1306</v>
      </c>
      <c r="BF17" s="274" t="s">
        <v>1307</v>
      </c>
      <c r="BG17" s="270" t="s">
        <v>1308</v>
      </c>
      <c r="BH17" s="268">
        <v>2</v>
      </c>
      <c r="BI17" s="273">
        <v>2</v>
      </c>
      <c r="BJ17" s="276">
        <v>26030</v>
      </c>
      <c r="BK17" s="294" t="s">
        <v>202</v>
      </c>
      <c r="BL17" s="269">
        <f t="shared" ca="1" si="29"/>
        <v>47</v>
      </c>
      <c r="BM17" s="270">
        <v>26744</v>
      </c>
      <c r="BN17" s="271" t="s">
        <v>202</v>
      </c>
      <c r="BO17" s="272">
        <f t="shared" ca="1" si="30"/>
        <v>45</v>
      </c>
      <c r="BP17" s="270">
        <v>35709</v>
      </c>
      <c r="BQ17" s="271" t="s">
        <v>202</v>
      </c>
      <c r="BR17" s="272">
        <f t="shared" ca="1" si="31"/>
        <v>20</v>
      </c>
      <c r="BS17" s="270">
        <v>36259</v>
      </c>
      <c r="BT17" s="271" t="s">
        <v>202</v>
      </c>
      <c r="BU17" s="272">
        <f t="shared" ca="1" si="32"/>
        <v>19</v>
      </c>
      <c r="BV17" s="270"/>
      <c r="BW17" s="271"/>
      <c r="BX17" s="272" t="str">
        <f t="shared" ca="1" si="33"/>
        <v/>
      </c>
      <c r="BY17" s="270"/>
      <c r="BZ17" s="271"/>
      <c r="CA17" s="272" t="str">
        <f t="shared" ca="1" si="34"/>
        <v/>
      </c>
      <c r="CB17" s="270"/>
      <c r="CC17" s="271"/>
      <c r="CD17" s="272" t="str">
        <f t="shared" ca="1" si="35"/>
        <v/>
      </c>
      <c r="CE17" s="270"/>
      <c r="CF17" s="271"/>
      <c r="CG17" s="272" t="str">
        <f t="shared" ca="1" si="36"/>
        <v/>
      </c>
      <c r="CH17" s="270"/>
      <c r="CI17" s="271"/>
      <c r="CJ17" s="272" t="str">
        <f t="shared" ca="1" si="37"/>
        <v/>
      </c>
      <c r="CK17" s="262">
        <v>5</v>
      </c>
      <c r="CL17" s="264">
        <v>10</v>
      </c>
      <c r="CM17" s="264">
        <v>5</v>
      </c>
      <c r="CN17" s="264">
        <v>5</v>
      </c>
      <c r="CO17" s="264">
        <v>5</v>
      </c>
      <c r="CP17" s="264">
        <v>5</v>
      </c>
      <c r="CQ17" s="264" t="s">
        <v>1311</v>
      </c>
      <c r="CR17" s="262"/>
      <c r="CS17" s="263"/>
      <c r="CT17" s="297" t="str">
        <f t="shared" si="38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9"/>
        <v>0</v>
      </c>
      <c r="DN17" s="295" t="str">
        <f t="shared" si="40"/>
        <v>OK</v>
      </c>
    </row>
    <row r="18" spans="1:118" x14ac:dyDescent="0.25">
      <c r="A18" s="599" t="str">
        <f t="shared" si="41"/>
        <v>DELFORGE Jean-Michel  - NEOLIANE Prev - Prev. Part</v>
      </c>
      <c r="B18" s="306"/>
      <c r="C18" s="305" t="s">
        <v>25</v>
      </c>
      <c r="D18" s="301" t="s">
        <v>1336</v>
      </c>
      <c r="E18" s="276">
        <v>43193</v>
      </c>
      <c r="F18" s="278" t="s">
        <v>546</v>
      </c>
      <c r="G18" s="311" t="s">
        <v>167</v>
      </c>
      <c r="H18" s="276">
        <v>43110</v>
      </c>
      <c r="I18" s="313">
        <f t="shared" si="1"/>
        <v>83</v>
      </c>
      <c r="J18" s="312" t="s">
        <v>85</v>
      </c>
      <c r="K18" s="268" t="s">
        <v>123</v>
      </c>
      <c r="L18" s="277" t="s">
        <v>164</v>
      </c>
      <c r="M18" s="279">
        <v>30.85</v>
      </c>
      <c r="N18" s="280">
        <v>30.85</v>
      </c>
      <c r="O18" s="280"/>
      <c r="P18" s="285" t="s">
        <v>57</v>
      </c>
      <c r="Q18" s="281" t="str">
        <f t="shared" si="2"/>
        <v/>
      </c>
      <c r="R18" s="282">
        <f t="shared" si="3"/>
        <v>370.20000000000005</v>
      </c>
      <c r="S18" s="268" t="s">
        <v>18</v>
      </c>
      <c r="T18" s="283">
        <f>IF(G18="Annulation","",IF(assurance="ALPTIS",25,IF(assurance="APRIL",25,IF(assurance="ASAF",17.5,IF(assurance="NEOLIANE",25,IF(assurance="NEOLIANE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18" s="284">
        <f>IF(M18=0,0,IF(G18="Annulation","",IF(assurance="ALPTIS",M18*12*T18/100*'1804 Data'!$K$4,IF(assurance="APRIL",M18*12*T18/100*'1804 Data'!$F$4,IF(assurance="ASAF",M18*12*T18/100*'1804 Data'!$I$4,IF(assurance="NEOLIANE",('1804 Data'!$G$5+M18*12*'1804 Data'!$G$4)*T18/100,IF(assurance="NEOLIANE Prev",('1804 Data'!$H$5+M18*12*'1804 Data'!$H$4)*T18/100,IF(assurance="SWISSLIFE",M18*12*T18/100*'1804 Data'!$J$4,IF(assurance="AVIVA",M18*12*T18/100*'1804 Data'!$L$4,IF(assurance="CIPRES",M18*12*T18/100*'1804 Data'!$M$4,IF(assurance="CEGEMA",M18*12*T18/100*'1804 Data'!$N$4,IF(assurance=0,0))))))))))))</f>
        <v>21.517679999999999</v>
      </c>
      <c r="V18" s="298">
        <f t="shared" si="5"/>
        <v>148.07999999999998</v>
      </c>
      <c r="W18" s="298">
        <f t="shared" si="6"/>
        <v>0</v>
      </c>
      <c r="X18" s="299">
        <f t="shared" si="42"/>
        <v>126.56231999999999</v>
      </c>
      <c r="Y18" s="368">
        <f t="shared" si="7"/>
        <v>0</v>
      </c>
      <c r="Z18" s="314">
        <v>43221</v>
      </c>
      <c r="AA18" s="313">
        <f t="shared" si="8"/>
        <v>28</v>
      </c>
      <c r="AB18" s="268" t="s">
        <v>13</v>
      </c>
      <c r="AC18" s="277"/>
      <c r="AD18" s="309" t="str">
        <f>IF(Z18=43466,"Programmée","")</f>
        <v/>
      </c>
      <c r="AE18" s="286" t="str">
        <f t="shared" si="10"/>
        <v/>
      </c>
      <c r="AF18" s="277" t="s">
        <v>1359</v>
      </c>
      <c r="AG18" s="275">
        <f t="shared" si="11"/>
        <v>43586</v>
      </c>
      <c r="AH18" s="287">
        <f t="shared" ca="1" si="12"/>
        <v>0.10410958904109589</v>
      </c>
      <c r="AI18" s="373">
        <f t="shared" ca="1" si="13"/>
        <v>43586</v>
      </c>
      <c r="AJ18" s="275">
        <f t="shared" ca="1" si="14"/>
        <v>43524</v>
      </c>
      <c r="AK18" s="296">
        <f t="shared" ca="1" si="15"/>
        <v>43494</v>
      </c>
      <c r="AL18" s="287">
        <f t="shared" ca="1" si="16"/>
        <v>1</v>
      </c>
      <c r="AM18" s="279">
        <f t="shared" si="17"/>
        <v>0</v>
      </c>
      <c r="AN18" s="279">
        <f t="shared" si="18"/>
        <v>0</v>
      </c>
      <c r="AO18" s="288">
        <f t="shared" si="19"/>
        <v>0</v>
      </c>
      <c r="AP18" s="279">
        <f t="shared" si="20"/>
        <v>30.85</v>
      </c>
      <c r="AQ18" s="288">
        <f t="shared" si="21"/>
        <v>0</v>
      </c>
      <c r="AR18" s="289">
        <f t="shared" si="22"/>
        <v>0</v>
      </c>
      <c r="AS18" s="279">
        <f t="shared" si="23"/>
        <v>0</v>
      </c>
      <c r="AT18" s="288">
        <f t="shared" si="24"/>
        <v>-1</v>
      </c>
      <c r="AU18" s="289">
        <f t="shared" si="25"/>
        <v>0</v>
      </c>
      <c r="AV18" s="279">
        <f t="shared" si="26"/>
        <v>0</v>
      </c>
      <c r="AW18" s="288">
        <f t="shared" si="27"/>
        <v>0</v>
      </c>
      <c r="AX18" s="289">
        <f t="shared" si="28"/>
        <v>-1</v>
      </c>
      <c r="AY18" s="268" t="s">
        <v>278</v>
      </c>
      <c r="AZ18" s="291">
        <v>281619</v>
      </c>
      <c r="BA18" s="292">
        <v>59200</v>
      </c>
      <c r="BB18" s="303" t="s">
        <v>1337</v>
      </c>
      <c r="BC18" s="293">
        <v>677789806</v>
      </c>
      <c r="BD18" s="293"/>
      <c r="BE18" s="304" t="s">
        <v>1338</v>
      </c>
      <c r="BF18" s="274"/>
      <c r="BG18" s="270"/>
      <c r="BH18" s="268">
        <v>1</v>
      </c>
      <c r="BI18" s="273">
        <v>0</v>
      </c>
      <c r="BJ18" s="276">
        <v>23255</v>
      </c>
      <c r="BK18" s="294" t="s">
        <v>202</v>
      </c>
      <c r="BL18" s="269">
        <f t="shared" ca="1" si="29"/>
        <v>54</v>
      </c>
      <c r="BM18" s="270"/>
      <c r="BN18" s="271"/>
      <c r="BO18" s="272" t="str">
        <f t="shared" ca="1" si="30"/>
        <v/>
      </c>
      <c r="BP18" s="270"/>
      <c r="BQ18" s="271"/>
      <c r="BR18" s="272" t="str">
        <f t="shared" ca="1" si="31"/>
        <v/>
      </c>
      <c r="BS18" s="270"/>
      <c r="BT18" s="271"/>
      <c r="BU18" s="272" t="str">
        <f t="shared" ca="1" si="32"/>
        <v/>
      </c>
      <c r="BV18" s="270"/>
      <c r="BW18" s="271"/>
      <c r="BX18" s="272" t="str">
        <f t="shared" ca="1" si="33"/>
        <v/>
      </c>
      <c r="BY18" s="270"/>
      <c r="BZ18" s="271"/>
      <c r="CA18" s="272" t="str">
        <f t="shared" ca="1" si="34"/>
        <v/>
      </c>
      <c r="CB18" s="270"/>
      <c r="CC18" s="271"/>
      <c r="CD18" s="272" t="str">
        <f t="shared" ca="1" si="35"/>
        <v/>
      </c>
      <c r="CE18" s="270"/>
      <c r="CF18" s="271"/>
      <c r="CG18" s="272" t="str">
        <f t="shared" ca="1" si="36"/>
        <v/>
      </c>
      <c r="CH18" s="270"/>
      <c r="CI18" s="271"/>
      <c r="CJ18" s="272" t="str">
        <f t="shared" ca="1" si="37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8"/>
        <v/>
      </c>
      <c r="CU18" s="264"/>
      <c r="CV18" s="265"/>
      <c r="CW18" s="264"/>
      <c r="CX18" s="264"/>
      <c r="CY18" s="264" t="s">
        <v>351</v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39"/>
        <v>0</v>
      </c>
      <c r="DN18" s="295" t="str">
        <f t="shared" si="40"/>
        <v>OK</v>
      </c>
    </row>
  </sheetData>
  <sortState ref="C2:DO18">
    <sortCondition ref="E1"/>
  </sortState>
  <mergeCells count="1">
    <mergeCell ref="A1:B1"/>
  </mergeCells>
  <conditionalFormatting sqref="BG2:BG18 CH2:CH18 CE2:CE18 CB2:CB18 BY2:BY18 BV2:BV18 BP2:BP18 BM2:BM18 BS1:BS18">
    <cfRule type="expression" dxfId="1616" priority="882">
      <formula>$J1="Santé Individuelle"</formula>
    </cfRule>
  </conditionalFormatting>
  <conditionalFormatting sqref="BO2:BO18 BR2:BR18 BX2:BX18 CA2:CA18 CD2:CD18 CG2:CG18 CJ2:CJ18 BU1:BU18">
    <cfRule type="expression" dxfId="1615" priority="883">
      <formula>$J1="Santé Individuelle"</formula>
    </cfRule>
  </conditionalFormatting>
  <conditionalFormatting sqref="BV1">
    <cfRule type="expression" dxfId="1614" priority="878">
      <formula>$J1="Santé Individuelle"</formula>
    </cfRule>
  </conditionalFormatting>
  <conditionalFormatting sqref="BX1">
    <cfRule type="expression" dxfId="1613" priority="879">
      <formula>$J1="Santé Individuelle"</formula>
    </cfRule>
  </conditionalFormatting>
  <conditionalFormatting sqref="BY1">
    <cfRule type="expression" dxfId="1612" priority="874">
      <formula>$J1="Santé Individuelle"</formula>
    </cfRule>
  </conditionalFormatting>
  <conditionalFormatting sqref="CA1">
    <cfRule type="expression" dxfId="1611" priority="875">
      <formula>$J1="Santé Individuelle"</formula>
    </cfRule>
  </conditionalFormatting>
  <conditionalFormatting sqref="CB1">
    <cfRule type="expression" dxfId="1610" priority="870">
      <formula>$J1="Santé Individuelle"</formula>
    </cfRule>
  </conditionalFormatting>
  <conditionalFormatting sqref="CD1">
    <cfRule type="expression" dxfId="1609" priority="871">
      <formula>$J1="Santé Individuelle"</formula>
    </cfRule>
  </conditionalFormatting>
  <conditionalFormatting sqref="CE1">
    <cfRule type="expression" dxfId="1608" priority="866">
      <formula>$J1="Santé Individuelle"</formula>
    </cfRule>
  </conditionalFormatting>
  <conditionalFormatting sqref="CG1">
    <cfRule type="expression" dxfId="1607" priority="867">
      <formula>$J1="Santé Individuelle"</formula>
    </cfRule>
  </conditionalFormatting>
  <conditionalFormatting sqref="CH1">
    <cfRule type="expression" dxfId="1606" priority="862">
      <formula>$J1="Santé Individuelle"</formula>
    </cfRule>
  </conditionalFormatting>
  <conditionalFormatting sqref="CJ1">
    <cfRule type="expression" dxfId="1605" priority="863">
      <formula>$J1="Santé Individuelle"</formula>
    </cfRule>
  </conditionalFormatting>
  <conditionalFormatting sqref="BM1">
    <cfRule type="expression" dxfId="1604" priority="888">
      <formula>$BH1=1</formula>
    </cfRule>
  </conditionalFormatting>
  <conditionalFormatting sqref="BO1">
    <cfRule type="expression" dxfId="1603" priority="889">
      <formula>$BH1=1</formula>
    </cfRule>
  </conditionalFormatting>
  <conditionalFormatting sqref="BP1">
    <cfRule type="expression" dxfId="1602" priority="886">
      <formula>$J1="Santé Individuelle"</formula>
    </cfRule>
  </conditionalFormatting>
  <conditionalFormatting sqref="BR1">
    <cfRule type="expression" dxfId="1601" priority="887">
      <formula>$J1="Santé Individuelle"</formula>
    </cfRule>
  </conditionalFormatting>
  <conditionalFormatting sqref="BP1">
    <cfRule type="expression" dxfId="1600" priority="885">
      <formula>$BI1=0</formula>
    </cfRule>
  </conditionalFormatting>
  <conditionalFormatting sqref="BR1">
    <cfRule type="expression" dxfId="1599" priority="884">
      <formula>$BI1=0</formula>
    </cfRule>
  </conditionalFormatting>
  <conditionalFormatting sqref="BS1">
    <cfRule type="expression" dxfId="1598" priority="881">
      <formula>$BI1&lt;2</formula>
    </cfRule>
  </conditionalFormatting>
  <conditionalFormatting sqref="BU1">
    <cfRule type="expression" dxfId="1597" priority="880">
      <formula>$BI1&lt;2</formula>
    </cfRule>
  </conditionalFormatting>
  <conditionalFormatting sqref="BV1">
    <cfRule type="expression" dxfId="1596" priority="877">
      <formula>$BI1&lt;3</formula>
    </cfRule>
  </conditionalFormatting>
  <conditionalFormatting sqref="BX1">
    <cfRule type="expression" dxfId="1595" priority="876">
      <formula>$BI1&lt;3</formula>
    </cfRule>
  </conditionalFormatting>
  <conditionalFormatting sqref="BY1">
    <cfRule type="expression" dxfId="1594" priority="873">
      <formula>$BI1&lt;4</formula>
    </cfRule>
  </conditionalFormatting>
  <conditionalFormatting sqref="CA1">
    <cfRule type="expression" dxfId="1593" priority="872">
      <formula>$BI1&lt;4</formula>
    </cfRule>
  </conditionalFormatting>
  <conditionalFormatting sqref="CB1">
    <cfRule type="expression" dxfId="1592" priority="869">
      <formula>$BI1&lt;5</formula>
    </cfRule>
  </conditionalFormatting>
  <conditionalFormatting sqref="CD1">
    <cfRule type="expression" dxfId="1591" priority="868">
      <formula>$BI1&lt;5</formula>
    </cfRule>
  </conditionalFormatting>
  <conditionalFormatting sqref="CE1">
    <cfRule type="expression" dxfId="1590" priority="865">
      <formula>$BI1&lt;6</formula>
    </cfRule>
  </conditionalFormatting>
  <conditionalFormatting sqref="CG1">
    <cfRule type="expression" dxfId="1589" priority="864">
      <formula>$BI1&lt;6</formula>
    </cfRule>
  </conditionalFormatting>
  <conditionalFormatting sqref="CH1">
    <cfRule type="expression" dxfId="1588" priority="861">
      <formula>$BI1&lt;7</formula>
    </cfRule>
  </conditionalFormatting>
  <conditionalFormatting sqref="CJ1">
    <cfRule type="expression" dxfId="1587" priority="860">
      <formula>$BI1&lt;7</formula>
    </cfRule>
  </conditionalFormatting>
  <conditionalFormatting sqref="C1:H1 AY1:DL1 J1:X1">
    <cfRule type="notContainsBlanks" dxfId="1586" priority="859">
      <formula>LEN(TRIM(C1))&gt;0</formula>
    </cfRule>
  </conditionalFormatting>
  <conditionalFormatting sqref="A1">
    <cfRule type="containsText" dxfId="1585" priority="855" operator="containsText" text="Trans.">
      <formula>NOT(ISERROR(SEARCH("Trans.",A1)))</formula>
    </cfRule>
    <cfRule type="containsText" dxfId="1584" priority="856" operator="containsText" text="Inter.">
      <formula>NOT(ISERROR(SEARCH("Inter.",A1)))</formula>
    </cfRule>
    <cfRule type="containsText" dxfId="1583" priority="857" operator="containsText" text="Tout">
      <formula>NOT(ISERROR(SEARCH("Tout",A1)))</formula>
    </cfRule>
    <cfRule type="containsText" dxfId="1582" priority="858" operator="containsText" text="Mini">
      <formula>NOT(ISERROR(SEARCH("Mini",A1)))</formula>
    </cfRule>
  </conditionalFormatting>
  <conditionalFormatting sqref="A1">
    <cfRule type="notContainsBlanks" dxfId="1581" priority="854">
      <formula>LEN(TRIM(A1))&gt;0</formula>
    </cfRule>
  </conditionalFormatting>
  <conditionalFormatting sqref="AB1:AC1">
    <cfRule type="notContainsBlanks" dxfId="1580" priority="853">
      <formula>LEN(TRIM(AB1))&gt;0</formula>
    </cfRule>
  </conditionalFormatting>
  <conditionalFormatting sqref="AD1">
    <cfRule type="notContainsBlanks" dxfId="1579" priority="852">
      <formula>LEN(TRIM(AD1))&gt;0</formula>
    </cfRule>
  </conditionalFormatting>
  <conditionalFormatting sqref="BH2:BH18 BJ2:BL18 AB2:AJ18 AL2:AX18 G2:H18 T2:Y18">
    <cfRule type="containsBlanks" dxfId="1578" priority="753">
      <formula>LEN(TRIM(G2))=0</formula>
    </cfRule>
    <cfRule type="cellIs" dxfId="1577" priority="849" operator="equal">
      <formula>0</formula>
    </cfRule>
  </conditionalFormatting>
  <conditionalFormatting sqref="H2:I18 M2:M18 O2:W18 AA2:AE18 AG2:DL18">
    <cfRule type="expression" dxfId="1576" priority="684">
      <formula>$G2="Annulation"</formula>
    </cfRule>
  </conditionalFormatting>
  <conditionalFormatting sqref="BJ2:BL18 AZ2:BE18 DM2:DM18 BH2:BH18 C2:H18 J2:L18 N2:N18 AG2:AX18 U2:Z18 AB2:AE18">
    <cfRule type="expression" dxfId="1575" priority="677">
      <formula>$G2&lt;&gt;"Annulation"</formula>
    </cfRule>
  </conditionalFormatting>
  <conditionalFormatting sqref="P2:P18">
    <cfRule type="cellIs" dxfId="1574" priority="822" operator="equal">
      <formula>"Refus Médical"</formula>
    </cfRule>
    <cfRule type="cellIs" dxfId="1573" priority="823" operator="equal">
      <formula>"Annulé"</formula>
    </cfRule>
    <cfRule type="cellIs" dxfId="1572" priority="824" operator="equal">
      <formula>"Déjà Signé"</formula>
    </cfRule>
    <cfRule type="cellIs" dxfId="1571" priority="825" operator="equal">
      <formula>"Sans Suite"</formula>
    </cfRule>
    <cfRule type="cellIs" dxfId="1570" priority="826" operator="equal">
      <formula>"Refus"</formula>
    </cfRule>
    <cfRule type="cellIs" dxfId="1569" priority="827" operator="equal">
      <formula>"Report + Médical"</formula>
    </cfRule>
    <cfRule type="cellIs" dxfId="1568" priority="828" operator="equal">
      <formula>"Report"</formula>
    </cfRule>
    <cfRule type="cellIs" dxfId="1567" priority="829" operator="equal">
      <formula>"Signature"</formula>
    </cfRule>
    <cfRule type="cellIs" dxfId="1566" priority="830" operator="equal">
      <formula>"Contrat Papier + Mécical"</formula>
    </cfRule>
    <cfRule type="cellIs" dxfId="1565" priority="831" operator="equal">
      <formula>"Validation Médicale"</formula>
    </cfRule>
    <cfRule type="cellIs" dxfId="1564" priority="832" operator="equal">
      <formula>"Contrat Papier"</formula>
    </cfRule>
    <cfRule type="cellIs" dxfId="1563" priority="833" operator="equal">
      <formula>"Validation Compagnie"</formula>
    </cfRule>
    <cfRule type="cellIs" dxfId="1562" priority="834" operator="equal">
      <formula>"V"</formula>
    </cfRule>
  </conditionalFormatting>
  <conditionalFormatting sqref="M2:M18">
    <cfRule type="cellIs" dxfId="1561" priority="805" operator="greaterThan">
      <formula>0</formula>
    </cfRule>
  </conditionalFormatting>
  <conditionalFormatting sqref="J2:J18">
    <cfRule type="containsText" dxfId="1560" priority="835" operator="containsText" text="Autre">
      <formula>NOT(ISERROR(SEARCH("Autre",J2)))</formula>
    </cfRule>
    <cfRule type="containsText" dxfId="1559" priority="844" operator="containsText" text="Prev. Part">
      <formula>NOT(ISERROR(SEARCH("Prev. Part",J2)))</formula>
    </cfRule>
    <cfRule type="containsText" dxfId="1558" priority="845" operator="containsText" text="Santé Collective">
      <formula>NOT(ISERROR(SEARCH("Santé Collective",J2)))</formula>
    </cfRule>
    <cfRule type="containsText" dxfId="1557" priority="846" operator="containsText" text="Santé Individuelle">
      <formula>NOT(ISERROR(SEARCH("Santé Individuelle",J2)))</formula>
    </cfRule>
    <cfRule type="containsText" dxfId="1556" priority="847" operator="containsText" text="Prev. Pro">
      <formula>NOT(ISERROR(SEARCH("Prev. Pro",J2)))</formula>
    </cfRule>
  </conditionalFormatting>
  <conditionalFormatting sqref="K2:K18">
    <cfRule type="containsText" dxfId="1555" priority="836" operator="containsText" text="CEGEMA">
      <formula>NOT(ISERROR(SEARCH("CEGEMA",K2)))</formula>
    </cfRule>
    <cfRule type="containsText" dxfId="1554" priority="837" operator="containsText" text="ASAF">
      <formula>NOT(ISERROR(SEARCH("ASAF",K2)))</formula>
    </cfRule>
    <cfRule type="containsText" dxfId="1553" priority="838" operator="containsText" text="AVIVA">
      <formula>NOT(ISERROR(SEARCH("AVIVA",K2)))</formula>
    </cfRule>
    <cfRule type="containsText" dxfId="1552" priority="839" operator="containsText" text="CIPRES">
      <formula>NOT(ISERROR(SEARCH("CIPRES",K2)))</formula>
    </cfRule>
    <cfRule type="containsText" dxfId="1551" priority="840" operator="containsText" text="ALPTIS">
      <formula>NOT(ISERROR(SEARCH("ALPTIS",K2)))</formula>
    </cfRule>
    <cfRule type="containsText" dxfId="1550" priority="841" operator="containsText" text="NEOLIANE">
      <formula>NOT(ISERROR(SEARCH("NEOLIANE",K2)))</formula>
    </cfRule>
    <cfRule type="containsText" dxfId="1549" priority="842" operator="containsText" text="SWISSLIFE">
      <formula>NOT(ISERROR(SEARCH("SWISSLIFE",K2)))</formula>
    </cfRule>
    <cfRule type="containsText" dxfId="1548" priority="843" operator="containsText" text="APRIL">
      <formula>NOT(ISERROR(SEARCH("APRIL",K2)))</formula>
    </cfRule>
  </conditionalFormatting>
  <conditionalFormatting sqref="P2:P18">
    <cfRule type="containsText" dxfId="1547" priority="816" operator="containsText" text="Impayé">
      <formula>NOT(ISERROR(SEARCH("Impayé",P2)))</formula>
    </cfRule>
    <cfRule type="containsText" dxfId="1546" priority="817" operator="containsText" text="Résilié">
      <formula>NOT(ISERROR(SEARCH("Résilié",P2)))</formula>
    </cfRule>
    <cfRule type="containsText" dxfId="1545" priority="818" operator="containsText" text="Radié">
      <formula>NOT(ISERROR(SEARCH("Radié",P2)))</formula>
    </cfRule>
    <cfRule type="containsText" dxfId="1544" priority="819" operator="containsText" text="Pas Trouvé">
      <formula>NOT(ISERROR(SEARCH("Pas Trouvé",P2)))</formula>
    </cfRule>
    <cfRule type="containsText" dxfId="1543" priority="820" operator="containsText" text="A Jour">
      <formula>NOT(ISERROR(SEARCH("A Jour",P2)))</formula>
    </cfRule>
    <cfRule type="containsText" dxfId="1542" priority="821" operator="containsText" text="A Trouver">
      <formula>NOT(ISERROR(SEARCH("A Trouver",P2)))</formula>
    </cfRule>
  </conditionalFormatting>
  <conditionalFormatting sqref="AY2:AY18">
    <cfRule type="containsText" dxfId="1541" priority="810" operator="containsText" text="Sympathie">
      <formula>NOT(ISERROR(SEARCH("Sympathie",AY2)))</formula>
    </cfRule>
  </conditionalFormatting>
  <conditionalFormatting sqref="AY2:AY18">
    <cfRule type="containsText" dxfId="1540" priority="811" operator="containsText" text="Argent">
      <formula>NOT(ISERROR(SEARCH("Argent",AY2)))</formula>
    </cfRule>
    <cfRule type="containsText" dxfId="1539" priority="812" operator="containsText" text="Confort">
      <formula>NOT(ISERROR(SEARCH("Confort",AY2)))</formula>
    </cfRule>
    <cfRule type="containsText" dxfId="1538" priority="813" operator="containsText" text="Nouveauté">
      <formula>NOT(ISERROR(SEARCH("Nouveauté",AY2)))</formula>
    </cfRule>
    <cfRule type="containsText" dxfId="1537" priority="814" operator="containsText" text="Orgueil">
      <formula>NOT(ISERROR(SEARCH("Orgueil",AY2)))</formula>
    </cfRule>
    <cfRule type="containsText" dxfId="1536" priority="815" operator="containsText" text="Sécurité">
      <formula>NOT(ISERROR(SEARCH("Sécurité",AY2)))</formula>
    </cfRule>
  </conditionalFormatting>
  <conditionalFormatting sqref="DM2:DM18">
    <cfRule type="containsText" dxfId="1535" priority="808" operator="containsText" text="Tout">
      <formula>NOT(ISERROR(SEARCH("Tout",DM2)))</formula>
    </cfRule>
    <cfRule type="containsText" dxfId="1534" priority="809" operator="containsText" text="Mini">
      <formula>NOT(ISERROR(SEARCH("Mini",DM2)))</formula>
    </cfRule>
  </conditionalFormatting>
  <conditionalFormatting sqref="DM2:DM18">
    <cfRule type="containsText" dxfId="1533" priority="807" operator="containsText" text="Inter.">
      <formula>NOT(ISERROR(SEARCH("Inter.",DM2)))</formula>
    </cfRule>
  </conditionalFormatting>
  <conditionalFormatting sqref="DM2:DM18">
    <cfRule type="containsText" dxfId="1532" priority="750" operator="containsText" text="Trans.">
      <formula>NOT(ISERROR(SEARCH("Trans.",DM2)))</formula>
    </cfRule>
  </conditionalFormatting>
  <conditionalFormatting sqref="F2:F18 N2:O18 AY2:BE18 Q2:S18">
    <cfRule type="cellIs" dxfId="1531" priority="806" operator="equal">
      <formula>0</formula>
    </cfRule>
    <cfRule type="containsBlanks" dxfId="1530" priority="848">
      <formula>LEN(TRIM(F2))=0</formula>
    </cfRule>
  </conditionalFormatting>
  <conditionalFormatting sqref="BL2:BL18 Q2:R18 BO2:BO18 BR2:BR18 BU2:BU18 BX2:BX18 CA2:CA18 CD2:CD18 CG2:CG18 CJ2:CJ18 V2:W18 AA2:AA18 I2:I18 AQ2:AR18 AO2:AO18 AT2:AU18 AW2:AX18 AL2:AL18 AG2:AJ18">
    <cfRule type="expression" dxfId="1529" priority="651">
      <formula>$DM2="Trans."</formula>
    </cfRule>
  </conditionalFormatting>
  <conditionalFormatting sqref="CR2:CS18 CV2:CV18 DB2:DB18 DE2:DF18 DH2:DI18 DL2:DL18">
    <cfRule type="expression" dxfId="1528" priority="804">
      <formula>$J2="Prev. Pro"</formula>
    </cfRule>
  </conditionalFormatting>
  <conditionalFormatting sqref="CY2:CY18">
    <cfRule type="expression" dxfId="1527" priority="803">
      <formula>$J2="Prev. Pro"</formula>
    </cfRule>
  </conditionalFormatting>
  <conditionalFormatting sqref="DJ2:DK18 DG2:DG18 DC2:DD18 CZ2:DA18 CW2:CX18 CU2:CU18">
    <cfRule type="expression" dxfId="1526" priority="802">
      <formula>$J2="Prev. Pro"</formula>
    </cfRule>
  </conditionalFormatting>
  <conditionalFormatting sqref="CK2:CQ18">
    <cfRule type="expression" dxfId="1525" priority="801" stopIfTrue="1">
      <formula>$J2="Santé Individuelle"</formula>
    </cfRule>
  </conditionalFormatting>
  <conditionalFormatting sqref="CT2:CT18">
    <cfRule type="expression" dxfId="1524" priority="800">
      <formula>$J2="Prev. Pro"</formula>
    </cfRule>
  </conditionalFormatting>
  <conditionalFormatting sqref="CT2:CT18">
    <cfRule type="expression" dxfId="1523" priority="678">
      <formula>$DM2="Trans."</formula>
    </cfRule>
  </conditionalFormatting>
  <conditionalFormatting sqref="C2:E18">
    <cfRule type="expression" dxfId="1522" priority="791">
      <formula>$G2="Annulation"</formula>
    </cfRule>
  </conditionalFormatting>
  <conditionalFormatting sqref="C2:E18">
    <cfRule type="expression" dxfId="1521" priority="792">
      <formula>$J2="Prev. Pro"</formula>
    </cfRule>
    <cfRule type="expression" dxfId="1520" priority="793">
      <formula>$J2&lt;&gt;"Santé Individuelle"</formula>
    </cfRule>
  </conditionalFormatting>
  <conditionalFormatting sqref="X2:Y18">
    <cfRule type="expression" dxfId="1519" priority="790">
      <formula>$P2="Annulé"</formula>
    </cfRule>
  </conditionalFormatting>
  <conditionalFormatting sqref="CI2:CI18 CF2:CF18 CC2:CC18 BZ2:BZ18 BW2:BW18 BT2:BT18 BQ2:BQ18 BI2:BI18 BN2:BN18">
    <cfRule type="expression" dxfId="1518" priority="798">
      <formula>$J2="Santé Individuelle"</formula>
    </cfRule>
  </conditionalFormatting>
  <conditionalFormatting sqref="BQ2:BQ18">
    <cfRule type="expression" dxfId="1517" priority="789">
      <formula>$BI2=0</formula>
    </cfRule>
  </conditionalFormatting>
  <conditionalFormatting sqref="BP2:BP18 BR2:BR18">
    <cfRule type="expression" dxfId="1516" priority="788">
      <formula>$BI2=0</formula>
    </cfRule>
  </conditionalFormatting>
  <conditionalFormatting sqref="BT2:BT18">
    <cfRule type="expression" dxfId="1515" priority="786">
      <formula>$BI2&lt;2</formula>
    </cfRule>
  </conditionalFormatting>
  <conditionalFormatting sqref="BS2:BS18 BU2:BU18">
    <cfRule type="expression" dxfId="1514" priority="787">
      <formula>$BI2&lt;2</formula>
    </cfRule>
  </conditionalFormatting>
  <conditionalFormatting sqref="BW2:BW18">
    <cfRule type="expression" dxfId="1513" priority="784">
      <formula>$BI2&lt;3</formula>
    </cfRule>
  </conditionalFormatting>
  <conditionalFormatting sqref="BV2:BV18 BX2:BX18">
    <cfRule type="expression" dxfId="1512" priority="785">
      <formula>$BI2&lt;3</formula>
    </cfRule>
  </conditionalFormatting>
  <conditionalFormatting sqref="BZ2:BZ18">
    <cfRule type="expression" dxfId="1511" priority="782">
      <formula>$BI2&lt;4</formula>
    </cfRule>
  </conditionalFormatting>
  <conditionalFormatting sqref="BY2:BY18 CA2:CA18">
    <cfRule type="expression" dxfId="1510" priority="783">
      <formula>$BI2&lt;4</formula>
    </cfRule>
  </conditionalFormatting>
  <conditionalFormatting sqref="CC2:CC18">
    <cfRule type="expression" dxfId="1509" priority="780">
      <formula>$BI2&lt;5</formula>
    </cfRule>
  </conditionalFormatting>
  <conditionalFormatting sqref="CB2:CB18 CD2:CD18">
    <cfRule type="expression" dxfId="1508" priority="781">
      <formula>$BI2&lt;5</formula>
    </cfRule>
  </conditionalFormatting>
  <conditionalFormatting sqref="CF2:CF18">
    <cfRule type="expression" dxfId="1507" priority="778">
      <formula>$BI2&lt;6</formula>
    </cfRule>
  </conditionalFormatting>
  <conditionalFormatting sqref="CE2:CE18 CG2:CG18">
    <cfRule type="expression" dxfId="1506" priority="779">
      <formula>$BI2&lt;6</formula>
    </cfRule>
  </conditionalFormatting>
  <conditionalFormatting sqref="CI2:CI18">
    <cfRule type="expression" dxfId="1505" priority="776">
      <formula>$BI2&lt;7</formula>
    </cfRule>
  </conditionalFormatting>
  <conditionalFormatting sqref="CH2:CH18 CJ2:CJ18">
    <cfRule type="expression" dxfId="1504" priority="777">
      <formula>$BI2&lt;7</formula>
    </cfRule>
  </conditionalFormatting>
  <conditionalFormatting sqref="BJ2:BK18">
    <cfRule type="containsBlanks" dxfId="1503" priority="775">
      <formula>LEN(TRIM(BJ2))=0</formula>
    </cfRule>
  </conditionalFormatting>
  <conditionalFormatting sqref="BF2:BF18">
    <cfRule type="expression" dxfId="1502" priority="774">
      <formula>$J2="Santé Individuelle"</formula>
    </cfRule>
  </conditionalFormatting>
  <conditionalFormatting sqref="BG2:BG18">
    <cfRule type="expression" dxfId="1501" priority="773">
      <formula>$BH2=1</formula>
    </cfRule>
  </conditionalFormatting>
  <conditionalFormatting sqref="CQ2:CQ18">
    <cfRule type="expression" dxfId="1500" priority="772">
      <formula>$J2="Santé Individuelle"</formula>
    </cfRule>
  </conditionalFormatting>
  <conditionalFormatting sqref="J2:J18 DM2:DM18 X2:X18 G2:G18 AF2:AF18 L2:N18">
    <cfRule type="expression" dxfId="1499" priority="771">
      <formula>$G2="Annulation"</formula>
    </cfRule>
  </conditionalFormatting>
  <conditionalFormatting sqref="BM2:BM18">
    <cfRule type="expression" dxfId="1498" priority="769">
      <formula>$BH2&lt;=1</formula>
    </cfRule>
  </conditionalFormatting>
  <conditionalFormatting sqref="BN2:BN18">
    <cfRule type="expression" dxfId="1497" priority="768">
      <formula>$BH2&lt;=1</formula>
    </cfRule>
  </conditionalFormatting>
  <conditionalFormatting sqref="BO2:BO18">
    <cfRule type="expression" dxfId="1496" priority="767">
      <formula>$BH2&lt;=1</formula>
    </cfRule>
  </conditionalFormatting>
  <conditionalFormatting sqref="DN2:DN18">
    <cfRule type="containsText" dxfId="1495" priority="766" operator="containsText" text="OK">
      <formula>NOT(ISERROR(SEARCH("OK",DN2)))</formula>
    </cfRule>
  </conditionalFormatting>
  <conditionalFormatting sqref="DN2:DN18">
    <cfRule type="containsText" dxfId="1494" priority="765" operator="containsText" text="Mini">
      <formula>NOT(ISERROR(SEARCH("Mini",DN2)))</formula>
    </cfRule>
  </conditionalFormatting>
  <conditionalFormatting sqref="DN2:DN18">
    <cfRule type="containsText" dxfId="1493" priority="764" operator="containsText" text="KO">
      <formula>NOT(ISERROR(SEARCH("KO",DN2)))</formula>
    </cfRule>
  </conditionalFormatting>
  <conditionalFormatting sqref="AY2:AY18 R2:S18 AA2:AA18 I2:I18 M2:M18">
    <cfRule type="expression" dxfId="1492" priority="732">
      <formula>$G2&lt;&gt;"Annulation"</formula>
    </cfRule>
  </conditionalFormatting>
  <conditionalFormatting sqref="O2:T18">
    <cfRule type="expression" dxfId="1491" priority="799">
      <formula>$G2&lt;&gt;"Annulation"</formula>
    </cfRule>
  </conditionalFormatting>
  <conditionalFormatting sqref="AM2:AM18 AO2:AO18">
    <cfRule type="expression" dxfId="1490" priority="669">
      <formula>$Z2&gt;=42736</formula>
    </cfRule>
  </conditionalFormatting>
  <conditionalFormatting sqref="AQ2:AR18 AN2:AO18">
    <cfRule type="expression" dxfId="1489" priority="652">
      <formula>$Z2&gt;=(42736+365)</formula>
    </cfRule>
  </conditionalFormatting>
  <conditionalFormatting sqref="AT2:AU18 AP2:AP18">
    <cfRule type="expression" dxfId="1488" priority="653">
      <formula>$Z2&gt;=(42736+365+365)</formula>
    </cfRule>
  </conditionalFormatting>
  <conditionalFormatting sqref="AW2:AX18 AS2:AS18">
    <cfRule type="expression" dxfId="1487" priority="648">
      <formula>$Z2&gt;=(42736+365+365+365)</formula>
    </cfRule>
  </conditionalFormatting>
  <conditionalFormatting sqref="DM1:DN1">
    <cfRule type="notContainsBlanks" dxfId="1486" priority="738">
      <formula>LEN(TRIM(DM1))&gt;0</formula>
    </cfRule>
  </conditionalFormatting>
  <conditionalFormatting sqref="Z2:Z18">
    <cfRule type="expression" dxfId="1485" priority="735">
      <formula>$AA2&lt;31</formula>
    </cfRule>
  </conditionalFormatting>
  <conditionalFormatting sqref="Z2:Z18">
    <cfRule type="expression" dxfId="1484" priority="734">
      <formula>$AA2&gt;122</formula>
    </cfRule>
  </conditionalFormatting>
  <conditionalFormatting sqref="AA2:AA18 I2:I18">
    <cfRule type="containsBlanks" dxfId="1483" priority="733">
      <formula>LEN(TRIM(I2))=0</formula>
    </cfRule>
    <cfRule type="cellIs" dxfId="1482" priority="748" operator="lessThan">
      <formula>31</formula>
    </cfRule>
  </conditionalFormatting>
  <conditionalFormatting sqref="AA2:AA18 I2:I18">
    <cfRule type="expression" dxfId="1481" priority="749">
      <formula>$AA2&gt;122</formula>
    </cfRule>
  </conditionalFormatting>
  <conditionalFormatting sqref="Y1:Z1">
    <cfRule type="notContainsBlanks" dxfId="1480" priority="730">
      <formula>LEN(TRIM(Y1))&gt;0</formula>
    </cfRule>
  </conditionalFormatting>
  <conditionalFormatting sqref="I1">
    <cfRule type="expression" dxfId="1479" priority="723">
      <formula>$G1&lt;&gt;"Annulation"</formula>
    </cfRule>
  </conditionalFormatting>
  <conditionalFormatting sqref="I1">
    <cfRule type="expression" dxfId="1478" priority="724">
      <formula>$G1="Annulation"</formula>
    </cfRule>
  </conditionalFormatting>
  <conditionalFormatting sqref="I1">
    <cfRule type="containsBlanks" dxfId="1477" priority="725">
      <formula>LEN(TRIM(I1))=0</formula>
    </cfRule>
    <cfRule type="cellIs" dxfId="1476" priority="726" operator="lessThan">
      <formula>31</formula>
    </cfRule>
  </conditionalFormatting>
  <conditionalFormatting sqref="I1">
    <cfRule type="expression" dxfId="1475" priority="727">
      <formula>$AA1&gt;122</formula>
    </cfRule>
  </conditionalFormatting>
  <conditionalFormatting sqref="AN1:AX1">
    <cfRule type="notContainsBlanks" dxfId="1474" priority="746">
      <formula>LEN(TRIM(AN1))&gt;0</formula>
    </cfRule>
  </conditionalFormatting>
  <conditionalFormatting sqref="AO2:AO18 AQ2:AQ18 AT2:AT18 AW2:AW18">
    <cfRule type="cellIs" dxfId="1473" priority="718" operator="greaterThan">
      <formula>0</formula>
    </cfRule>
    <cfRule type="cellIs" dxfId="1472" priority="719" operator="lessThan">
      <formula>0</formula>
    </cfRule>
  </conditionalFormatting>
  <conditionalFormatting sqref="AO2:AO18 AQ2:AQ18 AT2:AT18 AW2:AW18">
    <cfRule type="cellIs" dxfId="1471" priority="717" operator="equal">
      <formula>-1</formula>
    </cfRule>
  </conditionalFormatting>
  <conditionalFormatting sqref="AR2:AR18 AU2:AU18 AX2:AX18">
    <cfRule type="cellIs" dxfId="1470" priority="708" operator="equal">
      <formula>-1</formula>
    </cfRule>
    <cfRule type="cellIs" dxfId="1469" priority="709" operator="greaterThan">
      <formula>0.5</formula>
    </cfRule>
    <cfRule type="cellIs" dxfId="1468" priority="710" operator="between">
      <formula>0.25</formula>
      <formula>0.5</formula>
    </cfRule>
    <cfRule type="cellIs" dxfId="1467" priority="711" operator="between">
      <formula>0.1</formula>
      <formula>0.25</formula>
    </cfRule>
    <cfRule type="cellIs" dxfId="1466" priority="712" operator="lessThanOrEqual">
      <formula>0</formula>
    </cfRule>
    <cfRule type="cellIs" dxfId="1465" priority="713" operator="between">
      <formula>0</formula>
      <formula>0.1</formula>
    </cfRule>
  </conditionalFormatting>
  <conditionalFormatting sqref="AM2:AX18">
    <cfRule type="cellIs" dxfId="1464" priority="720" operator="equal">
      <formula>0</formula>
    </cfRule>
    <cfRule type="containsBlanks" dxfId="1463" priority="744">
      <formula>LEN(TRIM(AM2))=0</formula>
    </cfRule>
  </conditionalFormatting>
  <conditionalFormatting sqref="AT2:AU18 AQ2:AR18 AO2:AO18 AW2:AX18">
    <cfRule type="cellIs" dxfId="1462" priority="686" operator="equal">
      <formula>0</formula>
    </cfRule>
    <cfRule type="containsBlanks" dxfId="1461" priority="688">
      <formula>LEN(TRIM(AO2))=0</formula>
    </cfRule>
    <cfRule type="cellIs" dxfId="1460" priority="689" operator="equal">
      <formula>-1</formula>
    </cfRule>
  </conditionalFormatting>
  <conditionalFormatting sqref="AM1">
    <cfRule type="notContainsBlanks" dxfId="1459" priority="676">
      <formula>LEN(TRIM(AM1))&gt;0</formula>
    </cfRule>
  </conditionalFormatting>
  <conditionalFormatting sqref="AE1">
    <cfRule type="notContainsBlanks" dxfId="1458" priority="674">
      <formula>LEN(TRIM(AE1))&gt;0</formula>
    </cfRule>
  </conditionalFormatting>
  <conditionalFormatting sqref="AG1">
    <cfRule type="notContainsBlanks" dxfId="1457" priority="672">
      <formula>LEN(TRIM(AG1))&gt;0</formula>
    </cfRule>
  </conditionalFormatting>
  <conditionalFormatting sqref="AK1">
    <cfRule type="notContainsBlanks" dxfId="1456" priority="671">
      <formula>LEN(TRIM(AK1))&gt;0</formula>
    </cfRule>
  </conditionalFormatting>
  <conditionalFormatting sqref="AF1">
    <cfRule type="notContainsBlanks" dxfId="1455" priority="670">
      <formula>LEN(TRIM(AF1))&gt;0</formula>
    </cfRule>
  </conditionalFormatting>
  <conditionalFormatting sqref="AF2:AF18">
    <cfRule type="expression" dxfId="1454" priority="667">
      <formula>$AB2="X"</formula>
    </cfRule>
  </conditionalFormatting>
  <conditionalFormatting sqref="AF2:AF18">
    <cfRule type="expression" dxfId="1453" priority="664">
      <formula>$AE2&lt;&gt;"Programmée"</formula>
    </cfRule>
  </conditionalFormatting>
  <conditionalFormatting sqref="AI1">
    <cfRule type="notContainsBlanks" dxfId="1452" priority="661">
      <formula>LEN(TRIM(AI1))&gt;0</formula>
    </cfRule>
  </conditionalFormatting>
  <conditionalFormatting sqref="AJ1">
    <cfRule type="notContainsBlanks" dxfId="1451" priority="659">
      <formula>LEN(TRIM(AJ1))&gt;0</formula>
    </cfRule>
  </conditionalFormatting>
  <conditionalFormatting sqref="AK2:AK18">
    <cfRule type="expression" dxfId="1450" priority="890">
      <formula>$AK2-TODAY()&lt;30</formula>
    </cfRule>
  </conditionalFormatting>
  <conditionalFormatting sqref="AK2:AK18">
    <cfRule type="containsBlanks" dxfId="1449" priority="657">
      <formula>LEN(TRIM(AK2))=0</formula>
    </cfRule>
  </conditionalFormatting>
  <conditionalFormatting sqref="AH2:AH18 AL2:AL18">
    <cfRule type="cellIs" dxfId="1448" priority="685" operator="greaterThanOrEqual">
      <formula>2</formula>
    </cfRule>
    <cfRule type="cellIs" dxfId="1447" priority="850" operator="between">
      <formula>1</formula>
      <formula>1.99999999999999</formula>
    </cfRule>
    <cfRule type="cellIs" dxfId="1446" priority="851" operator="lessThan">
      <formula>1</formula>
    </cfRule>
  </conditionalFormatting>
  <conditionalFormatting sqref="AH1">
    <cfRule type="notContainsBlanks" dxfId="1445" priority="647">
      <formula>LEN(TRIM(AH1))&gt;0</formula>
    </cfRule>
  </conditionalFormatting>
  <conditionalFormatting sqref="AL1">
    <cfRule type="notContainsBlanks" dxfId="1444" priority="645">
      <formula>LEN(TRIM(AL1))&gt;0</formula>
    </cfRule>
  </conditionalFormatting>
  <conditionalFormatting sqref="AA1">
    <cfRule type="notContainsBlanks" dxfId="1443" priority="643">
      <formula>LEN(TRIM(AA1))&gt;0</formula>
    </cfRule>
  </conditionalFormatting>
  <conditionalFormatting sqref="AI2:AK18">
    <cfRule type="expression" dxfId="1442" priority="59">
      <formula>$G2="Annulation"</formula>
    </cfRule>
  </conditionalFormatting>
  <conditionalFormatting sqref="U2:U18">
    <cfRule type="expression" dxfId="1441" priority="48">
      <formula>$DM2="Trans."</formula>
    </cfRule>
  </conditionalFormatting>
  <conditionalFormatting sqref="AE2:AE18">
    <cfRule type="cellIs" dxfId="1440" priority="40" operator="equal">
      <formula>43404</formula>
    </cfRule>
  </conditionalFormatting>
  <conditionalFormatting sqref="AD2:AD18">
    <cfRule type="cellIs" dxfId="1439" priority="32" operator="equal">
      <formula>"KO"</formula>
    </cfRule>
    <cfRule type="cellIs" dxfId="1438" priority="33" operator="equal">
      <formula>"A faire"</formula>
    </cfRule>
    <cfRule type="cellIs" dxfId="1437" priority="34" operator="equal">
      <formula>"Report"</formula>
    </cfRule>
    <cfRule type="cellIs" dxfId="1436" priority="35" operator="equal">
      <formula>"Retour"</formula>
    </cfRule>
    <cfRule type="cellIs" dxfId="1435" priority="36" operator="equal">
      <formula>"Envoyée"</formula>
    </cfRule>
    <cfRule type="cellIs" dxfId="1434" priority="37" operator="equal">
      <formula>"Programmée"</formula>
    </cfRule>
    <cfRule type="cellIs" dxfId="1433" priority="38" operator="equal">
      <formula>"Reçue"</formula>
    </cfRule>
    <cfRule type="cellIs" dxfId="1432" priority="39" operator="equal">
      <formula>"OK"</formula>
    </cfRule>
  </conditionalFormatting>
  <conditionalFormatting sqref="AC2:AE18">
    <cfRule type="expression" dxfId="1431" priority="30">
      <formula>$AB2="X"</formula>
    </cfRule>
  </conditionalFormatting>
  <conditionalFormatting sqref="AE2:AE18">
    <cfRule type="expression" dxfId="1430" priority="27">
      <formula>$AD2&lt;&gt;"Programmée"</formula>
    </cfRule>
  </conditionalFormatting>
  <conditionalFormatting sqref="AK2:AK18">
    <cfRule type="expression" dxfId="1429" priority="8813">
      <formula>$DM2="Trans."</formula>
    </cfRule>
    <cfRule type="expression" dxfId="1428" priority="8814">
      <formula>$AK2-TODAY()&gt;90</formula>
    </cfRule>
  </conditionalFormatting>
  <conditionalFormatting sqref="Q1:R1 U1:W1 BL1 BO1 BR1 BU1 BX1 CA1 CD1 CG1 CJ1 CT1 AQ1:AR1 AT1:AU1 AW1:AX1 AO1 AG1:AL1 AA1">
    <cfRule type="expression" dxfId="1427" priority="9010">
      <formula>$A1="Trans."</formula>
    </cfRule>
  </conditionalFormatting>
  <conditionalFormatting sqref="C1:H1 J1:P1 S1 AY1:BK1 BM1:BN1 BP1:BQ1 BS1:BT1 BV1:BW1 BY1:BZ1 CB1:CC1 CE1:CF1 CH1:CI1 CK1:CS1 CU1:DL1 Z1 AB1:AF1">
    <cfRule type="expression" dxfId="1426" priority="9026">
      <formula>$A1="Trans."</formula>
    </cfRule>
  </conditionalFormatting>
  <conditionalFormatting sqref="T1 CY1 AP1 AS1 AV1 X1:Y1 AM1:AN1">
    <cfRule type="expression" dxfId="1425" priority="9041">
      <formula>$A1="Trans."</formula>
    </cfRule>
  </conditionalFormatting>
  <conditionalFormatting sqref="I1">
    <cfRule type="expression" dxfId="1424" priority="9049">
      <formula>$A1="Trans."</formula>
    </cfRule>
  </conditionalFormatting>
  <conditionalFormatting sqref="B2:B18">
    <cfRule type="expression" dxfId="1423" priority="8">
      <formula>$DM2="Trans."</formula>
    </cfRule>
  </conditionalFormatting>
  <conditionalFormatting sqref="B2:B18">
    <cfRule type="expression" dxfId="1422" priority="10">
      <formula>$DN2=""</formula>
    </cfRule>
    <cfRule type="expression" dxfId="1421" priority="14">
      <formula>$DN2="OK"</formula>
    </cfRule>
  </conditionalFormatting>
  <conditionalFormatting sqref="B2:B18">
    <cfRule type="expression" dxfId="1420" priority="13">
      <formula>$DN2="Mini"</formula>
    </cfRule>
  </conditionalFormatting>
  <conditionalFormatting sqref="B2:B18">
    <cfRule type="expression" dxfId="1419" priority="12">
      <formula>$DN2="KO"</formula>
    </cfRule>
  </conditionalFormatting>
  <conditionalFormatting sqref="B2:B18">
    <cfRule type="expression" dxfId="1418" priority="9">
      <formula>$G2="Annulation"</formula>
    </cfRule>
  </conditionalFormatting>
  <conditionalFormatting sqref="B2:B18">
    <cfRule type="expression" dxfId="1417" priority="11">
      <formula>$DN2="AJ"</formula>
    </cfRule>
  </conditionalFormatting>
  <conditionalFormatting sqref="A2:A18">
    <cfRule type="expression" dxfId="1416" priority="1">
      <formula>$DM2="Trans."</formula>
    </cfRule>
  </conditionalFormatting>
  <conditionalFormatting sqref="A2:A18">
    <cfRule type="expression" dxfId="1415" priority="3">
      <formula>$DN2=""</formula>
    </cfRule>
    <cfRule type="expression" dxfId="1414" priority="7">
      <formula>$DN2="OK"</formula>
    </cfRule>
  </conditionalFormatting>
  <conditionalFormatting sqref="A2:A18">
    <cfRule type="expression" dxfId="1413" priority="6">
      <formula>$DN2="Mini"</formula>
    </cfRule>
  </conditionalFormatting>
  <conditionalFormatting sqref="A2:A18">
    <cfRule type="expression" dxfId="1412" priority="5">
      <formula>$DN2="KO"</formula>
    </cfRule>
  </conditionalFormatting>
  <conditionalFormatting sqref="A2:A18">
    <cfRule type="expression" dxfId="1411" priority="2">
      <formula>$G2="Annulation"</formula>
    </cfRule>
  </conditionalFormatting>
  <conditionalFormatting sqref="A2:A18">
    <cfRule type="expression" dxfId="1410" priority="4">
      <formula>$DN2="AJ"</formula>
    </cfRule>
  </conditionalFormatting>
  <dataValidations count="1">
    <dataValidation type="list" allowBlank="1" showInputMessage="1" showErrorMessage="1" sqref="DM2:DM18">
      <formula1>#REF!</formula1>
    </dataValidation>
  </dataValidations>
  <hyperlinks>
    <hyperlink ref="BB10" r:id="rId1"/>
    <hyperlink ref="BB16" r:id="rId2"/>
    <hyperlink ref="BB17" r:id="rId3"/>
    <hyperlink ref="BB9" r:id="rId4"/>
    <hyperlink ref="BB13" r:id="rId5"/>
    <hyperlink ref="BB15" r:id="rId6"/>
    <hyperlink ref="BB14" r:id="rId7"/>
    <hyperlink ref="BB18" r:id="rId8"/>
  </hyperlinks>
  <pageMargins left="0" right="0" top="0" bottom="0" header="0" footer="0"/>
  <pageSetup paperSize="9" orientation="landscape" verticalDpi="360" r:id="rId9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Matrice!$B$39:$J$39</xm:f>
          </x14:formula1>
          <xm:sqref>DA2:DA18</xm:sqref>
        </x14:dataValidation>
        <x14:dataValidation type="list" allowBlank="1" showInputMessage="1" showErrorMessage="1">
          <x14:formula1>
            <xm:f>Matrice!$B$38:$I$38</xm:f>
          </x14:formula1>
          <xm:sqref>DK2:DK18</xm:sqref>
        </x14:dataValidation>
        <x14:dataValidation type="list" allowBlank="1" showInputMessage="1" showErrorMessage="1">
          <x14:formula1>
            <xm:f>Matrice!$B$37:$I$37</xm:f>
          </x14:formula1>
          <xm:sqref>DJ2:DJ18</xm:sqref>
        </x14:dataValidation>
        <x14:dataValidation type="list" allowBlank="1" showInputMessage="1" showErrorMessage="1">
          <x14:formula1>
            <xm:f>Matrice!$B$36:$O$36</xm:f>
          </x14:formula1>
          <xm:sqref>DG2:DG18</xm:sqref>
        </x14:dataValidation>
        <x14:dataValidation type="list" allowBlank="1" showInputMessage="1" showErrorMessage="1">
          <x14:formula1>
            <xm:f>Matrice!$B$28:$H$28</xm:f>
          </x14:formula1>
          <xm:sqref>DD2:DD18</xm:sqref>
        </x14:dataValidation>
        <x14:dataValidation type="list" allowBlank="1" showInputMessage="1" showErrorMessage="1">
          <x14:formula1>
            <xm:f>Matrice!$B$32:$F$32</xm:f>
          </x14:formula1>
          <xm:sqref>DC2:DC18</xm:sqref>
        </x14:dataValidation>
        <x14:dataValidation type="list" allowBlank="1" showInputMessage="1" showErrorMessage="1">
          <x14:formula1>
            <xm:f>Matrice!$B$33:$E$33</xm:f>
          </x14:formula1>
          <xm:sqref>CW2:CW18</xm:sqref>
        </x14:dataValidation>
        <x14:dataValidation type="list" allowBlank="1" showInputMessage="1" showErrorMessage="1">
          <x14:formula1>
            <xm:f>Matrice!$C$25:$N$25</xm:f>
          </x14:formula1>
          <xm:sqref>CK2:CP18</xm:sqref>
        </x14:dataValidation>
        <x14:dataValidation type="list" allowBlank="1" showInputMessage="1" showErrorMessage="1">
          <x14:formula1>
            <xm:f>Matrice!$B$23:$I$23</xm:f>
          </x14:formula1>
          <xm:sqref>AY2:AY18</xm:sqref>
        </x14:dataValidation>
        <x14:dataValidation type="list" allowBlank="1" showInputMessage="1" showErrorMessage="1">
          <x14:formula1>
            <xm:f>Matrice!$B$12:$M$12</xm:f>
          </x14:formula1>
          <xm:sqref>BH2:BI18</xm:sqref>
        </x14:dataValidation>
        <x14:dataValidation type="list" allowBlank="1" showInputMessage="1" showErrorMessage="1">
          <x14:formula1>
            <xm:f>Matrice!$B$11:$J$11</xm:f>
          </x14:formula1>
          <xm:sqref>BT2:BT18 BW2:BW18 BK2:BK18 BZ2:BZ18 CC2:CC18 CF2:CF18 CI2:CI18 BQ2:BQ18 BN2:BN18</xm:sqref>
        </x14:dataValidation>
        <x14:dataValidation type="list" allowBlank="1" showInputMessage="1" showErrorMessage="1">
          <x14:formula1>
            <xm:f>Matrice!$B$7:$L$7</xm:f>
          </x14:formula1>
          <xm:sqref>AB2:AB18</xm:sqref>
        </x14:dataValidation>
        <x14:dataValidation type="list" allowBlank="1" showInputMessage="1" showErrorMessage="1">
          <x14:formula1>
            <xm:f>Matrice!$B$8:$K$8</xm:f>
          </x14:formula1>
          <xm:sqref>AD2:AD18</xm:sqref>
        </x14:dataValidation>
        <x14:dataValidation type="list" allowBlank="1" showInputMessage="1" showErrorMessage="1">
          <x14:formula1>
            <xm:f>Matrice!$B$2:$O$2</xm:f>
          </x14:formula1>
          <xm:sqref>K2:K18</xm:sqref>
        </x14:dataValidation>
        <x14:dataValidation type="list" allowBlank="1" showInputMessage="1" showErrorMessage="1">
          <x14:formula1>
            <xm:f>Matrice!$B$1:$J$1</xm:f>
          </x14:formula1>
          <xm:sqref>J2:J18</xm:sqref>
        </x14:dataValidation>
        <x14:dataValidation type="list" allowBlank="1" showInputMessage="1" showErrorMessage="1">
          <x14:formula1>
            <xm:f>Matrice!$B$9:$O$9</xm:f>
          </x14:formula1>
          <xm:sqref>G2:G18</xm:sqref>
        </x14:dataValidation>
        <x14:dataValidation type="list" allowBlank="1" showInputMessage="1" showErrorMessage="1">
          <x14:formula1>
            <xm:f>Matrice!$B$4:$J$4</xm:f>
          </x14:formula1>
          <xm:sqref>S2:S18</xm:sqref>
        </x14:dataValidation>
        <x14:dataValidation type="list" allowBlank="1" showInputMessage="1" showErrorMessage="1">
          <x14:formula1>
            <xm:f>Matrice!$B$49:$D$49</xm:f>
          </x14:formula1>
          <xm:sqref>F2:F18</xm:sqref>
        </x14:dataValidation>
        <x14:dataValidation type="list" allowBlank="1" showInputMessage="1" showErrorMessage="1">
          <x14:formula1>
            <xm:f>Matrice!$B$34:$I$34</xm:f>
          </x14:formula1>
          <xm:sqref>CX2:CX18</xm:sqref>
        </x14:dataValidation>
        <x14:dataValidation type="list" allowBlank="1" showInputMessage="1" showErrorMessage="1">
          <x14:formula1>
            <xm:f>Matrice!$B$35:$M$35</xm:f>
          </x14:formula1>
          <xm:sqref>CZ2:CZ18</xm:sqref>
        </x14:dataValidation>
        <x14:dataValidation type="list" allowBlank="1" showInputMessage="1" showErrorMessage="1">
          <x14:formula1>
            <xm:f>Matrice!$B$31:$V$31</xm:f>
          </x14:formula1>
          <xm:sqref>CU2:CU18</xm:sqref>
        </x14:dataValidation>
        <x14:dataValidation type="list" allowBlank="1" showInputMessage="1" showErrorMessage="1">
          <x14:formula1>
            <xm:f>Matrice!$B$3:$Y$3</xm:f>
          </x14:formula1>
          <xm:sqref>P2:P18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39997558519241921"/>
  </sheetPr>
  <dimension ref="A1:DN18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baseColWidth="10" defaultColWidth="9.140625" defaultRowHeight="15" x14ac:dyDescent="0.25"/>
  <cols>
    <col min="1" max="1" width="2.42578125" style="600" customWidth="1"/>
    <col min="2" max="2" width="2.140625" style="228" customWidth="1"/>
    <col min="3" max="3" width="21.7109375" style="226" bestFit="1" customWidth="1"/>
    <col min="4" max="4" width="15" style="226" bestFit="1" customWidth="1"/>
    <col min="5" max="5" width="12.285156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6.570312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0.85546875" style="226" bestFit="1" customWidth="1"/>
    <col min="29" max="29" width="12" style="226" bestFit="1" customWidth="1"/>
    <col min="30" max="30" width="13.42578125" style="226" bestFit="1" customWidth="1"/>
    <col min="31" max="31" width="15.5703125" style="226" bestFit="1" customWidth="1"/>
    <col min="32" max="32" width="34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710937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11.5703125" style="226" bestFit="1" customWidth="1"/>
    <col min="53" max="53" width="6.5703125" style="226" bestFit="1" customWidth="1"/>
    <col min="54" max="54" width="32.42578125" style="226" bestFit="1" customWidth="1"/>
    <col min="55" max="56" width="14.140625" style="226" bestFit="1" customWidth="1"/>
    <col min="57" max="57" width="34.57031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7.42578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25.28515625" style="226" bestFit="1" customWidth="1"/>
    <col min="96" max="96" width="31.5703125" style="226" bestFit="1" customWidth="1"/>
    <col min="97" max="97" width="7.42578125" style="226" bestFit="1" customWidth="1"/>
    <col min="98" max="98" width="4.5703125" style="226" bestFit="1" customWidth="1"/>
    <col min="99" max="99" width="10.85546875" style="226" bestFit="1" customWidth="1"/>
    <col min="100" max="100" width="13.42578125" style="226" bestFit="1" customWidth="1"/>
    <col min="101" max="101" width="8" style="226" bestFit="1" customWidth="1"/>
    <col min="102" max="102" width="20.7109375" style="226" bestFit="1" customWidth="1"/>
    <col min="103" max="103" width="7.85546875" style="226" bestFit="1" customWidth="1"/>
    <col min="104" max="104" width="14.140625" style="226" bestFit="1" customWidth="1"/>
    <col min="105" max="105" width="26.28515625" style="226" bestFit="1" customWidth="1"/>
    <col min="106" max="106" width="7.7109375" style="226" bestFit="1" customWidth="1"/>
    <col min="107" max="107" width="8.7109375" style="226" bestFit="1" customWidth="1"/>
    <col min="108" max="108" width="13.140625" style="226" bestFit="1" customWidth="1"/>
    <col min="109" max="109" width="8.85546875" style="226" bestFit="1" customWidth="1"/>
    <col min="110" max="110" width="9.85546875" style="226" bestFit="1" customWidth="1"/>
    <col min="111" max="111" width="27.4257812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19.42578125" style="230" bestFit="1" customWidth="1"/>
    <col min="117" max="117" width="6.42578125" style="226" bestFit="1" customWidth="1"/>
    <col min="118" max="118" width="5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IF(COUNT(I2:I18)=0,"+J",SUM(I2:I18)/COUNT(I2:I18))</f>
        <v>51.75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IF(COUNT(AA2:AA18)=0,"+J",SUM(AA2:AA18)/COUNT(AA2:AA18))</f>
        <v>41.5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TEBOUL Paul - APRIL - Santé Individuelle</v>
      </c>
      <c r="B2" s="306"/>
      <c r="C2" s="305" t="s">
        <v>502</v>
      </c>
      <c r="D2" s="301" t="s">
        <v>242</v>
      </c>
      <c r="E2" s="276">
        <v>42948</v>
      </c>
      <c r="F2" s="278" t="s">
        <v>546</v>
      </c>
      <c r="G2" s="311" t="s">
        <v>174</v>
      </c>
      <c r="H2" s="276"/>
      <c r="I2" s="313" t="str">
        <f t="shared" ref="I2:I18" si="1">IF(G2="Annulation","",IF(H2=0,"",E2-H2))</f>
        <v/>
      </c>
      <c r="J2" s="312" t="s">
        <v>20</v>
      </c>
      <c r="K2" s="268" t="s">
        <v>33</v>
      </c>
      <c r="L2" s="277"/>
      <c r="M2" s="279"/>
      <c r="N2" s="280">
        <v>193.65</v>
      </c>
      <c r="O2" s="280"/>
      <c r="P2" s="285" t="s">
        <v>48</v>
      </c>
      <c r="Q2" s="281" t="str">
        <f t="shared" ref="Q2:Q18" si="2">IF(COUNT(AD2)=0,"",AD2)</f>
        <v/>
      </c>
      <c r="R2" s="282">
        <f t="shared" ref="R2:R18" si="3">SUM(M2*12)</f>
        <v>0</v>
      </c>
      <c r="S2" s="268"/>
      <c r="T2" s="283" t="str">
        <f t="shared" ref="T2:T18" si="4"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IF(M2=0,0,IF(G2="Annulation","",IF(assurance="ALPTIS",M2*12*T2/100*'1803 Data'!$K$4,IF(assurance="APRIL",M2*12*T2/100*'1803 Data'!$F$4,IF(assurance="ASAF",M2*12*T2/100*'1803 Data'!$I$4,IF(assurance="NEOLIANE",('1803 Data'!$G$5+M2*12*'1803 Data'!$G$4)*T2/100,IF(assurance="NEOLIANE Prev",('1803 Data'!$H$5+M2*12*'1803 Data'!$H$4)*T2/100,IF(assurance="SWISSLIFE",M2*12*T2/100*'1803 Data'!$J$4,IF(assurance="AVIVA",M2*12*T2/100*'1803 Data'!$L$4,IF(assurance="CIPRES",M2*12*T2/100*'1803 Data'!$M$4,IF(assurance="CEGEMA",M2*12*T2/100*'1803 Data'!$N$4,IF(assurance=0,0))))))))))))</f>
        <v>0</v>
      </c>
      <c r="V2" s="298" t="str">
        <f t="shared" ref="V2:V18" si="5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8" si="6">IF(M2="","",IF(G2="Annulation","",IF(typecomm="Linéaire",SUM((M2-O2)*T2/100)+O2*0.15,IF(typecomm="Précompte 1",0,IF(typecomm="Précompte",0,IF(typecomm=0,0))))))</f>
        <v/>
      </c>
      <c r="X2" s="299">
        <v>-496.23529411764707</v>
      </c>
      <c r="Y2" s="368">
        <f t="shared" ref="Y2:Y18" si="7">IF(G2="Annulation",0,IF(M2="",0,IF(typecomm="Linéaire",SUM(W2-U2/12),IF(typecomm="Précompte 1",0,IF(typecomm="Précompte",0,IF(typecomm=0,0))))))</f>
        <v>0</v>
      </c>
      <c r="Z2" s="314"/>
      <c r="AA2" s="313" t="str">
        <f t="shared" ref="AA2:AA18" si="8">IF(Z2="","",IF(G2="Annulation","",IF(E2="",0,Z2-E2)))</f>
        <v/>
      </c>
      <c r="AB2" s="268" t="s">
        <v>1287</v>
      </c>
      <c r="AC2" s="277"/>
      <c r="AD2" s="309" t="str">
        <f t="shared" ref="AD2:AD12" si="9">IF(Z2=43466,"Programmée","")</f>
        <v/>
      </c>
      <c r="AE2" s="286" t="str">
        <f t="shared" ref="AE2:AE12" si="10">IF(Z2=43466,43404,"")</f>
        <v/>
      </c>
      <c r="AF2" s="277" t="s">
        <v>229</v>
      </c>
      <c r="AG2" s="275" t="str">
        <f t="shared" ref="AG2:AG18" si="11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8" ca="1" si="12">(IF(COUNT(Z2)=0,"",IF(G2="Annulation","",IF(Z2&gt;0,(Z2-TODAY())/(-365),0))))</f>
        <v/>
      </c>
      <c r="AI2" s="373" t="str">
        <f t="shared" ref="AI2:AI18" ca="1" si="13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8" si="14">IF(G2="Annulation","",IF(Z2="","",AI2-62))</f>
        <v/>
      </c>
      <c r="AK2" s="296" t="str">
        <f t="shared" ref="AK2:AK18" si="15">IF(G2="Annulation","",IF(Z2="","",AI2-92))</f>
        <v/>
      </c>
      <c r="AL2" s="287" t="str">
        <f t="shared" ref="AL2:AL18" si="16">(IF(COUNT(Z2)=0,"",IF(G2="Annulation","",IF(Z2&gt;0,(Z2-AI2)/(-365),0))))</f>
        <v/>
      </c>
      <c r="AM2" s="279" t="str">
        <f t="shared" ref="AM2:AM18" si="17">IF(G2="Annulation","",IF(Z2&lt;42736,M2,0))</f>
        <v/>
      </c>
      <c r="AN2" s="279" t="str">
        <f t="shared" ref="AN2:AN18" si="18">IF(G2="Annulation","",IF(Z2&gt;=42736,IF(Z2&lt;43101,M2,0),0))</f>
        <v/>
      </c>
      <c r="AO2" s="288" t="str">
        <f t="shared" ref="AO2:AO18" si="19">IF(G2="Annulation","",IF(AM2&gt;0,IF(AM2&gt;0,(AM2-AN2)/AM2*(-1),),0))</f>
        <v/>
      </c>
      <c r="AP2" s="279" t="str">
        <f t="shared" ref="AP2:AP18" si="20">IF(G2="Annulation","",IF(Z2&gt;=43101,IF(Z2&lt;43466,M2,0),0))</f>
        <v/>
      </c>
      <c r="AQ2" s="288" t="str">
        <f t="shared" ref="AQ2:AQ18" si="21">IF(G2="Annulation","",IF(AN2&gt;0,(AN2-AP2)/AN2*(-1),))</f>
        <v/>
      </c>
      <c r="AR2" s="289" t="str">
        <f t="shared" ref="AR2:AR18" si="22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8" si="23">IF(G2="Annulation","",IF(Z2&gt;=43466,IF(Z2&lt;43831,M2,0),0))</f>
        <v/>
      </c>
      <c r="AT2" s="288" t="str">
        <f t="shared" ref="AT2:AT18" si="24">IF(G2="Annulation","",IF(AP2&gt;0,(AP2-AS2)/AP2*(-1),0))</f>
        <v/>
      </c>
      <c r="AU2" s="289" t="str">
        <f t="shared" ref="AU2:AU18" si="25">IF(G2="Annulation","",IF(AS2&gt;0,IF(AM2&gt;0,(AM2-AS2)/(-AM2),IF(AN2&gt;0,(AN2-AS2)/(-AN2),IF(AP2&gt;0,(AP2-AS2)/(-AP2),0))),0))</f>
        <v/>
      </c>
      <c r="AV2" s="279" t="str">
        <f t="shared" ref="AV2:AV18" si="26">IF(G2="Annulation","",IF(Z2&gt;=43831,IF(Z2&lt;44197,M2,0),0))</f>
        <v/>
      </c>
      <c r="AW2" s="288" t="str">
        <f t="shared" ref="AW2:AW18" si="27">IF(G2="Annulation","",IF(AS2&gt;0,(AS2-AV2)/AS2*(-1),0))</f>
        <v/>
      </c>
      <c r="AX2" s="289" t="str">
        <f t="shared" ref="AX2:AX18" si="28">IF(G2="Annulation","",(IF(AM2&gt;0,(AM2-AV2)/(-AM2),IF(AN2&gt;0,(AN2-AV2)/(-AN2),IF(AP2&gt;0,(AP2-AV2)/(-AP2),IF(AS2&gt;0,(AS2-AV2)/(-AS2),0))))))</f>
        <v/>
      </c>
      <c r="AY2" s="290"/>
      <c r="AZ2" s="291"/>
      <c r="BA2" s="292"/>
      <c r="BB2" s="303"/>
      <c r="BC2" s="293"/>
      <c r="BD2" s="293"/>
      <c r="BE2" s="304"/>
      <c r="BF2" s="274"/>
      <c r="BG2" s="270"/>
      <c r="BH2" s="268"/>
      <c r="BI2" s="273"/>
      <c r="BJ2" s="276"/>
      <c r="BK2" s="294"/>
      <c r="BL2" s="269" t="str">
        <f t="shared" ref="BL2:BL18" ca="1" si="29">IF(DATEDIF(BJ2,TODAY(),"Y")=118,"",DATEDIF(BJ2,TODAY(),"Y"))</f>
        <v/>
      </c>
      <c r="BM2" s="270"/>
      <c r="BN2" s="271"/>
      <c r="BO2" s="272" t="str">
        <f t="shared" ref="BO2:BO18" ca="1" si="30">IF(DATEDIF(BM2,TODAY(),"Y")=118,"",DATEDIF(BM2,TODAY(),"Y"))</f>
        <v/>
      </c>
      <c r="BP2" s="270"/>
      <c r="BQ2" s="271"/>
      <c r="BR2" s="272" t="str">
        <f t="shared" ref="BR2:BR18" ca="1" si="31">IF(DATEDIF(BP2,TODAY(),"Y")=118,"",DATEDIF(BP2,TODAY(),"Y"))</f>
        <v/>
      </c>
      <c r="BS2" s="270"/>
      <c r="BT2" s="271"/>
      <c r="BU2" s="272" t="str">
        <f t="shared" ref="BU2:BU18" ca="1" si="32">IF(DATEDIF(BS2,TODAY(),"Y")=118,"",DATEDIF(BS2,TODAY(),"Y"))</f>
        <v/>
      </c>
      <c r="BV2" s="270"/>
      <c r="BW2" s="271"/>
      <c r="BX2" s="272" t="str">
        <f t="shared" ref="BX2:BX18" ca="1" si="33">IF(DATEDIF(BV2,TODAY(),"Y")=118,"",DATEDIF(BV2,TODAY(),"Y"))</f>
        <v/>
      </c>
      <c r="BY2" s="270"/>
      <c r="BZ2" s="271"/>
      <c r="CA2" s="272" t="str">
        <f t="shared" ref="CA2:CA18" ca="1" si="34">IF(DATEDIF(BY2,TODAY(),"Y")=118,"",DATEDIF(BY2,TODAY(),"Y"))</f>
        <v/>
      </c>
      <c r="CB2" s="270"/>
      <c r="CC2" s="271"/>
      <c r="CD2" s="272" t="str">
        <f t="shared" ref="CD2:CD18" ca="1" si="35">IF(DATEDIF(CB2,TODAY(),"Y")=118,"",DATEDIF(CB2,TODAY(),"Y"))</f>
        <v/>
      </c>
      <c r="CE2" s="270"/>
      <c r="CF2" s="271"/>
      <c r="CG2" s="272" t="str">
        <f t="shared" ref="CG2:CG18" ca="1" si="36">IF(DATEDIF(CE2,TODAY(),"Y")=118,"",DATEDIF(CE2,TODAY(),"Y"))</f>
        <v/>
      </c>
      <c r="CH2" s="270"/>
      <c r="CI2" s="271"/>
      <c r="CJ2" s="272" t="str">
        <f t="shared" ref="CJ2:CJ18" ca="1" si="37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8" si="38">IF(J2="Prev. Pro",IF(BL2=118,"",BL2),"")</f>
        <v/>
      </c>
      <c r="CU2" s="264"/>
      <c r="CV2" s="265"/>
      <c r="CW2" s="264"/>
      <c r="CX2" s="264"/>
      <c r="CY2" s="264" t="str">
        <f>IF(J2&lt;&gt;"Prev. Pro","",IF(AC2="","Non",IF(J2="Prev. Pro","Oui","Non")))</f>
        <v/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8" si="39">Infoman</f>
        <v>0</v>
      </c>
      <c r="DN2" s="295" t="str">
        <f t="shared" ref="DN2:DN18" si="40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8" si="41">CONCATENATE(C3," ",D3," - ",K3," - ",J3)</f>
        <v>MILLER Céline - APRIL - Prev. Pro</v>
      </c>
      <c r="B3" s="306"/>
      <c r="C3" s="305" t="s">
        <v>32</v>
      </c>
      <c r="D3" s="301" t="s">
        <v>533</v>
      </c>
      <c r="E3" s="276">
        <v>43133</v>
      </c>
      <c r="F3" s="278" t="s">
        <v>547</v>
      </c>
      <c r="G3" s="311" t="s">
        <v>170</v>
      </c>
      <c r="H3" s="276">
        <v>43132</v>
      </c>
      <c r="I3" s="313">
        <f t="shared" si="1"/>
        <v>1</v>
      </c>
      <c r="J3" s="312" t="s">
        <v>16</v>
      </c>
      <c r="K3" s="268" t="s">
        <v>33</v>
      </c>
      <c r="L3" s="277" t="s">
        <v>34</v>
      </c>
      <c r="M3" s="279">
        <v>87.59</v>
      </c>
      <c r="N3" s="280">
        <v>87.59</v>
      </c>
      <c r="O3" s="280">
        <v>0</v>
      </c>
      <c r="P3" s="285" t="s">
        <v>57</v>
      </c>
      <c r="Q3" s="281" t="str">
        <f t="shared" si="2"/>
        <v/>
      </c>
      <c r="R3" s="282">
        <f t="shared" si="3"/>
        <v>1051.08</v>
      </c>
      <c r="S3" s="268" t="s">
        <v>18</v>
      </c>
      <c r="T3" s="283">
        <f t="shared" si="4"/>
        <v>25</v>
      </c>
      <c r="U3" s="284">
        <f>IF(M3=0,0,IF(G3="Annulation","",IF(assurance="ALPTIS",M3*12*T3/100*'1803 Data'!$K$4,IF(assurance="APRIL",M3*12*T3/100*'1803 Data'!$F$4,IF(assurance="ASAF",M3*12*T3/100*'1803 Data'!$I$4,IF(assurance="NEOLIANE",('1803 Data'!$G$5+M3*12*'1803 Data'!$G$4)*T3/100,IF(assurance="NEOLIANE Prev",('1803 Data'!$H$5+M3*12*'1803 Data'!$H$4)*T3/100,IF(assurance="SWISSLIFE",M3*12*T3/100*'1803 Data'!$J$4,IF(assurance="AVIVA",M3*12*T3/100*'1803 Data'!$L$4,IF(assurance="CIPRES",M3*12*T3/100*'1803 Data'!$M$4,IF(assurance="CEGEMA",M3*12*T3/100*'1803 Data'!$N$4,IF(assurance=0,0))))))))))))</f>
        <v>29.771840999999998</v>
      </c>
      <c r="V3" s="298">
        <f t="shared" si="5"/>
        <v>262.77</v>
      </c>
      <c r="W3" s="298">
        <f t="shared" si="6"/>
        <v>0</v>
      </c>
      <c r="X3" s="299">
        <f t="shared" ref="X3:X18" si="42">IF(G3="Annulation",0,IF(typecomm="Linéaire",0,IF(typecomm="Précompte 1",V3-U3,IF(mens=0,0,IF(typecomm="Précompte",V3-U3,IF(typecomm=0,0))))))</f>
        <v>232.99815899999999</v>
      </c>
      <c r="Y3" s="368">
        <f t="shared" si="7"/>
        <v>0</v>
      </c>
      <c r="Z3" s="314">
        <v>43134</v>
      </c>
      <c r="AA3" s="313">
        <f t="shared" si="8"/>
        <v>1</v>
      </c>
      <c r="AB3" s="268" t="s">
        <v>13</v>
      </c>
      <c r="AC3" s="277"/>
      <c r="AD3" s="309" t="str">
        <f t="shared" si="9"/>
        <v/>
      </c>
      <c r="AE3" s="286" t="str">
        <f t="shared" si="10"/>
        <v/>
      </c>
      <c r="AF3" s="277" t="s">
        <v>1171</v>
      </c>
      <c r="AG3" s="275">
        <f t="shared" si="11"/>
        <v>43466</v>
      </c>
      <c r="AH3" s="287">
        <f t="shared" ca="1" si="12"/>
        <v>0.34246575342465752</v>
      </c>
      <c r="AI3" s="373">
        <f t="shared" ca="1" si="13"/>
        <v>43466</v>
      </c>
      <c r="AJ3" s="275">
        <f t="shared" ca="1" si="14"/>
        <v>43404</v>
      </c>
      <c r="AK3" s="296">
        <f t="shared" ca="1" si="15"/>
        <v>43374</v>
      </c>
      <c r="AL3" s="287">
        <f t="shared" ca="1" si="16"/>
        <v>0.90958904109589045</v>
      </c>
      <c r="AM3" s="279">
        <f t="shared" si="17"/>
        <v>0</v>
      </c>
      <c r="AN3" s="279">
        <f t="shared" si="18"/>
        <v>0</v>
      </c>
      <c r="AO3" s="288">
        <f t="shared" si="19"/>
        <v>0</v>
      </c>
      <c r="AP3" s="279">
        <f t="shared" si="20"/>
        <v>87.59</v>
      </c>
      <c r="AQ3" s="288">
        <f t="shared" si="21"/>
        <v>0</v>
      </c>
      <c r="AR3" s="289">
        <f t="shared" si="22"/>
        <v>0</v>
      </c>
      <c r="AS3" s="279">
        <f t="shared" si="23"/>
        <v>0</v>
      </c>
      <c r="AT3" s="288">
        <f t="shared" si="24"/>
        <v>-1</v>
      </c>
      <c r="AU3" s="289">
        <f t="shared" si="25"/>
        <v>0</v>
      </c>
      <c r="AV3" s="279">
        <f t="shared" si="26"/>
        <v>0</v>
      </c>
      <c r="AW3" s="288">
        <f t="shared" si="27"/>
        <v>0</v>
      </c>
      <c r="AX3" s="289">
        <f t="shared" si="28"/>
        <v>-1</v>
      </c>
      <c r="AY3" s="290" t="s">
        <v>273</v>
      </c>
      <c r="AZ3" s="291">
        <v>679086100</v>
      </c>
      <c r="BA3" s="292">
        <v>66110</v>
      </c>
      <c r="BB3" s="303" t="s">
        <v>1148</v>
      </c>
      <c r="BC3" s="293">
        <v>635900594</v>
      </c>
      <c r="BD3" s="293">
        <v>468859135</v>
      </c>
      <c r="BE3" s="304" t="s">
        <v>1149</v>
      </c>
      <c r="BF3" s="274"/>
      <c r="BG3" s="270"/>
      <c r="BH3" s="268">
        <v>1</v>
      </c>
      <c r="BI3" s="273"/>
      <c r="BJ3" s="276">
        <v>30751</v>
      </c>
      <c r="BK3" s="294" t="s">
        <v>203</v>
      </c>
      <c r="BL3" s="269">
        <f t="shared" ca="1" si="29"/>
        <v>34</v>
      </c>
      <c r="BM3" s="270"/>
      <c r="BN3" s="271"/>
      <c r="BO3" s="272" t="str">
        <f t="shared" ca="1" si="30"/>
        <v/>
      </c>
      <c r="BP3" s="270"/>
      <c r="BQ3" s="271"/>
      <c r="BR3" s="272" t="str">
        <f t="shared" ca="1" si="31"/>
        <v/>
      </c>
      <c r="BS3" s="270"/>
      <c r="BT3" s="271"/>
      <c r="BU3" s="272" t="str">
        <f t="shared" ca="1" si="32"/>
        <v/>
      </c>
      <c r="BV3" s="270"/>
      <c r="BW3" s="271"/>
      <c r="BX3" s="272" t="str">
        <f t="shared" ca="1" si="33"/>
        <v/>
      </c>
      <c r="BY3" s="270"/>
      <c r="BZ3" s="271"/>
      <c r="CA3" s="272" t="str">
        <f t="shared" ca="1" si="34"/>
        <v/>
      </c>
      <c r="CB3" s="270"/>
      <c r="CC3" s="271"/>
      <c r="CD3" s="272" t="str">
        <f t="shared" ca="1" si="35"/>
        <v/>
      </c>
      <c r="CE3" s="270"/>
      <c r="CF3" s="271"/>
      <c r="CG3" s="272" t="str">
        <f t="shared" ca="1" si="36"/>
        <v/>
      </c>
      <c r="CH3" s="270"/>
      <c r="CI3" s="271"/>
      <c r="CJ3" s="272" t="str">
        <f t="shared" ca="1" si="37"/>
        <v/>
      </c>
      <c r="CK3" s="262"/>
      <c r="CL3" s="264"/>
      <c r="CM3" s="264"/>
      <c r="CN3" s="264"/>
      <c r="CO3" s="264"/>
      <c r="CP3" s="264"/>
      <c r="CQ3" s="264"/>
      <c r="CR3" s="262" t="s">
        <v>1147</v>
      </c>
      <c r="CS3" s="263" t="s">
        <v>1150</v>
      </c>
      <c r="CT3" s="297">
        <f t="shared" ca="1" si="38"/>
        <v>34</v>
      </c>
      <c r="CU3" s="264"/>
      <c r="CV3" s="265"/>
      <c r="CW3" s="264"/>
      <c r="CX3" s="264"/>
      <c r="CY3" s="264" t="s">
        <v>1287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9"/>
        <v>0</v>
      </c>
      <c r="DN3" s="295" t="str">
        <f t="shared" si="40"/>
        <v>OK</v>
      </c>
    </row>
    <row r="4" spans="1:118" x14ac:dyDescent="0.25">
      <c r="A4" s="599" t="str">
        <f t="shared" si="41"/>
        <v>NGOMA Lucile-Aline - APRIL - Prev. Pro</v>
      </c>
      <c r="B4" s="306"/>
      <c r="C4" s="305" t="s">
        <v>49</v>
      </c>
      <c r="D4" s="301" t="s">
        <v>1224</v>
      </c>
      <c r="E4" s="276">
        <v>43144</v>
      </c>
      <c r="F4" s="278" t="s">
        <v>547</v>
      </c>
      <c r="G4" s="311" t="s">
        <v>170</v>
      </c>
      <c r="H4" s="276">
        <v>43112</v>
      </c>
      <c r="I4" s="313">
        <f t="shared" si="1"/>
        <v>32</v>
      </c>
      <c r="J4" s="312" t="s">
        <v>16</v>
      </c>
      <c r="K4" s="268" t="s">
        <v>33</v>
      </c>
      <c r="L4" s="277" t="s">
        <v>34</v>
      </c>
      <c r="M4" s="279">
        <v>144.75</v>
      </c>
      <c r="N4" s="280">
        <v>144.75</v>
      </c>
      <c r="O4" s="280">
        <v>0</v>
      </c>
      <c r="P4" s="285" t="s">
        <v>57</v>
      </c>
      <c r="Q4" s="281" t="str">
        <f t="shared" si="2"/>
        <v/>
      </c>
      <c r="R4" s="282">
        <f t="shared" si="3"/>
        <v>1737</v>
      </c>
      <c r="S4" s="268" t="s">
        <v>18</v>
      </c>
      <c r="T4" s="283">
        <f t="shared" si="4"/>
        <v>25</v>
      </c>
      <c r="U4" s="284">
        <f>IF(M4=0,0,IF(G4="Annulation","",IF(assurance="ALPTIS",M4*12*T4/100*'1803 Data'!$K$4,IF(assurance="APRIL",M4*12*T4/100*'1803 Data'!$F$4,IF(assurance="ASAF",M4*12*T4/100*'1803 Data'!$I$4,IF(assurance="NEOLIANE",('1803 Data'!$G$5+M4*12*'1803 Data'!$G$4)*T4/100,IF(assurance="NEOLIANE Prev",('1803 Data'!$H$5+M4*12*'1803 Data'!$H$4)*T4/100,IF(assurance="SWISSLIFE",M4*12*T4/100*'1803 Data'!$J$4,IF(assurance="AVIVA",M4*12*T4/100*'1803 Data'!$L$4,IF(assurance="CIPRES",M4*12*T4/100*'1803 Data'!$M$4,IF(assurance="CEGEMA",M4*12*T4/100*'1803 Data'!$N$4,IF(assurance=0,0))))))))))))</f>
        <v>49.200524999999999</v>
      </c>
      <c r="V4" s="298">
        <f t="shared" si="5"/>
        <v>434.25</v>
      </c>
      <c r="W4" s="298">
        <f t="shared" si="6"/>
        <v>0</v>
      </c>
      <c r="X4" s="299">
        <f t="shared" si="42"/>
        <v>385.04947500000003</v>
      </c>
      <c r="Y4" s="368">
        <f t="shared" si="7"/>
        <v>0</v>
      </c>
      <c r="Z4" s="314">
        <v>43155</v>
      </c>
      <c r="AA4" s="313">
        <f t="shared" si="8"/>
        <v>11</v>
      </c>
      <c r="AB4" s="268" t="s">
        <v>13</v>
      </c>
      <c r="AC4" s="277"/>
      <c r="AD4" s="309" t="str">
        <f t="shared" si="9"/>
        <v/>
      </c>
      <c r="AE4" s="286" t="str">
        <f t="shared" si="10"/>
        <v/>
      </c>
      <c r="AF4" s="277" t="s">
        <v>1223</v>
      </c>
      <c r="AG4" s="275">
        <f t="shared" si="11"/>
        <v>43466</v>
      </c>
      <c r="AH4" s="287">
        <f t="shared" ca="1" si="12"/>
        <v>0.28493150684931506</v>
      </c>
      <c r="AI4" s="373">
        <f t="shared" ca="1" si="13"/>
        <v>43466</v>
      </c>
      <c r="AJ4" s="275">
        <f t="shared" ca="1" si="14"/>
        <v>43404</v>
      </c>
      <c r="AK4" s="296">
        <f t="shared" ca="1" si="15"/>
        <v>43374</v>
      </c>
      <c r="AL4" s="287">
        <f t="shared" ca="1" si="16"/>
        <v>0.852054794520548</v>
      </c>
      <c r="AM4" s="279">
        <f t="shared" si="17"/>
        <v>0</v>
      </c>
      <c r="AN4" s="279">
        <f t="shared" si="18"/>
        <v>0</v>
      </c>
      <c r="AO4" s="288">
        <f t="shared" si="19"/>
        <v>0</v>
      </c>
      <c r="AP4" s="279">
        <f t="shared" si="20"/>
        <v>144.75</v>
      </c>
      <c r="AQ4" s="288">
        <f t="shared" si="21"/>
        <v>0</v>
      </c>
      <c r="AR4" s="289">
        <f t="shared" si="22"/>
        <v>0</v>
      </c>
      <c r="AS4" s="279">
        <f t="shared" si="23"/>
        <v>0</v>
      </c>
      <c r="AT4" s="288">
        <f t="shared" si="24"/>
        <v>-1</v>
      </c>
      <c r="AU4" s="289">
        <f t="shared" si="25"/>
        <v>0</v>
      </c>
      <c r="AV4" s="279">
        <f t="shared" si="26"/>
        <v>0</v>
      </c>
      <c r="AW4" s="288">
        <f t="shared" si="27"/>
        <v>0</v>
      </c>
      <c r="AX4" s="289">
        <f t="shared" si="28"/>
        <v>-1</v>
      </c>
      <c r="AY4" s="290" t="s">
        <v>278</v>
      </c>
      <c r="AZ4" s="291">
        <v>679511900</v>
      </c>
      <c r="BA4" s="292">
        <v>93150</v>
      </c>
      <c r="BB4" s="303" t="s">
        <v>1221</v>
      </c>
      <c r="BC4" s="293">
        <v>662514945</v>
      </c>
      <c r="BD4" s="293">
        <v>130353772</v>
      </c>
      <c r="BE4" s="304" t="s">
        <v>1222</v>
      </c>
      <c r="BF4" s="274"/>
      <c r="BG4" s="270"/>
      <c r="BH4" s="268">
        <v>1</v>
      </c>
      <c r="BI4" s="273"/>
      <c r="BJ4" s="276">
        <v>26556</v>
      </c>
      <c r="BK4" s="294" t="s">
        <v>203</v>
      </c>
      <c r="BL4" s="269">
        <f t="shared" ca="1" si="29"/>
        <v>45</v>
      </c>
      <c r="BM4" s="270"/>
      <c r="BN4" s="271"/>
      <c r="BO4" s="272" t="str">
        <f t="shared" ca="1" si="30"/>
        <v/>
      </c>
      <c r="BP4" s="270"/>
      <c r="BQ4" s="271"/>
      <c r="BR4" s="272" t="str">
        <f t="shared" ca="1" si="31"/>
        <v/>
      </c>
      <c r="BS4" s="270"/>
      <c r="BT4" s="271"/>
      <c r="BU4" s="272" t="str">
        <f t="shared" ca="1" si="32"/>
        <v/>
      </c>
      <c r="BV4" s="270"/>
      <c r="BW4" s="271"/>
      <c r="BX4" s="272" t="str">
        <f t="shared" ca="1" si="33"/>
        <v/>
      </c>
      <c r="BY4" s="270"/>
      <c r="BZ4" s="271"/>
      <c r="CA4" s="272" t="str">
        <f t="shared" ca="1" si="34"/>
        <v/>
      </c>
      <c r="CB4" s="270"/>
      <c r="CC4" s="271"/>
      <c r="CD4" s="272" t="str">
        <f t="shared" ca="1" si="35"/>
        <v/>
      </c>
      <c r="CE4" s="270"/>
      <c r="CF4" s="271"/>
      <c r="CG4" s="272" t="str">
        <f t="shared" ca="1" si="36"/>
        <v/>
      </c>
      <c r="CH4" s="270"/>
      <c r="CI4" s="271"/>
      <c r="CJ4" s="272" t="str">
        <f t="shared" ca="1" si="37"/>
        <v/>
      </c>
      <c r="CK4" s="262"/>
      <c r="CL4" s="264"/>
      <c r="CM4" s="264"/>
      <c r="CN4" s="264"/>
      <c r="CO4" s="264"/>
      <c r="CP4" s="264"/>
      <c r="CQ4" s="264"/>
      <c r="CR4" s="262" t="s">
        <v>1147</v>
      </c>
      <c r="CS4" s="263" t="s">
        <v>1150</v>
      </c>
      <c r="CT4" s="297">
        <f t="shared" ca="1" si="38"/>
        <v>45</v>
      </c>
      <c r="CU4" s="264" t="s">
        <v>314</v>
      </c>
      <c r="CV4" s="265">
        <v>43151</v>
      </c>
      <c r="CW4" s="264" t="s">
        <v>351</v>
      </c>
      <c r="CX4" s="264" t="s">
        <v>377</v>
      </c>
      <c r="CY4" s="264" t="s">
        <v>350</v>
      </c>
      <c r="CZ4" s="264" t="s">
        <v>356</v>
      </c>
      <c r="DA4" s="264" t="s">
        <v>386</v>
      </c>
      <c r="DB4" s="266">
        <v>3600</v>
      </c>
      <c r="DC4" s="264" t="s">
        <v>343</v>
      </c>
      <c r="DD4" s="264" t="s">
        <v>362</v>
      </c>
      <c r="DE4" s="266">
        <v>0</v>
      </c>
      <c r="DF4" s="266">
        <v>120000</v>
      </c>
      <c r="DG4" s="264" t="s">
        <v>35</v>
      </c>
      <c r="DH4" s="266">
        <v>0</v>
      </c>
      <c r="DI4" s="266">
        <v>0</v>
      </c>
      <c r="DJ4" s="264" t="s">
        <v>351</v>
      </c>
      <c r="DK4" s="264" t="s">
        <v>351</v>
      </c>
      <c r="DL4" s="267" t="s">
        <v>525</v>
      </c>
      <c r="DM4" s="261">
        <f t="shared" si="39"/>
        <v>0</v>
      </c>
      <c r="DN4" s="295" t="str">
        <f t="shared" si="40"/>
        <v>OK</v>
      </c>
    </row>
    <row r="5" spans="1:118" x14ac:dyDescent="0.25">
      <c r="A5" s="599" t="str">
        <f t="shared" si="41"/>
        <v>VOINOT Sandrine - APRIL - Prev. Pro</v>
      </c>
      <c r="B5" s="306"/>
      <c r="C5" s="305" t="s">
        <v>61</v>
      </c>
      <c r="D5" s="301" t="s">
        <v>1196</v>
      </c>
      <c r="E5" s="276">
        <v>43153</v>
      </c>
      <c r="F5" s="278" t="s">
        <v>547</v>
      </c>
      <c r="G5" s="311" t="s">
        <v>170</v>
      </c>
      <c r="H5" s="276">
        <v>43129</v>
      </c>
      <c r="I5" s="313">
        <f t="shared" si="1"/>
        <v>24</v>
      </c>
      <c r="J5" s="312" t="s">
        <v>16</v>
      </c>
      <c r="K5" s="268" t="s">
        <v>33</v>
      </c>
      <c r="L5" s="277" t="s">
        <v>133</v>
      </c>
      <c r="M5" s="279">
        <v>43.93</v>
      </c>
      <c r="N5" s="280">
        <v>43.93</v>
      </c>
      <c r="O5" s="280">
        <v>0</v>
      </c>
      <c r="P5" s="285" t="s">
        <v>57</v>
      </c>
      <c r="Q5" s="281" t="str">
        <f t="shared" si="2"/>
        <v/>
      </c>
      <c r="R5" s="282">
        <f t="shared" si="3"/>
        <v>527.16</v>
      </c>
      <c r="S5" s="268" t="s">
        <v>18</v>
      </c>
      <c r="T5" s="283">
        <f t="shared" si="4"/>
        <v>25</v>
      </c>
      <c r="U5" s="284">
        <f>IF(M5=0,0,IF(G5="Annulation","",IF(assurance="ALPTIS",M5*12*T5/100*'1803 Data'!$K$4,IF(assurance="APRIL",M5*12*T5/100*'1803 Data'!$F$4,IF(assurance="ASAF",M5*12*T5/100*'1803 Data'!$I$4,IF(assurance="NEOLIANE",('1803 Data'!$G$5+M5*12*'1803 Data'!$G$4)*T5/100,IF(assurance="NEOLIANE Prev",('1803 Data'!$H$5+M5*12*'1803 Data'!$H$4)*T5/100,IF(assurance="SWISSLIFE",M5*12*T5/100*'1803 Data'!$J$4,IF(assurance="AVIVA",M5*12*T5/100*'1803 Data'!$L$4,IF(assurance="CIPRES",M5*12*T5/100*'1803 Data'!$M$4,IF(assurance="CEGEMA",M5*12*T5/100*'1803 Data'!$N$4,IF(assurance=0,0))))))))))))</f>
        <v>14.931806999999999</v>
      </c>
      <c r="V5" s="298">
        <f t="shared" si="5"/>
        <v>131.79</v>
      </c>
      <c r="W5" s="298">
        <f t="shared" si="6"/>
        <v>0</v>
      </c>
      <c r="X5" s="299">
        <f t="shared" si="42"/>
        <v>116.858193</v>
      </c>
      <c r="Y5" s="368">
        <f t="shared" si="7"/>
        <v>0</v>
      </c>
      <c r="Z5" s="314">
        <v>43160</v>
      </c>
      <c r="AA5" s="313">
        <f t="shared" si="8"/>
        <v>7</v>
      </c>
      <c r="AB5" s="268" t="s">
        <v>13</v>
      </c>
      <c r="AC5" s="277"/>
      <c r="AD5" s="309" t="str">
        <f t="shared" si="9"/>
        <v/>
      </c>
      <c r="AE5" s="286" t="str">
        <f t="shared" si="10"/>
        <v/>
      </c>
      <c r="AF5" s="277"/>
      <c r="AG5" s="275">
        <f t="shared" si="11"/>
        <v>43466</v>
      </c>
      <c r="AH5" s="287">
        <f t="shared" ca="1" si="12"/>
        <v>0.27123287671232876</v>
      </c>
      <c r="AI5" s="373">
        <f t="shared" ca="1" si="13"/>
        <v>43466</v>
      </c>
      <c r="AJ5" s="275">
        <f t="shared" ca="1" si="14"/>
        <v>43404</v>
      </c>
      <c r="AK5" s="296">
        <f t="shared" ca="1" si="15"/>
        <v>43374</v>
      </c>
      <c r="AL5" s="287">
        <f t="shared" ca="1" si="16"/>
        <v>0.83835616438356164</v>
      </c>
      <c r="AM5" s="279">
        <f t="shared" si="17"/>
        <v>0</v>
      </c>
      <c r="AN5" s="279">
        <f t="shared" si="18"/>
        <v>0</v>
      </c>
      <c r="AO5" s="288">
        <f t="shared" si="19"/>
        <v>0</v>
      </c>
      <c r="AP5" s="279">
        <f t="shared" si="20"/>
        <v>43.93</v>
      </c>
      <c r="AQ5" s="288">
        <f t="shared" si="21"/>
        <v>0</v>
      </c>
      <c r="AR5" s="289">
        <f t="shared" si="22"/>
        <v>0</v>
      </c>
      <c r="AS5" s="279">
        <f t="shared" si="23"/>
        <v>0</v>
      </c>
      <c r="AT5" s="288">
        <f t="shared" si="24"/>
        <v>-1</v>
      </c>
      <c r="AU5" s="289">
        <f t="shared" si="25"/>
        <v>0</v>
      </c>
      <c r="AV5" s="279">
        <f t="shared" si="26"/>
        <v>0</v>
      </c>
      <c r="AW5" s="288">
        <f t="shared" si="27"/>
        <v>0</v>
      </c>
      <c r="AX5" s="289">
        <f t="shared" si="28"/>
        <v>-1</v>
      </c>
      <c r="AY5" s="290" t="s">
        <v>277</v>
      </c>
      <c r="AZ5" s="291">
        <v>679479100</v>
      </c>
      <c r="BA5" s="292">
        <v>54630</v>
      </c>
      <c r="BB5" s="303" t="s">
        <v>1195</v>
      </c>
      <c r="BC5" s="293" t="s">
        <v>1197</v>
      </c>
      <c r="BD5" s="293"/>
      <c r="BE5" s="304" t="s">
        <v>1198</v>
      </c>
      <c r="BF5" s="274"/>
      <c r="BG5" s="270"/>
      <c r="BH5" s="268">
        <v>1</v>
      </c>
      <c r="BI5" s="273"/>
      <c r="BJ5" s="276">
        <v>28639</v>
      </c>
      <c r="BK5" s="294" t="s">
        <v>202</v>
      </c>
      <c r="BL5" s="269">
        <f t="shared" ca="1" si="29"/>
        <v>40</v>
      </c>
      <c r="BM5" s="270"/>
      <c r="BN5" s="271"/>
      <c r="BO5" s="272" t="str">
        <f t="shared" ca="1" si="30"/>
        <v/>
      </c>
      <c r="BP5" s="270"/>
      <c r="BQ5" s="271"/>
      <c r="BR5" s="272" t="str">
        <f t="shared" ca="1" si="31"/>
        <v/>
      </c>
      <c r="BS5" s="270"/>
      <c r="BT5" s="271"/>
      <c r="BU5" s="272" t="str">
        <f t="shared" ca="1" si="32"/>
        <v/>
      </c>
      <c r="BV5" s="270"/>
      <c r="BW5" s="271"/>
      <c r="BX5" s="272" t="str">
        <f t="shared" ca="1" si="33"/>
        <v/>
      </c>
      <c r="BY5" s="270"/>
      <c r="BZ5" s="271"/>
      <c r="CA5" s="272" t="str">
        <f t="shared" ca="1" si="34"/>
        <v/>
      </c>
      <c r="CB5" s="270"/>
      <c r="CC5" s="271"/>
      <c r="CD5" s="272" t="str">
        <f t="shared" ca="1" si="35"/>
        <v/>
      </c>
      <c r="CE5" s="270"/>
      <c r="CF5" s="271"/>
      <c r="CG5" s="272" t="str">
        <f t="shared" ca="1" si="36"/>
        <v/>
      </c>
      <c r="CH5" s="270"/>
      <c r="CI5" s="271"/>
      <c r="CJ5" s="272" t="str">
        <f t="shared" ca="1" si="37"/>
        <v/>
      </c>
      <c r="CK5" s="262"/>
      <c r="CL5" s="264"/>
      <c r="CM5" s="264"/>
      <c r="CN5" s="264"/>
      <c r="CO5" s="264"/>
      <c r="CP5" s="264"/>
      <c r="CQ5" s="264"/>
      <c r="CR5" s="262" t="s">
        <v>1206</v>
      </c>
      <c r="CS5" s="263" t="s">
        <v>1205</v>
      </c>
      <c r="CT5" s="297">
        <f t="shared" ca="1" si="38"/>
        <v>40</v>
      </c>
      <c r="CU5" s="264" t="s">
        <v>318</v>
      </c>
      <c r="CV5" s="265">
        <v>35431</v>
      </c>
      <c r="CW5" s="264" t="s">
        <v>351</v>
      </c>
      <c r="CX5" s="264" t="s">
        <v>483</v>
      </c>
      <c r="CY5" s="264" t="s">
        <v>351</v>
      </c>
      <c r="CZ5" s="264" t="s">
        <v>356</v>
      </c>
      <c r="DA5" s="264" t="s">
        <v>388</v>
      </c>
      <c r="DB5" s="266">
        <v>1500</v>
      </c>
      <c r="DC5" s="264" t="s">
        <v>365</v>
      </c>
      <c r="DD5" s="264" t="s">
        <v>362</v>
      </c>
      <c r="DE5" s="266">
        <v>600</v>
      </c>
      <c r="DF5" s="266">
        <v>50000</v>
      </c>
      <c r="DG5" s="264" t="s">
        <v>372</v>
      </c>
      <c r="DH5" s="266">
        <v>0</v>
      </c>
      <c r="DI5" s="266">
        <v>0</v>
      </c>
      <c r="DJ5" s="264" t="s">
        <v>351</v>
      </c>
      <c r="DK5" s="264" t="s">
        <v>350</v>
      </c>
      <c r="DL5" s="267"/>
      <c r="DM5" s="261">
        <f t="shared" si="39"/>
        <v>0</v>
      </c>
      <c r="DN5" s="295" t="str">
        <f t="shared" si="40"/>
        <v>OK</v>
      </c>
    </row>
    <row r="6" spans="1:118" x14ac:dyDescent="0.25">
      <c r="A6" s="599" t="str">
        <f t="shared" si="41"/>
        <v>HOFFMANN Celine - APRIL - Prev. Pro</v>
      </c>
      <c r="B6" s="306"/>
      <c r="C6" s="305" t="s">
        <v>58</v>
      </c>
      <c r="D6" s="301" t="s">
        <v>1225</v>
      </c>
      <c r="E6" s="276">
        <v>43153</v>
      </c>
      <c r="F6" s="278" t="s">
        <v>547</v>
      </c>
      <c r="G6" s="311" t="s">
        <v>170</v>
      </c>
      <c r="H6" s="276">
        <v>43135</v>
      </c>
      <c r="I6" s="313">
        <f t="shared" si="1"/>
        <v>18</v>
      </c>
      <c r="J6" s="312" t="s">
        <v>16</v>
      </c>
      <c r="K6" s="268" t="s">
        <v>33</v>
      </c>
      <c r="L6" s="277" t="s">
        <v>133</v>
      </c>
      <c r="M6" s="279">
        <v>74.2</v>
      </c>
      <c r="N6" s="280">
        <v>74.2</v>
      </c>
      <c r="O6" s="280">
        <v>0</v>
      </c>
      <c r="P6" s="285" t="s">
        <v>57</v>
      </c>
      <c r="Q6" s="281" t="str">
        <f t="shared" si="2"/>
        <v/>
      </c>
      <c r="R6" s="282">
        <f t="shared" si="3"/>
        <v>890.40000000000009</v>
      </c>
      <c r="S6" s="268" t="s">
        <v>18</v>
      </c>
      <c r="T6" s="283">
        <f t="shared" si="4"/>
        <v>25</v>
      </c>
      <c r="U6" s="284">
        <f>IF(M6=0,0,IF(G6="Annulation","",IF(assurance="ALPTIS",M6*12*T6/100*'1803 Data'!$K$4,IF(assurance="APRIL",M6*12*T6/100*'1803 Data'!$F$4,IF(assurance="ASAF",M6*12*T6/100*'1803 Data'!$I$4,IF(assurance="NEOLIANE",('1803 Data'!$G$5+M6*12*'1803 Data'!$G$4)*T6/100,IF(assurance="NEOLIANE Prev",('1803 Data'!$H$5+M6*12*'1803 Data'!$H$4)*T6/100,IF(assurance="SWISSLIFE",M6*12*T6/100*'1803 Data'!$J$4,IF(assurance="AVIVA",M6*12*T6/100*'1803 Data'!$L$4,IF(assurance="CIPRES",M6*12*T6/100*'1803 Data'!$M$4,IF(assurance="CEGEMA",M6*12*T6/100*'1803 Data'!$N$4,IF(assurance=0,0))))))))))))</f>
        <v>25.220580000000002</v>
      </c>
      <c r="V6" s="298">
        <f t="shared" si="5"/>
        <v>222.60000000000002</v>
      </c>
      <c r="W6" s="298">
        <f t="shared" si="6"/>
        <v>0</v>
      </c>
      <c r="X6" s="299">
        <f t="shared" si="42"/>
        <v>197.37942000000001</v>
      </c>
      <c r="Y6" s="368">
        <f t="shared" si="7"/>
        <v>0</v>
      </c>
      <c r="Z6" s="314">
        <v>43160</v>
      </c>
      <c r="AA6" s="313">
        <f t="shared" si="8"/>
        <v>7</v>
      </c>
      <c r="AB6" s="268" t="s">
        <v>13</v>
      </c>
      <c r="AC6" s="277"/>
      <c r="AD6" s="309" t="str">
        <f t="shared" si="9"/>
        <v/>
      </c>
      <c r="AE6" s="286" t="str">
        <f t="shared" si="10"/>
        <v/>
      </c>
      <c r="AF6" s="277" t="s">
        <v>1285</v>
      </c>
      <c r="AG6" s="275">
        <f t="shared" si="11"/>
        <v>43466</v>
      </c>
      <c r="AH6" s="287">
        <f t="shared" ca="1" si="12"/>
        <v>0.27123287671232876</v>
      </c>
      <c r="AI6" s="373">
        <f t="shared" ca="1" si="13"/>
        <v>43466</v>
      </c>
      <c r="AJ6" s="275">
        <f t="shared" ca="1" si="14"/>
        <v>43404</v>
      </c>
      <c r="AK6" s="296">
        <f t="shared" ca="1" si="15"/>
        <v>43374</v>
      </c>
      <c r="AL6" s="287">
        <f t="shared" ca="1" si="16"/>
        <v>0.83835616438356164</v>
      </c>
      <c r="AM6" s="279">
        <f t="shared" si="17"/>
        <v>0</v>
      </c>
      <c r="AN6" s="279">
        <f t="shared" si="18"/>
        <v>0</v>
      </c>
      <c r="AO6" s="288">
        <f t="shared" si="19"/>
        <v>0</v>
      </c>
      <c r="AP6" s="279">
        <f t="shared" si="20"/>
        <v>74.2</v>
      </c>
      <c r="AQ6" s="288">
        <f t="shared" si="21"/>
        <v>0</v>
      </c>
      <c r="AR6" s="289">
        <f t="shared" si="22"/>
        <v>0</v>
      </c>
      <c r="AS6" s="279">
        <f t="shared" si="23"/>
        <v>0</v>
      </c>
      <c r="AT6" s="288">
        <f t="shared" si="24"/>
        <v>-1</v>
      </c>
      <c r="AU6" s="289">
        <f t="shared" si="25"/>
        <v>0</v>
      </c>
      <c r="AV6" s="279">
        <f t="shared" si="26"/>
        <v>0</v>
      </c>
      <c r="AW6" s="288">
        <f t="shared" si="27"/>
        <v>0</v>
      </c>
      <c r="AX6" s="289">
        <f t="shared" si="28"/>
        <v>-1</v>
      </c>
      <c r="AY6" s="290" t="s">
        <v>278</v>
      </c>
      <c r="AZ6" s="291">
        <v>679486300</v>
      </c>
      <c r="BA6" s="292">
        <v>75020</v>
      </c>
      <c r="BB6" s="303" t="s">
        <v>1192</v>
      </c>
      <c r="BC6" s="293">
        <v>672387987</v>
      </c>
      <c r="BD6" s="293"/>
      <c r="BE6" s="304" t="s">
        <v>1226</v>
      </c>
      <c r="BF6" s="274"/>
      <c r="BG6" s="270"/>
      <c r="BH6" s="268">
        <v>1</v>
      </c>
      <c r="BI6" s="273"/>
      <c r="BJ6" s="276">
        <v>24959</v>
      </c>
      <c r="BK6" s="294" t="s">
        <v>202</v>
      </c>
      <c r="BL6" s="269">
        <f t="shared" ca="1" si="29"/>
        <v>50</v>
      </c>
      <c r="BM6" s="270"/>
      <c r="BN6" s="271"/>
      <c r="BO6" s="272" t="str">
        <f t="shared" ca="1" si="30"/>
        <v/>
      </c>
      <c r="BP6" s="270"/>
      <c r="BQ6" s="271"/>
      <c r="BR6" s="272" t="str">
        <f t="shared" ca="1" si="31"/>
        <v/>
      </c>
      <c r="BS6" s="270"/>
      <c r="BT6" s="271"/>
      <c r="BU6" s="272" t="str">
        <f t="shared" ca="1" si="32"/>
        <v/>
      </c>
      <c r="BV6" s="270"/>
      <c r="BW6" s="271"/>
      <c r="BX6" s="272" t="str">
        <f t="shared" ca="1" si="33"/>
        <v/>
      </c>
      <c r="BY6" s="270"/>
      <c r="BZ6" s="271"/>
      <c r="CA6" s="272" t="str">
        <f t="shared" ca="1" si="34"/>
        <v/>
      </c>
      <c r="CB6" s="270"/>
      <c r="CC6" s="271"/>
      <c r="CD6" s="272" t="str">
        <f t="shared" ca="1" si="35"/>
        <v/>
      </c>
      <c r="CE6" s="270"/>
      <c r="CF6" s="271"/>
      <c r="CG6" s="272" t="str">
        <f t="shared" ca="1" si="36"/>
        <v/>
      </c>
      <c r="CH6" s="270"/>
      <c r="CI6" s="271"/>
      <c r="CJ6" s="272" t="str">
        <f t="shared" ca="1" si="37"/>
        <v/>
      </c>
      <c r="CK6" s="262"/>
      <c r="CL6" s="264"/>
      <c r="CM6" s="264"/>
      <c r="CN6" s="264"/>
      <c r="CO6" s="264"/>
      <c r="CP6" s="264"/>
      <c r="CQ6" s="264"/>
      <c r="CR6" s="262" t="s">
        <v>1194</v>
      </c>
      <c r="CS6" s="263" t="s">
        <v>1227</v>
      </c>
      <c r="CT6" s="297">
        <f t="shared" ca="1" si="38"/>
        <v>50</v>
      </c>
      <c r="CU6" s="264" t="s">
        <v>314</v>
      </c>
      <c r="CV6" s="265">
        <v>41153</v>
      </c>
      <c r="CW6" s="264" t="s">
        <v>351</v>
      </c>
      <c r="CX6" s="264" t="s">
        <v>483</v>
      </c>
      <c r="CY6" s="264" t="s">
        <v>350</v>
      </c>
      <c r="CZ6" s="264" t="s">
        <v>359</v>
      </c>
      <c r="DA6" s="264" t="s">
        <v>351</v>
      </c>
      <c r="DB6" s="266">
        <v>3600</v>
      </c>
      <c r="DC6" s="264" t="s">
        <v>343</v>
      </c>
      <c r="DD6" s="264" t="s">
        <v>362</v>
      </c>
      <c r="DE6" s="266">
        <v>0</v>
      </c>
      <c r="DF6" s="266">
        <v>129600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350</v>
      </c>
      <c r="DL6" s="267"/>
      <c r="DM6" s="261">
        <f t="shared" si="39"/>
        <v>0</v>
      </c>
      <c r="DN6" s="295" t="str">
        <f t="shared" si="40"/>
        <v>OK</v>
      </c>
    </row>
    <row r="7" spans="1:118" x14ac:dyDescent="0.25">
      <c r="A7" s="599" t="str">
        <f t="shared" si="41"/>
        <v>BARRIER Marie-Christine - APRIL - Prev. Pro</v>
      </c>
      <c r="B7" s="306"/>
      <c r="C7" s="305" t="s">
        <v>60</v>
      </c>
      <c r="D7" s="301" t="s">
        <v>1190</v>
      </c>
      <c r="E7" s="276">
        <v>43153</v>
      </c>
      <c r="F7" s="278" t="s">
        <v>547</v>
      </c>
      <c r="G7" s="311" t="s">
        <v>170</v>
      </c>
      <c r="H7" s="276">
        <v>43135</v>
      </c>
      <c r="I7" s="313">
        <f t="shared" si="1"/>
        <v>18</v>
      </c>
      <c r="J7" s="312" t="s">
        <v>16</v>
      </c>
      <c r="K7" s="268" t="s">
        <v>33</v>
      </c>
      <c r="L7" s="277" t="s">
        <v>133</v>
      </c>
      <c r="M7" s="279">
        <v>77.099999999999994</v>
      </c>
      <c r="N7" s="280">
        <v>77.099999999999994</v>
      </c>
      <c r="O7" s="280">
        <v>0</v>
      </c>
      <c r="P7" s="285" t="s">
        <v>57</v>
      </c>
      <c r="Q7" s="281" t="str">
        <f t="shared" si="2"/>
        <v/>
      </c>
      <c r="R7" s="282">
        <f t="shared" si="3"/>
        <v>925.19999999999993</v>
      </c>
      <c r="S7" s="268" t="s">
        <v>18</v>
      </c>
      <c r="T7" s="283">
        <f t="shared" si="4"/>
        <v>25</v>
      </c>
      <c r="U7" s="284">
        <f>IF(M7=0,0,IF(G7="Annulation","",IF(assurance="ALPTIS",M7*12*T7/100*'1803 Data'!$K$4,IF(assurance="APRIL",M7*12*T7/100*'1803 Data'!$F$4,IF(assurance="ASAF",M7*12*T7/100*'1803 Data'!$I$4,IF(assurance="NEOLIANE",('1803 Data'!$G$5+M7*12*'1803 Data'!$G$4)*T7/100,IF(assurance="NEOLIANE Prev",('1803 Data'!$H$5+M7*12*'1803 Data'!$H$4)*T7/100,IF(assurance="SWISSLIFE",M7*12*T7/100*'1803 Data'!$J$4,IF(assurance="AVIVA",M7*12*T7/100*'1803 Data'!$L$4,IF(assurance="CIPRES",M7*12*T7/100*'1803 Data'!$M$4,IF(assurance="CEGEMA",M7*12*T7/100*'1803 Data'!$N$4,IF(assurance=0,0))))))))))))</f>
        <v>26.206289999999999</v>
      </c>
      <c r="V7" s="298">
        <f t="shared" si="5"/>
        <v>231.29999999999998</v>
      </c>
      <c r="W7" s="298">
        <f t="shared" si="6"/>
        <v>0</v>
      </c>
      <c r="X7" s="299">
        <f t="shared" si="42"/>
        <v>205.09370999999999</v>
      </c>
      <c r="Y7" s="368">
        <f t="shared" si="7"/>
        <v>0</v>
      </c>
      <c r="Z7" s="314">
        <v>43160</v>
      </c>
      <c r="AA7" s="313">
        <f t="shared" si="8"/>
        <v>7</v>
      </c>
      <c r="AB7" s="268" t="s">
        <v>13</v>
      </c>
      <c r="AC7" s="277"/>
      <c r="AD7" s="309" t="str">
        <f t="shared" si="9"/>
        <v/>
      </c>
      <c r="AE7" s="286" t="str">
        <f t="shared" si="10"/>
        <v/>
      </c>
      <c r="AF7" s="277"/>
      <c r="AG7" s="275">
        <f t="shared" si="11"/>
        <v>43466</v>
      </c>
      <c r="AH7" s="287">
        <f t="shared" ca="1" si="12"/>
        <v>0.27123287671232876</v>
      </c>
      <c r="AI7" s="373">
        <f t="shared" ca="1" si="13"/>
        <v>43466</v>
      </c>
      <c r="AJ7" s="275">
        <f t="shared" ca="1" si="14"/>
        <v>43404</v>
      </c>
      <c r="AK7" s="296">
        <f t="shared" ca="1" si="15"/>
        <v>43374</v>
      </c>
      <c r="AL7" s="287">
        <f t="shared" ca="1" si="16"/>
        <v>0.83835616438356164</v>
      </c>
      <c r="AM7" s="279">
        <f t="shared" si="17"/>
        <v>0</v>
      </c>
      <c r="AN7" s="279">
        <f t="shared" si="18"/>
        <v>0</v>
      </c>
      <c r="AO7" s="288">
        <f t="shared" si="19"/>
        <v>0</v>
      </c>
      <c r="AP7" s="279">
        <f t="shared" si="20"/>
        <v>77.099999999999994</v>
      </c>
      <c r="AQ7" s="288">
        <f t="shared" si="21"/>
        <v>0</v>
      </c>
      <c r="AR7" s="289">
        <f t="shared" si="22"/>
        <v>0</v>
      </c>
      <c r="AS7" s="279">
        <f t="shared" si="23"/>
        <v>0</v>
      </c>
      <c r="AT7" s="288">
        <f t="shared" si="24"/>
        <v>-1</v>
      </c>
      <c r="AU7" s="289">
        <f t="shared" si="25"/>
        <v>0</v>
      </c>
      <c r="AV7" s="279">
        <f t="shared" si="26"/>
        <v>0</v>
      </c>
      <c r="AW7" s="288">
        <f t="shared" si="27"/>
        <v>0</v>
      </c>
      <c r="AX7" s="289">
        <f t="shared" si="28"/>
        <v>-1</v>
      </c>
      <c r="AY7" s="290" t="s">
        <v>278</v>
      </c>
      <c r="AZ7" s="291">
        <v>679487800</v>
      </c>
      <c r="BA7" s="292">
        <v>75020</v>
      </c>
      <c r="BB7" s="303" t="s">
        <v>1192</v>
      </c>
      <c r="BC7" s="293">
        <v>672387987</v>
      </c>
      <c r="BD7" s="293"/>
      <c r="BE7" s="304" t="s">
        <v>1218</v>
      </c>
      <c r="BF7" s="274"/>
      <c r="BG7" s="270"/>
      <c r="BH7" s="268">
        <v>1</v>
      </c>
      <c r="BI7" s="273"/>
      <c r="BJ7" s="276">
        <v>24657</v>
      </c>
      <c r="BK7" s="294" t="s">
        <v>202</v>
      </c>
      <c r="BL7" s="269">
        <f t="shared" ca="1" si="29"/>
        <v>50</v>
      </c>
      <c r="BM7" s="270"/>
      <c r="BN7" s="271"/>
      <c r="BO7" s="272" t="str">
        <f t="shared" ca="1" si="30"/>
        <v/>
      </c>
      <c r="BP7" s="270"/>
      <c r="BQ7" s="271"/>
      <c r="BR7" s="272" t="str">
        <f t="shared" ca="1" si="31"/>
        <v/>
      </c>
      <c r="BS7" s="270"/>
      <c r="BT7" s="271"/>
      <c r="BU7" s="272" t="str">
        <f t="shared" ca="1" si="32"/>
        <v/>
      </c>
      <c r="BV7" s="270"/>
      <c r="BW7" s="271"/>
      <c r="BX7" s="272" t="str">
        <f t="shared" ca="1" si="33"/>
        <v/>
      </c>
      <c r="BY7" s="270"/>
      <c r="BZ7" s="271"/>
      <c r="CA7" s="272" t="str">
        <f t="shared" ca="1" si="34"/>
        <v/>
      </c>
      <c r="CB7" s="270"/>
      <c r="CC7" s="271"/>
      <c r="CD7" s="272" t="str">
        <f t="shared" ca="1" si="35"/>
        <v/>
      </c>
      <c r="CE7" s="270"/>
      <c r="CF7" s="271"/>
      <c r="CG7" s="272" t="str">
        <f t="shared" ca="1" si="36"/>
        <v/>
      </c>
      <c r="CH7" s="270"/>
      <c r="CI7" s="271"/>
      <c r="CJ7" s="272" t="str">
        <f t="shared" ca="1" si="37"/>
        <v/>
      </c>
      <c r="CK7" s="262"/>
      <c r="CL7" s="264"/>
      <c r="CM7" s="264"/>
      <c r="CN7" s="264"/>
      <c r="CO7" s="264"/>
      <c r="CP7" s="264"/>
      <c r="CQ7" s="264"/>
      <c r="CR7" s="262" t="s">
        <v>1194</v>
      </c>
      <c r="CS7" s="263" t="s">
        <v>1227</v>
      </c>
      <c r="CT7" s="297">
        <f t="shared" ca="1" si="38"/>
        <v>50</v>
      </c>
      <c r="CU7" s="264" t="s">
        <v>318</v>
      </c>
      <c r="CV7" s="265">
        <v>35431</v>
      </c>
      <c r="CW7" s="264" t="s">
        <v>351</v>
      </c>
      <c r="CX7" s="264" t="s">
        <v>483</v>
      </c>
      <c r="CY7" s="264" t="s">
        <v>351</v>
      </c>
      <c r="CZ7" s="264" t="s">
        <v>356</v>
      </c>
      <c r="DA7" s="264" t="s">
        <v>388</v>
      </c>
      <c r="DB7" s="266">
        <v>1500</v>
      </c>
      <c r="DC7" s="264" t="s">
        <v>365</v>
      </c>
      <c r="DD7" s="264" t="s">
        <v>362</v>
      </c>
      <c r="DE7" s="266">
        <v>600</v>
      </c>
      <c r="DF7" s="266">
        <v>50000</v>
      </c>
      <c r="DG7" s="264" t="s">
        <v>372</v>
      </c>
      <c r="DH7" s="266">
        <v>0</v>
      </c>
      <c r="DI7" s="266">
        <v>0</v>
      </c>
      <c r="DJ7" s="264" t="s">
        <v>351</v>
      </c>
      <c r="DK7" s="264" t="s">
        <v>350</v>
      </c>
      <c r="DL7" s="267"/>
      <c r="DM7" s="261">
        <f t="shared" si="39"/>
        <v>0</v>
      </c>
      <c r="DN7" s="295" t="str">
        <f t="shared" si="40"/>
        <v>OK</v>
      </c>
    </row>
    <row r="8" spans="1:118" x14ac:dyDescent="0.25">
      <c r="A8" s="599" t="str">
        <f t="shared" si="41"/>
        <v>GUERNIER Michel - APRIL - Prev. Pro</v>
      </c>
      <c r="B8" s="306"/>
      <c r="C8" s="305" t="s">
        <v>55</v>
      </c>
      <c r="D8" s="301" t="s">
        <v>538</v>
      </c>
      <c r="E8" s="276">
        <v>43157</v>
      </c>
      <c r="F8" s="278" t="s">
        <v>546</v>
      </c>
      <c r="G8" s="311" t="s">
        <v>170</v>
      </c>
      <c r="H8" s="276">
        <v>43137</v>
      </c>
      <c r="I8" s="313">
        <f t="shared" si="1"/>
        <v>20</v>
      </c>
      <c r="J8" s="312" t="s">
        <v>16</v>
      </c>
      <c r="K8" s="268" t="s">
        <v>33</v>
      </c>
      <c r="L8" s="277" t="s">
        <v>133</v>
      </c>
      <c r="M8" s="279">
        <v>294.87</v>
      </c>
      <c r="N8" s="280">
        <v>294.87</v>
      </c>
      <c r="O8" s="280">
        <v>0</v>
      </c>
      <c r="P8" s="285" t="s">
        <v>57</v>
      </c>
      <c r="Q8" s="281" t="str">
        <f t="shared" si="2"/>
        <v/>
      </c>
      <c r="R8" s="282">
        <f t="shared" si="3"/>
        <v>3538.44</v>
      </c>
      <c r="S8" s="268" t="s">
        <v>18</v>
      </c>
      <c r="T8" s="283">
        <f t="shared" si="4"/>
        <v>25</v>
      </c>
      <c r="U8" s="284">
        <f>IF(M8=0,0,IF(G8="Annulation","",IF(assurance="ALPTIS",M8*12*T8/100*'1803 Data'!$K$4,IF(assurance="APRIL",M8*12*T8/100*'1803 Data'!$F$4,IF(assurance="ASAF",M8*12*T8/100*'1803 Data'!$I$4,IF(assurance="NEOLIANE",('1803 Data'!$G$5+M8*12*'1803 Data'!$G$4)*T8/100,IF(assurance="NEOLIANE Prev",('1803 Data'!$H$5+M8*12*'1803 Data'!$H$4)*T8/100,IF(assurance="SWISSLIFE",M8*12*T8/100*'1803 Data'!$J$4,IF(assurance="AVIVA",M8*12*T8/100*'1803 Data'!$L$4,IF(assurance="CIPRES",M8*12*T8/100*'1803 Data'!$M$4,IF(assurance="CEGEMA",M8*12*T8/100*'1803 Data'!$N$4,IF(assurance=0,0))))))))))))</f>
        <v>100.226313</v>
      </c>
      <c r="V8" s="298">
        <f t="shared" si="5"/>
        <v>884.61</v>
      </c>
      <c r="W8" s="298">
        <f t="shared" si="6"/>
        <v>0</v>
      </c>
      <c r="X8" s="299">
        <f t="shared" si="42"/>
        <v>784.38368700000001</v>
      </c>
      <c r="Y8" s="368">
        <f t="shared" si="7"/>
        <v>0</v>
      </c>
      <c r="Z8" s="314">
        <v>43160</v>
      </c>
      <c r="AA8" s="313">
        <f t="shared" si="8"/>
        <v>3</v>
      </c>
      <c r="AB8" s="268" t="s">
        <v>13</v>
      </c>
      <c r="AC8" s="277"/>
      <c r="AD8" s="309" t="str">
        <f t="shared" si="9"/>
        <v/>
      </c>
      <c r="AE8" s="286" t="str">
        <f t="shared" si="10"/>
        <v/>
      </c>
      <c r="AF8" s="277"/>
      <c r="AG8" s="275">
        <f t="shared" si="11"/>
        <v>43466</v>
      </c>
      <c r="AH8" s="287">
        <f t="shared" ca="1" si="12"/>
        <v>0.27123287671232876</v>
      </c>
      <c r="AI8" s="373">
        <f t="shared" ca="1" si="13"/>
        <v>43466</v>
      </c>
      <c r="AJ8" s="275">
        <f t="shared" ca="1" si="14"/>
        <v>43404</v>
      </c>
      <c r="AK8" s="296">
        <f t="shared" ca="1" si="15"/>
        <v>43374</v>
      </c>
      <c r="AL8" s="287">
        <f t="shared" ca="1" si="16"/>
        <v>0.83835616438356164</v>
      </c>
      <c r="AM8" s="279">
        <f t="shared" si="17"/>
        <v>0</v>
      </c>
      <c r="AN8" s="279">
        <f t="shared" si="18"/>
        <v>0</v>
      </c>
      <c r="AO8" s="288">
        <f t="shared" si="19"/>
        <v>0</v>
      </c>
      <c r="AP8" s="279">
        <f t="shared" si="20"/>
        <v>294.87</v>
      </c>
      <c r="AQ8" s="288">
        <f t="shared" si="21"/>
        <v>0</v>
      </c>
      <c r="AR8" s="289">
        <f t="shared" si="22"/>
        <v>0</v>
      </c>
      <c r="AS8" s="279">
        <f t="shared" si="23"/>
        <v>0</v>
      </c>
      <c r="AT8" s="288">
        <f t="shared" si="24"/>
        <v>-1</v>
      </c>
      <c r="AU8" s="289">
        <f t="shared" si="25"/>
        <v>0</v>
      </c>
      <c r="AV8" s="279">
        <f t="shared" si="26"/>
        <v>0</v>
      </c>
      <c r="AW8" s="288">
        <f t="shared" si="27"/>
        <v>0</v>
      </c>
      <c r="AX8" s="289">
        <f t="shared" si="28"/>
        <v>-1</v>
      </c>
      <c r="AY8" s="290" t="s">
        <v>277</v>
      </c>
      <c r="AZ8" s="291">
        <v>679542200</v>
      </c>
      <c r="BA8" s="292">
        <v>54800</v>
      </c>
      <c r="BB8" s="303" t="s">
        <v>1220</v>
      </c>
      <c r="BC8" s="293">
        <v>682841770</v>
      </c>
      <c r="BD8" s="293"/>
      <c r="BE8" s="304" t="s">
        <v>1219</v>
      </c>
      <c r="BF8" s="274"/>
      <c r="BG8" s="270"/>
      <c r="BH8" s="268">
        <v>1</v>
      </c>
      <c r="BI8" s="273"/>
      <c r="BJ8" s="276">
        <v>23789</v>
      </c>
      <c r="BK8" s="294" t="s">
        <v>202</v>
      </c>
      <c r="BL8" s="269">
        <f t="shared" ca="1" si="29"/>
        <v>53</v>
      </c>
      <c r="BM8" s="270"/>
      <c r="BN8" s="271"/>
      <c r="BO8" s="272" t="str">
        <f t="shared" ca="1" si="30"/>
        <v/>
      </c>
      <c r="BP8" s="270"/>
      <c r="BQ8" s="271"/>
      <c r="BR8" s="272" t="str">
        <f t="shared" ca="1" si="31"/>
        <v/>
      </c>
      <c r="BS8" s="270"/>
      <c r="BT8" s="271"/>
      <c r="BU8" s="272" t="str">
        <f t="shared" ca="1" si="32"/>
        <v/>
      </c>
      <c r="BV8" s="270"/>
      <c r="BW8" s="271"/>
      <c r="BX8" s="272" t="str">
        <f t="shared" ca="1" si="33"/>
        <v/>
      </c>
      <c r="BY8" s="270"/>
      <c r="BZ8" s="271"/>
      <c r="CA8" s="272" t="str">
        <f t="shared" ca="1" si="34"/>
        <v/>
      </c>
      <c r="CB8" s="270"/>
      <c r="CC8" s="271"/>
      <c r="CD8" s="272" t="str">
        <f t="shared" ca="1" si="35"/>
        <v/>
      </c>
      <c r="CE8" s="270"/>
      <c r="CF8" s="271"/>
      <c r="CG8" s="272" t="str">
        <f t="shared" ca="1" si="36"/>
        <v/>
      </c>
      <c r="CH8" s="270"/>
      <c r="CI8" s="271"/>
      <c r="CJ8" s="272" t="str">
        <f t="shared" ca="1" si="37"/>
        <v/>
      </c>
      <c r="CK8" s="262"/>
      <c r="CL8" s="264"/>
      <c r="CM8" s="264"/>
      <c r="CN8" s="264"/>
      <c r="CO8" s="264"/>
      <c r="CP8" s="264"/>
      <c r="CQ8" s="264"/>
      <c r="CR8" s="262" t="s">
        <v>1228</v>
      </c>
      <c r="CS8" s="263" t="s">
        <v>1229</v>
      </c>
      <c r="CT8" s="297">
        <f t="shared" ca="1" si="38"/>
        <v>53</v>
      </c>
      <c r="CU8" s="264" t="s">
        <v>108</v>
      </c>
      <c r="CV8" s="265">
        <v>43160</v>
      </c>
      <c r="CW8" s="264" t="s">
        <v>307</v>
      </c>
      <c r="CX8" s="264" t="s">
        <v>483</v>
      </c>
      <c r="CY8" s="264" t="s">
        <v>351</v>
      </c>
      <c r="CZ8" s="264" t="s">
        <v>356</v>
      </c>
      <c r="DA8" s="264" t="s">
        <v>387</v>
      </c>
      <c r="DB8" s="266">
        <v>1500</v>
      </c>
      <c r="DC8" s="264" t="s">
        <v>365</v>
      </c>
      <c r="DD8" s="264" t="s">
        <v>362</v>
      </c>
      <c r="DE8" s="266">
        <v>0</v>
      </c>
      <c r="DF8" s="266">
        <v>50000</v>
      </c>
      <c r="DG8" s="264" t="s">
        <v>35</v>
      </c>
      <c r="DH8" s="266">
        <v>0</v>
      </c>
      <c r="DI8" s="266">
        <v>0</v>
      </c>
      <c r="DJ8" s="264" t="s">
        <v>351</v>
      </c>
      <c r="DK8" s="264" t="s">
        <v>351</v>
      </c>
      <c r="DL8" s="267"/>
      <c r="DM8" s="261">
        <f t="shared" si="39"/>
        <v>0</v>
      </c>
      <c r="DN8" s="295" t="str">
        <f t="shared" si="40"/>
        <v>OK</v>
      </c>
    </row>
    <row r="9" spans="1:118" x14ac:dyDescent="0.25">
      <c r="A9" s="599" t="str">
        <f t="shared" si="41"/>
        <v>MACHOUX Julien - SWISSLIFE - Prev. Pro</v>
      </c>
      <c r="B9" s="306"/>
      <c r="C9" s="305" t="s">
        <v>113</v>
      </c>
      <c r="D9" s="301" t="s">
        <v>1233</v>
      </c>
      <c r="E9" s="276">
        <v>43161</v>
      </c>
      <c r="F9" s="278" t="s">
        <v>546</v>
      </c>
      <c r="G9" s="311" t="s">
        <v>170</v>
      </c>
      <c r="H9" s="276">
        <v>43154</v>
      </c>
      <c r="I9" s="313">
        <f t="shared" si="1"/>
        <v>7</v>
      </c>
      <c r="J9" s="312" t="s">
        <v>16</v>
      </c>
      <c r="K9" s="268" t="s">
        <v>12</v>
      </c>
      <c r="L9" s="277" t="s">
        <v>26</v>
      </c>
      <c r="M9" s="279">
        <v>72.010000000000005</v>
      </c>
      <c r="N9" s="280">
        <v>72.010000000000005</v>
      </c>
      <c r="O9" s="280">
        <v>0</v>
      </c>
      <c r="P9" s="285" t="s">
        <v>57</v>
      </c>
      <c r="Q9" s="281" t="str">
        <f t="shared" si="2"/>
        <v/>
      </c>
      <c r="R9" s="282">
        <f t="shared" si="3"/>
        <v>864.12000000000012</v>
      </c>
      <c r="S9" s="268" t="s">
        <v>18</v>
      </c>
      <c r="T9" s="283">
        <f t="shared" si="4"/>
        <v>25</v>
      </c>
      <c r="U9" s="284">
        <f>IF(M9=0,0,IF(G9="Annulation","",IF(assurance="ALPTIS",M9*12*T9/100*'1803 Data'!$K$4,IF(assurance="APRIL",M9*12*T9/100*'1803 Data'!$F$4,IF(assurance="ASAF",M9*12*T9/100*'1803 Data'!$I$4,IF(assurance="NEOLIANE",('1803 Data'!$G$5+M9*12*'1803 Data'!$G$4)*T9/100,IF(assurance="NEOLIANE Prev",('1803 Data'!$H$5+M9*12*'1803 Data'!$H$4)*T9/100,IF(assurance="SWISSLIFE",M9*12*T9/100*'1803 Data'!$J$4,IF(assurance="AVIVA",M9*12*T9/100*'1803 Data'!$L$4,IF(assurance="CIPRES",M9*12*T9/100*'1803 Data'!$M$4,IF(assurance="CEGEMA",M9*12*T9/100*'1803 Data'!$N$4,IF(assurance=0,0))))))))))))</f>
        <v>30.028170000000006</v>
      </c>
      <c r="V9" s="298">
        <f t="shared" si="5"/>
        <v>216.03000000000003</v>
      </c>
      <c r="W9" s="298">
        <f t="shared" si="6"/>
        <v>0</v>
      </c>
      <c r="X9" s="299">
        <f t="shared" si="42"/>
        <v>186.00183000000001</v>
      </c>
      <c r="Y9" s="368">
        <f t="shared" si="7"/>
        <v>0</v>
      </c>
      <c r="Z9" s="314">
        <v>43164</v>
      </c>
      <c r="AA9" s="313">
        <f t="shared" si="8"/>
        <v>3</v>
      </c>
      <c r="AB9" s="268" t="s">
        <v>13</v>
      </c>
      <c r="AC9" s="277"/>
      <c r="AD9" s="309" t="str">
        <f t="shared" si="9"/>
        <v/>
      </c>
      <c r="AE9" s="286" t="str">
        <f t="shared" si="10"/>
        <v/>
      </c>
      <c r="AF9" s="277"/>
      <c r="AG9" s="275">
        <f t="shared" si="11"/>
        <v>43529</v>
      </c>
      <c r="AH9" s="287">
        <f t="shared" ca="1" si="12"/>
        <v>0.26027397260273971</v>
      </c>
      <c r="AI9" s="373">
        <f t="shared" ca="1" si="13"/>
        <v>43529</v>
      </c>
      <c r="AJ9" s="275">
        <f t="shared" ca="1" si="14"/>
        <v>43467</v>
      </c>
      <c r="AK9" s="296">
        <f t="shared" ca="1" si="15"/>
        <v>43437</v>
      </c>
      <c r="AL9" s="287">
        <f t="shared" ca="1" si="16"/>
        <v>1</v>
      </c>
      <c r="AM9" s="279">
        <f t="shared" si="17"/>
        <v>0</v>
      </c>
      <c r="AN9" s="279">
        <f t="shared" si="18"/>
        <v>0</v>
      </c>
      <c r="AO9" s="288">
        <f t="shared" si="19"/>
        <v>0</v>
      </c>
      <c r="AP9" s="279">
        <f t="shared" si="20"/>
        <v>72.010000000000005</v>
      </c>
      <c r="AQ9" s="288">
        <f t="shared" si="21"/>
        <v>0</v>
      </c>
      <c r="AR9" s="289">
        <f t="shared" si="22"/>
        <v>0</v>
      </c>
      <c r="AS9" s="279">
        <f t="shared" si="23"/>
        <v>0</v>
      </c>
      <c r="AT9" s="288">
        <f t="shared" si="24"/>
        <v>-1</v>
      </c>
      <c r="AU9" s="289">
        <f t="shared" si="25"/>
        <v>0</v>
      </c>
      <c r="AV9" s="279">
        <f t="shared" si="26"/>
        <v>0</v>
      </c>
      <c r="AW9" s="288">
        <f t="shared" si="27"/>
        <v>0</v>
      </c>
      <c r="AX9" s="289">
        <f t="shared" si="28"/>
        <v>-1</v>
      </c>
      <c r="AY9" s="290" t="s">
        <v>278</v>
      </c>
      <c r="AZ9" s="291" t="s">
        <v>1230</v>
      </c>
      <c r="BA9" s="292">
        <v>75019</v>
      </c>
      <c r="BB9" s="303" t="s">
        <v>1231</v>
      </c>
      <c r="BC9" s="293">
        <v>613168300</v>
      </c>
      <c r="BD9" s="293"/>
      <c r="BE9" s="304" t="s">
        <v>1232</v>
      </c>
      <c r="BF9" s="274"/>
      <c r="BG9" s="270"/>
      <c r="BH9" s="268">
        <v>1</v>
      </c>
      <c r="BI9" s="273"/>
      <c r="BJ9" s="276">
        <v>30462</v>
      </c>
      <c r="BK9" s="294" t="s">
        <v>202</v>
      </c>
      <c r="BL9" s="269">
        <f t="shared" ca="1" si="29"/>
        <v>35</v>
      </c>
      <c r="BM9" s="270"/>
      <c r="BN9" s="271"/>
      <c r="BO9" s="272" t="str">
        <f t="shared" ca="1" si="30"/>
        <v/>
      </c>
      <c r="BP9" s="270"/>
      <c r="BQ9" s="271"/>
      <c r="BR9" s="272" t="str">
        <f t="shared" ca="1" si="31"/>
        <v/>
      </c>
      <c r="BS9" s="270"/>
      <c r="BT9" s="271"/>
      <c r="BU9" s="272" t="str">
        <f t="shared" ca="1" si="32"/>
        <v/>
      </c>
      <c r="BV9" s="270"/>
      <c r="BW9" s="271"/>
      <c r="BX9" s="272" t="str">
        <f t="shared" ca="1" si="33"/>
        <v/>
      </c>
      <c r="BY9" s="270"/>
      <c r="BZ9" s="271"/>
      <c r="CA9" s="272" t="str">
        <f t="shared" ca="1" si="34"/>
        <v/>
      </c>
      <c r="CB9" s="270"/>
      <c r="CC9" s="271"/>
      <c r="CD9" s="272" t="str">
        <f t="shared" ca="1" si="35"/>
        <v/>
      </c>
      <c r="CE9" s="270"/>
      <c r="CF9" s="271"/>
      <c r="CG9" s="272" t="str">
        <f t="shared" ca="1" si="36"/>
        <v/>
      </c>
      <c r="CH9" s="270"/>
      <c r="CI9" s="271"/>
      <c r="CJ9" s="272" t="str">
        <f t="shared" ca="1" si="37"/>
        <v/>
      </c>
      <c r="CK9" s="262"/>
      <c r="CL9" s="264"/>
      <c r="CM9" s="264"/>
      <c r="CN9" s="264"/>
      <c r="CO9" s="264"/>
      <c r="CP9" s="264"/>
      <c r="CQ9" s="264"/>
      <c r="CR9" s="262" t="s">
        <v>1265</v>
      </c>
      <c r="CS9" s="263" t="s">
        <v>532</v>
      </c>
      <c r="CT9" s="297">
        <f t="shared" ca="1" si="38"/>
        <v>35</v>
      </c>
      <c r="CU9" s="264" t="s">
        <v>108</v>
      </c>
      <c r="CV9" s="265">
        <v>32818</v>
      </c>
      <c r="CW9" s="264" t="s">
        <v>351</v>
      </c>
      <c r="CX9" s="264" t="s">
        <v>483</v>
      </c>
      <c r="CY9" s="264" t="s">
        <v>351</v>
      </c>
      <c r="CZ9" s="264" t="s">
        <v>356</v>
      </c>
      <c r="DA9" s="264" t="s">
        <v>386</v>
      </c>
      <c r="DB9" s="266">
        <v>3900</v>
      </c>
      <c r="DC9" s="264" t="s">
        <v>365</v>
      </c>
      <c r="DD9" s="264" t="s">
        <v>362</v>
      </c>
      <c r="DE9" s="266">
        <v>1500</v>
      </c>
      <c r="DF9" s="266">
        <v>130000</v>
      </c>
      <c r="DG9" s="264" t="s">
        <v>35</v>
      </c>
      <c r="DH9" s="266">
        <v>0</v>
      </c>
      <c r="DI9" s="266">
        <v>0</v>
      </c>
      <c r="DJ9" s="264" t="s">
        <v>351</v>
      </c>
      <c r="DK9" s="264" t="s">
        <v>350</v>
      </c>
      <c r="DL9" s="267"/>
      <c r="DM9" s="261">
        <f t="shared" si="39"/>
        <v>0</v>
      </c>
      <c r="DN9" s="295" t="str">
        <f t="shared" si="40"/>
        <v>OK</v>
      </c>
    </row>
    <row r="10" spans="1:118" x14ac:dyDescent="0.25">
      <c r="A10" s="599" t="str">
        <f t="shared" si="41"/>
        <v>MARTINEAU FIGUETTE Jean - SWISSLIFE - Prev. Pro</v>
      </c>
      <c r="B10" s="306"/>
      <c r="C10" s="305" t="s">
        <v>1234</v>
      </c>
      <c r="D10" s="301" t="s">
        <v>1235</v>
      </c>
      <c r="E10" s="276">
        <v>43172</v>
      </c>
      <c r="F10" s="278" t="s">
        <v>546</v>
      </c>
      <c r="G10" s="311" t="s">
        <v>170</v>
      </c>
      <c r="H10" s="276">
        <v>43159</v>
      </c>
      <c r="I10" s="313">
        <f t="shared" si="1"/>
        <v>13</v>
      </c>
      <c r="J10" s="312" t="s">
        <v>16</v>
      </c>
      <c r="K10" s="268" t="s">
        <v>12</v>
      </c>
      <c r="L10" s="277" t="s">
        <v>26</v>
      </c>
      <c r="M10" s="279">
        <v>34.69</v>
      </c>
      <c r="N10" s="280">
        <v>34.69</v>
      </c>
      <c r="O10" s="280">
        <v>0</v>
      </c>
      <c r="P10" s="285" t="s">
        <v>57</v>
      </c>
      <c r="Q10" s="281" t="str">
        <f t="shared" si="2"/>
        <v/>
      </c>
      <c r="R10" s="282">
        <f t="shared" si="3"/>
        <v>416.28</v>
      </c>
      <c r="S10" s="268" t="s">
        <v>18</v>
      </c>
      <c r="T10" s="283">
        <f t="shared" si="4"/>
        <v>25</v>
      </c>
      <c r="U10" s="284">
        <f>IF(M10=0,0,IF(G10="Annulation","",IF(assurance="ALPTIS",M10*12*T10/100*'1803 Data'!$K$4,IF(assurance="APRIL",M10*12*T10/100*'1803 Data'!$F$4,IF(assurance="ASAF",M10*12*T10/100*'1803 Data'!$I$4,IF(assurance="NEOLIANE",('1803 Data'!$G$5+M10*12*'1803 Data'!$G$4)*T10/100,IF(assurance="NEOLIANE Prev",('1803 Data'!$H$5+M10*12*'1803 Data'!$H$4)*T10/100,IF(assurance="SWISSLIFE",M10*12*T10/100*'1803 Data'!$J$4,IF(assurance="AVIVA",M10*12*T10/100*'1803 Data'!$L$4,IF(assurance="CIPRES",M10*12*T10/100*'1803 Data'!$M$4,IF(assurance="CEGEMA",M10*12*T10/100*'1803 Data'!$N$4,IF(assurance=0,0))))))))))))</f>
        <v>14.465730000000001</v>
      </c>
      <c r="V10" s="298">
        <f t="shared" si="5"/>
        <v>104.07</v>
      </c>
      <c r="W10" s="298">
        <f t="shared" si="6"/>
        <v>0</v>
      </c>
      <c r="X10" s="299">
        <f t="shared" si="42"/>
        <v>89.604269999999985</v>
      </c>
      <c r="Y10" s="368">
        <f t="shared" si="7"/>
        <v>0</v>
      </c>
      <c r="Z10" s="314">
        <v>43191</v>
      </c>
      <c r="AA10" s="313">
        <f t="shared" si="8"/>
        <v>19</v>
      </c>
      <c r="AB10" s="268" t="s">
        <v>13</v>
      </c>
      <c r="AC10" s="277"/>
      <c r="AD10" s="309" t="str">
        <f t="shared" si="9"/>
        <v/>
      </c>
      <c r="AE10" s="286" t="str">
        <f t="shared" si="10"/>
        <v/>
      </c>
      <c r="AF10" s="277"/>
      <c r="AG10" s="275">
        <f t="shared" si="11"/>
        <v>43556</v>
      </c>
      <c r="AH10" s="287">
        <f t="shared" ca="1" si="12"/>
        <v>0.18630136986301371</v>
      </c>
      <c r="AI10" s="373">
        <f t="shared" ca="1" si="13"/>
        <v>43556</v>
      </c>
      <c r="AJ10" s="275">
        <f t="shared" ca="1" si="14"/>
        <v>43494</v>
      </c>
      <c r="AK10" s="296">
        <f t="shared" ca="1" si="15"/>
        <v>43464</v>
      </c>
      <c r="AL10" s="287">
        <f t="shared" ca="1" si="16"/>
        <v>1</v>
      </c>
      <c r="AM10" s="279">
        <f t="shared" si="17"/>
        <v>0</v>
      </c>
      <c r="AN10" s="279">
        <f t="shared" si="18"/>
        <v>0</v>
      </c>
      <c r="AO10" s="288">
        <f t="shared" si="19"/>
        <v>0</v>
      </c>
      <c r="AP10" s="279">
        <f t="shared" si="20"/>
        <v>34.69</v>
      </c>
      <c r="AQ10" s="288">
        <f t="shared" si="21"/>
        <v>0</v>
      </c>
      <c r="AR10" s="289">
        <f t="shared" si="22"/>
        <v>0</v>
      </c>
      <c r="AS10" s="279">
        <f t="shared" si="23"/>
        <v>0</v>
      </c>
      <c r="AT10" s="288">
        <f t="shared" si="24"/>
        <v>-1</v>
      </c>
      <c r="AU10" s="289">
        <f t="shared" si="25"/>
        <v>0</v>
      </c>
      <c r="AV10" s="279">
        <f t="shared" si="26"/>
        <v>0</v>
      </c>
      <c r="AW10" s="288">
        <f t="shared" si="27"/>
        <v>0</v>
      </c>
      <c r="AX10" s="289">
        <f t="shared" si="28"/>
        <v>-1</v>
      </c>
      <c r="AY10" s="290" t="s">
        <v>278</v>
      </c>
      <c r="AZ10" s="291" t="s">
        <v>1236</v>
      </c>
      <c r="BA10" s="292">
        <v>31100</v>
      </c>
      <c r="BB10" s="303" t="s">
        <v>1237</v>
      </c>
      <c r="BC10" s="293">
        <v>760970044</v>
      </c>
      <c r="BD10" s="293"/>
      <c r="BE10" s="304" t="s">
        <v>1238</v>
      </c>
      <c r="BF10" s="274"/>
      <c r="BG10" s="270"/>
      <c r="BH10" s="268">
        <v>1</v>
      </c>
      <c r="BI10" s="273"/>
      <c r="BJ10" s="276">
        <v>29885</v>
      </c>
      <c r="BK10" s="294" t="s">
        <v>202</v>
      </c>
      <c r="BL10" s="269">
        <f t="shared" ca="1" si="29"/>
        <v>36</v>
      </c>
      <c r="BM10" s="270"/>
      <c r="BN10" s="271"/>
      <c r="BO10" s="272" t="str">
        <f t="shared" ca="1" si="30"/>
        <v/>
      </c>
      <c r="BP10" s="270"/>
      <c r="BQ10" s="271"/>
      <c r="BR10" s="272" t="str">
        <f t="shared" ca="1" si="31"/>
        <v/>
      </c>
      <c r="BS10" s="270"/>
      <c r="BT10" s="271"/>
      <c r="BU10" s="272" t="str">
        <f t="shared" ca="1" si="32"/>
        <v/>
      </c>
      <c r="BV10" s="270"/>
      <c r="BW10" s="271"/>
      <c r="BX10" s="272" t="str">
        <f t="shared" ca="1" si="33"/>
        <v/>
      </c>
      <c r="BY10" s="270"/>
      <c r="BZ10" s="271"/>
      <c r="CA10" s="272" t="str">
        <f t="shared" ca="1" si="34"/>
        <v/>
      </c>
      <c r="CB10" s="270"/>
      <c r="CC10" s="271"/>
      <c r="CD10" s="272" t="str">
        <f t="shared" ca="1" si="35"/>
        <v/>
      </c>
      <c r="CE10" s="270"/>
      <c r="CF10" s="271"/>
      <c r="CG10" s="272" t="str">
        <f t="shared" ca="1" si="36"/>
        <v/>
      </c>
      <c r="CH10" s="270"/>
      <c r="CI10" s="271"/>
      <c r="CJ10" s="272" t="str">
        <f t="shared" ca="1" si="37"/>
        <v/>
      </c>
      <c r="CK10" s="262"/>
      <c r="CL10" s="264"/>
      <c r="CM10" s="264"/>
      <c r="CN10" s="264"/>
      <c r="CO10" s="264"/>
      <c r="CP10" s="264"/>
      <c r="CQ10" s="264"/>
      <c r="CR10" s="262" t="s">
        <v>1186</v>
      </c>
      <c r="CS10" s="263" t="s">
        <v>1187</v>
      </c>
      <c r="CT10" s="297">
        <f t="shared" ca="1" si="38"/>
        <v>36</v>
      </c>
      <c r="CU10" s="264" t="s">
        <v>308</v>
      </c>
      <c r="CV10" s="265">
        <v>42065</v>
      </c>
      <c r="CW10" s="264" t="s">
        <v>351</v>
      </c>
      <c r="CX10" s="264" t="s">
        <v>483</v>
      </c>
      <c r="CY10" s="264" t="s">
        <v>351</v>
      </c>
      <c r="CZ10" s="264" t="s">
        <v>359</v>
      </c>
      <c r="DA10" s="264" t="s">
        <v>351</v>
      </c>
      <c r="DB10" s="266">
        <v>4500</v>
      </c>
      <c r="DC10" s="264" t="s">
        <v>365</v>
      </c>
      <c r="DD10" s="264" t="s">
        <v>361</v>
      </c>
      <c r="DE10" s="266">
        <v>0</v>
      </c>
      <c r="DF10" s="266">
        <v>150000</v>
      </c>
      <c r="DG10" s="264" t="s">
        <v>35</v>
      </c>
      <c r="DH10" s="266">
        <v>0</v>
      </c>
      <c r="DI10" s="266">
        <v>0</v>
      </c>
      <c r="DJ10" s="264" t="s">
        <v>351</v>
      </c>
      <c r="DK10" s="264" t="s">
        <v>351</v>
      </c>
      <c r="DL10" s="267"/>
      <c r="DM10" s="261">
        <f t="shared" si="39"/>
        <v>0</v>
      </c>
      <c r="DN10" s="295" t="str">
        <f t="shared" si="40"/>
        <v>OK</v>
      </c>
    </row>
    <row r="11" spans="1:118" x14ac:dyDescent="0.25">
      <c r="A11" s="599" t="str">
        <f t="shared" si="41"/>
        <v>LOUBERE Emmanuel - ALPTIS - Prev. Pro</v>
      </c>
      <c r="B11" s="306"/>
      <c r="C11" s="305" t="s">
        <v>120</v>
      </c>
      <c r="D11" s="301" t="s">
        <v>1247</v>
      </c>
      <c r="E11" s="276">
        <v>43173</v>
      </c>
      <c r="F11" s="278" t="s">
        <v>546</v>
      </c>
      <c r="G11" s="311" t="s">
        <v>170</v>
      </c>
      <c r="H11" s="276">
        <v>43154</v>
      </c>
      <c r="I11" s="313">
        <f t="shared" si="1"/>
        <v>19</v>
      </c>
      <c r="J11" s="312" t="s">
        <v>16</v>
      </c>
      <c r="K11" s="268" t="s">
        <v>17</v>
      </c>
      <c r="L11" s="277" t="s">
        <v>135</v>
      </c>
      <c r="M11" s="279">
        <v>23.51</v>
      </c>
      <c r="N11" s="280">
        <v>23.51</v>
      </c>
      <c r="O11" s="280">
        <v>0</v>
      </c>
      <c r="P11" s="285" t="s">
        <v>57</v>
      </c>
      <c r="Q11" s="281" t="str">
        <f t="shared" si="2"/>
        <v/>
      </c>
      <c r="R11" s="282">
        <f t="shared" si="3"/>
        <v>282.12</v>
      </c>
      <c r="S11" s="268" t="s">
        <v>18</v>
      </c>
      <c r="T11" s="283">
        <f t="shared" si="4"/>
        <v>25</v>
      </c>
      <c r="U11" s="284">
        <f>IF(M11=0,0,IF(G11="Annulation","",IF(assurance="ALPTIS",M11*12*T11/100*'1803 Data'!$K$4,IF(assurance="APRIL",M11*12*T11/100*'1803 Data'!$F$4,IF(assurance="ASAF",M11*12*T11/100*'1803 Data'!$I$4,IF(assurance="NEOLIANE",('1803 Data'!$G$5+M11*12*'1803 Data'!$G$4)*T11/100,IF(assurance="NEOLIANE Prev",('1803 Data'!$H$5+M11*12*'1803 Data'!$H$4)*T11/100,IF(assurance="SWISSLIFE",M11*12*T11/100*'1803 Data'!$J$4,IF(assurance="AVIVA",M11*12*T11/100*'1803 Data'!$L$4,IF(assurance="CIPRES",M11*12*T11/100*'1803 Data'!$M$4,IF(assurance="CEGEMA",M11*12*T11/100*'1803 Data'!$N$4,IF(assurance=0,0))))))))))))</f>
        <v>8.4635999999999996</v>
      </c>
      <c r="V11" s="298">
        <f t="shared" si="5"/>
        <v>70.53</v>
      </c>
      <c r="W11" s="298">
        <f t="shared" si="6"/>
        <v>0</v>
      </c>
      <c r="X11" s="299">
        <f t="shared" si="42"/>
        <v>62.066400000000002</v>
      </c>
      <c r="Y11" s="368">
        <f t="shared" si="7"/>
        <v>0</v>
      </c>
      <c r="Z11" s="314">
        <v>43175</v>
      </c>
      <c r="AA11" s="313">
        <f t="shared" si="8"/>
        <v>2</v>
      </c>
      <c r="AB11" s="268" t="s">
        <v>13</v>
      </c>
      <c r="AC11" s="277"/>
      <c r="AD11" s="309" t="str">
        <f t="shared" si="9"/>
        <v/>
      </c>
      <c r="AE11" s="286" t="str">
        <f t="shared" si="10"/>
        <v/>
      </c>
      <c r="AF11" s="277"/>
      <c r="AG11" s="275">
        <f t="shared" si="11"/>
        <v>43466</v>
      </c>
      <c r="AH11" s="287">
        <f t="shared" ca="1" si="12"/>
        <v>0.23013698630136986</v>
      </c>
      <c r="AI11" s="373">
        <f t="shared" ca="1" si="13"/>
        <v>43466</v>
      </c>
      <c r="AJ11" s="275">
        <f t="shared" ca="1" si="14"/>
        <v>43404</v>
      </c>
      <c r="AK11" s="296">
        <f t="shared" ca="1" si="15"/>
        <v>43374</v>
      </c>
      <c r="AL11" s="287">
        <f t="shared" ca="1" si="16"/>
        <v>0.79726027397260268</v>
      </c>
      <c r="AM11" s="279">
        <f t="shared" si="17"/>
        <v>0</v>
      </c>
      <c r="AN11" s="279">
        <f t="shared" si="18"/>
        <v>0</v>
      </c>
      <c r="AO11" s="288">
        <f t="shared" si="19"/>
        <v>0</v>
      </c>
      <c r="AP11" s="279">
        <f t="shared" si="20"/>
        <v>23.51</v>
      </c>
      <c r="AQ11" s="288">
        <f t="shared" si="21"/>
        <v>0</v>
      </c>
      <c r="AR11" s="289">
        <f t="shared" si="22"/>
        <v>0</v>
      </c>
      <c r="AS11" s="279">
        <f t="shared" si="23"/>
        <v>0</v>
      </c>
      <c r="AT11" s="288">
        <f t="shared" si="24"/>
        <v>-1</v>
      </c>
      <c r="AU11" s="289">
        <f t="shared" si="25"/>
        <v>0</v>
      </c>
      <c r="AV11" s="279">
        <f t="shared" si="26"/>
        <v>0</v>
      </c>
      <c r="AW11" s="288">
        <f t="shared" si="27"/>
        <v>0</v>
      </c>
      <c r="AX11" s="289">
        <f t="shared" si="28"/>
        <v>-1</v>
      </c>
      <c r="AY11" s="290" t="s">
        <v>278</v>
      </c>
      <c r="AZ11" s="291">
        <v>1839012</v>
      </c>
      <c r="BA11" s="292">
        <v>31700</v>
      </c>
      <c r="BB11" s="303" t="s">
        <v>1246</v>
      </c>
      <c r="BC11" s="293">
        <v>649648504</v>
      </c>
      <c r="BD11" s="293"/>
      <c r="BE11" s="304" t="s">
        <v>1248</v>
      </c>
      <c r="BF11" s="274"/>
      <c r="BG11" s="270"/>
      <c r="BH11" s="268">
        <v>1</v>
      </c>
      <c r="BI11" s="273"/>
      <c r="BJ11" s="276">
        <v>32458</v>
      </c>
      <c r="BK11" s="294" t="s">
        <v>202</v>
      </c>
      <c r="BL11" s="269">
        <f t="shared" ca="1" si="29"/>
        <v>29</v>
      </c>
      <c r="BM11" s="270"/>
      <c r="BN11" s="271"/>
      <c r="BO11" s="272" t="str">
        <f t="shared" ca="1" si="30"/>
        <v/>
      </c>
      <c r="BP11" s="270"/>
      <c r="BQ11" s="271"/>
      <c r="BR11" s="272" t="str">
        <f t="shared" ca="1" si="31"/>
        <v/>
      </c>
      <c r="BS11" s="270"/>
      <c r="BT11" s="271"/>
      <c r="BU11" s="272" t="str">
        <f t="shared" ca="1" si="32"/>
        <v/>
      </c>
      <c r="BV11" s="270"/>
      <c r="BW11" s="271"/>
      <c r="BX11" s="272" t="str">
        <f t="shared" ca="1" si="33"/>
        <v/>
      </c>
      <c r="BY11" s="270"/>
      <c r="BZ11" s="271"/>
      <c r="CA11" s="272" t="str">
        <f t="shared" ca="1" si="34"/>
        <v/>
      </c>
      <c r="CB11" s="270"/>
      <c r="CC11" s="271"/>
      <c r="CD11" s="272" t="str">
        <f t="shared" ca="1" si="35"/>
        <v/>
      </c>
      <c r="CE11" s="270"/>
      <c r="CF11" s="271"/>
      <c r="CG11" s="272" t="str">
        <f t="shared" ca="1" si="36"/>
        <v/>
      </c>
      <c r="CH11" s="270"/>
      <c r="CI11" s="271"/>
      <c r="CJ11" s="272" t="str">
        <f t="shared" ca="1" si="37"/>
        <v/>
      </c>
      <c r="CK11" s="262"/>
      <c r="CL11" s="264"/>
      <c r="CM11" s="264"/>
      <c r="CN11" s="264"/>
      <c r="CO11" s="264"/>
      <c r="CP11" s="264"/>
      <c r="CQ11" s="264"/>
      <c r="CR11" s="262" t="s">
        <v>1249</v>
      </c>
      <c r="CS11" s="263" t="s">
        <v>1250</v>
      </c>
      <c r="CT11" s="297">
        <f t="shared" ca="1" si="38"/>
        <v>29</v>
      </c>
      <c r="CU11" s="264"/>
      <c r="CV11" s="265"/>
      <c r="CW11" s="264"/>
      <c r="CX11" s="264"/>
      <c r="CY11" s="264" t="s">
        <v>1287</v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39"/>
        <v>0</v>
      </c>
      <c r="DN11" s="295" t="str">
        <f t="shared" si="40"/>
        <v>OK</v>
      </c>
    </row>
    <row r="12" spans="1:118" x14ac:dyDescent="0.25">
      <c r="A12" s="599" t="str">
        <f t="shared" si="41"/>
        <v>COLIN Christophe - APRIL - Santé Individuelle</v>
      </c>
      <c r="B12" s="306"/>
      <c r="C12" s="305" t="s">
        <v>140</v>
      </c>
      <c r="D12" s="301" t="s">
        <v>1239</v>
      </c>
      <c r="E12" s="276">
        <v>43173</v>
      </c>
      <c r="F12" s="278" t="s">
        <v>546</v>
      </c>
      <c r="G12" s="311" t="s">
        <v>172</v>
      </c>
      <c r="H12" s="276">
        <v>43161</v>
      </c>
      <c r="I12" s="313">
        <f t="shared" si="1"/>
        <v>12</v>
      </c>
      <c r="J12" s="312" t="s">
        <v>20</v>
      </c>
      <c r="K12" s="268" t="s">
        <v>33</v>
      </c>
      <c r="L12" s="277" t="s">
        <v>114</v>
      </c>
      <c r="M12" s="279">
        <v>32.5</v>
      </c>
      <c r="N12" s="280">
        <v>32.5</v>
      </c>
      <c r="O12" s="280">
        <v>0</v>
      </c>
      <c r="P12" s="285" t="s">
        <v>57</v>
      </c>
      <c r="Q12" s="281" t="str">
        <f t="shared" si="2"/>
        <v/>
      </c>
      <c r="R12" s="282">
        <f t="shared" si="3"/>
        <v>390</v>
      </c>
      <c r="S12" s="268" t="s">
        <v>18</v>
      </c>
      <c r="T12" s="283">
        <f t="shared" si="4"/>
        <v>25</v>
      </c>
      <c r="U12" s="284">
        <f>IF(M12=0,0,IF(G12="Annulation","",IF(assurance="ALPTIS",M12*12*T12/100*'1803 Data'!$K$4,IF(assurance="APRIL",M12*12*T12/100*'1803 Data'!$F$4,IF(assurance="ASAF",M12*12*T12/100*'1803 Data'!$I$4,IF(assurance="NEOLIANE",('1803 Data'!$G$5+M12*12*'1803 Data'!$G$4)*T12/100,IF(assurance="NEOLIANE Prev",('1803 Data'!$H$5+M12*12*'1803 Data'!$H$4)*T12/100,IF(assurance="SWISSLIFE",M12*12*T12/100*'1803 Data'!$J$4,IF(assurance="AVIVA",M12*12*T12/100*'1803 Data'!$L$4,IF(assurance="CIPRES",M12*12*T12/100*'1803 Data'!$M$4,IF(assurance="CEGEMA",M12*12*T12/100*'1803 Data'!$N$4,IF(assurance=0,0))))))))))))</f>
        <v>11.046749999999999</v>
      </c>
      <c r="V12" s="298">
        <f t="shared" si="5"/>
        <v>97.5</v>
      </c>
      <c r="W12" s="298">
        <f t="shared" si="6"/>
        <v>0</v>
      </c>
      <c r="X12" s="299">
        <f t="shared" si="42"/>
        <v>86.453249999999997</v>
      </c>
      <c r="Y12" s="368">
        <f t="shared" si="7"/>
        <v>0</v>
      </c>
      <c r="Z12" s="314">
        <v>43177</v>
      </c>
      <c r="AA12" s="313">
        <f t="shared" si="8"/>
        <v>4</v>
      </c>
      <c r="AB12" s="268" t="s">
        <v>13</v>
      </c>
      <c r="AC12" s="277"/>
      <c r="AD12" s="309" t="str">
        <f t="shared" si="9"/>
        <v/>
      </c>
      <c r="AE12" s="286" t="str">
        <f t="shared" si="10"/>
        <v/>
      </c>
      <c r="AF12" s="277"/>
      <c r="AG12" s="275">
        <f t="shared" si="11"/>
        <v>43466</v>
      </c>
      <c r="AH12" s="287">
        <f t="shared" ca="1" si="12"/>
        <v>0.22465753424657534</v>
      </c>
      <c r="AI12" s="373">
        <f t="shared" ca="1" si="13"/>
        <v>43466</v>
      </c>
      <c r="AJ12" s="275">
        <f t="shared" ca="1" si="14"/>
        <v>43404</v>
      </c>
      <c r="AK12" s="296">
        <f t="shared" ca="1" si="15"/>
        <v>43374</v>
      </c>
      <c r="AL12" s="287">
        <f t="shared" ca="1" si="16"/>
        <v>0.79178082191780819</v>
      </c>
      <c r="AM12" s="279">
        <f t="shared" si="17"/>
        <v>0</v>
      </c>
      <c r="AN12" s="279">
        <f t="shared" si="18"/>
        <v>0</v>
      </c>
      <c r="AO12" s="288">
        <f t="shared" si="19"/>
        <v>0</v>
      </c>
      <c r="AP12" s="279">
        <f t="shared" si="20"/>
        <v>32.5</v>
      </c>
      <c r="AQ12" s="288">
        <f t="shared" si="21"/>
        <v>0</v>
      </c>
      <c r="AR12" s="289">
        <f t="shared" si="22"/>
        <v>0</v>
      </c>
      <c r="AS12" s="279">
        <f t="shared" si="23"/>
        <v>0</v>
      </c>
      <c r="AT12" s="288">
        <f t="shared" si="24"/>
        <v>-1</v>
      </c>
      <c r="AU12" s="289">
        <f t="shared" si="25"/>
        <v>0</v>
      </c>
      <c r="AV12" s="279">
        <f t="shared" si="26"/>
        <v>0</v>
      </c>
      <c r="AW12" s="288">
        <f t="shared" si="27"/>
        <v>0</v>
      </c>
      <c r="AX12" s="289">
        <f t="shared" si="28"/>
        <v>-1</v>
      </c>
      <c r="AY12" s="290" t="s">
        <v>278</v>
      </c>
      <c r="AZ12" s="291">
        <v>680300700</v>
      </c>
      <c r="BA12" s="292">
        <v>13012</v>
      </c>
      <c r="BB12" s="303" t="s">
        <v>1240</v>
      </c>
      <c r="BC12" s="293">
        <v>660661962</v>
      </c>
      <c r="BD12" s="293"/>
      <c r="BE12" s="304" t="s">
        <v>1243</v>
      </c>
      <c r="BF12" s="274" t="s">
        <v>1241</v>
      </c>
      <c r="BG12" s="270"/>
      <c r="BH12" s="268">
        <v>1</v>
      </c>
      <c r="BI12" s="273">
        <v>0</v>
      </c>
      <c r="BJ12" s="276">
        <v>27916</v>
      </c>
      <c r="BK12" s="294" t="s">
        <v>202</v>
      </c>
      <c r="BL12" s="269">
        <f t="shared" ca="1" si="29"/>
        <v>42</v>
      </c>
      <c r="BM12" s="270"/>
      <c r="BN12" s="271"/>
      <c r="BO12" s="272" t="str">
        <f t="shared" ca="1" si="30"/>
        <v/>
      </c>
      <c r="BP12" s="270"/>
      <c r="BQ12" s="271"/>
      <c r="BR12" s="272" t="str">
        <f t="shared" ca="1" si="31"/>
        <v/>
      </c>
      <c r="BS12" s="270"/>
      <c r="BT12" s="271"/>
      <c r="BU12" s="272" t="str">
        <f t="shared" ca="1" si="32"/>
        <v/>
      </c>
      <c r="BV12" s="270"/>
      <c r="BW12" s="271"/>
      <c r="BX12" s="272" t="str">
        <f t="shared" ca="1" si="33"/>
        <v/>
      </c>
      <c r="BY12" s="270"/>
      <c r="BZ12" s="271"/>
      <c r="CA12" s="272" t="str">
        <f t="shared" ca="1" si="34"/>
        <v/>
      </c>
      <c r="CB12" s="270"/>
      <c r="CC12" s="271"/>
      <c r="CD12" s="272" t="str">
        <f t="shared" ca="1" si="35"/>
        <v/>
      </c>
      <c r="CE12" s="270"/>
      <c r="CF12" s="271"/>
      <c r="CG12" s="272" t="str">
        <f t="shared" ca="1" si="36"/>
        <v/>
      </c>
      <c r="CH12" s="270"/>
      <c r="CI12" s="271"/>
      <c r="CJ12" s="272" t="str">
        <f t="shared" ca="1" si="37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38"/>
        <v/>
      </c>
      <c r="CU12" s="264" t="s">
        <v>308</v>
      </c>
      <c r="CV12" s="265">
        <v>43160</v>
      </c>
      <c r="CW12" s="264" t="s">
        <v>351</v>
      </c>
      <c r="CX12" s="264" t="s">
        <v>483</v>
      </c>
      <c r="CY12" s="264" t="s">
        <v>351</v>
      </c>
      <c r="CZ12" s="264" t="s">
        <v>358</v>
      </c>
      <c r="DA12" s="264" t="s">
        <v>351</v>
      </c>
      <c r="DB12" s="266">
        <v>2400</v>
      </c>
      <c r="DC12" s="264" t="s">
        <v>365</v>
      </c>
      <c r="DD12" s="264" t="s">
        <v>363</v>
      </c>
      <c r="DE12" s="266">
        <v>0</v>
      </c>
      <c r="DF12" s="266">
        <v>150000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9"/>
        <v>0</v>
      </c>
      <c r="DN12" s="295" t="str">
        <f t="shared" si="40"/>
        <v>OK</v>
      </c>
    </row>
    <row r="13" spans="1:118" x14ac:dyDescent="0.25">
      <c r="A13" s="599" t="str">
        <f t="shared" si="41"/>
        <v>BOULDI Naima - APRIL - Santé Individuelle</v>
      </c>
      <c r="B13" s="306"/>
      <c r="C13" s="305" t="s">
        <v>46</v>
      </c>
      <c r="D13" s="301" t="s">
        <v>1167</v>
      </c>
      <c r="E13" s="276">
        <v>43175</v>
      </c>
      <c r="F13" s="278" t="s">
        <v>547</v>
      </c>
      <c r="G13" s="311" t="s">
        <v>167</v>
      </c>
      <c r="H13" s="276">
        <v>43137</v>
      </c>
      <c r="I13" s="313">
        <f t="shared" si="1"/>
        <v>38</v>
      </c>
      <c r="J13" s="312" t="s">
        <v>20</v>
      </c>
      <c r="K13" s="268" t="s">
        <v>33</v>
      </c>
      <c r="L13" s="277" t="s">
        <v>128</v>
      </c>
      <c r="M13" s="279">
        <v>112.75</v>
      </c>
      <c r="N13" s="280">
        <v>112.75</v>
      </c>
      <c r="O13" s="280">
        <v>0</v>
      </c>
      <c r="P13" s="285" t="s">
        <v>57</v>
      </c>
      <c r="Q13" s="281" t="str">
        <f t="shared" si="2"/>
        <v/>
      </c>
      <c r="R13" s="282">
        <f t="shared" si="3"/>
        <v>1353</v>
      </c>
      <c r="S13" s="268" t="s">
        <v>18</v>
      </c>
      <c r="T13" s="283">
        <f t="shared" si="4"/>
        <v>25</v>
      </c>
      <c r="U13" s="284">
        <f>IF(M13=0,0,IF(G13="Annulation","",IF(assurance="ALPTIS",M13*12*T13/100*'1803 Data'!$K$4,IF(assurance="APRIL",M13*12*T13/100*'1803 Data'!$F$4,IF(assurance="ASAF",M13*12*T13/100*'1803 Data'!$I$4,IF(assurance="NEOLIANE",('1803 Data'!$G$5+M13*12*'1803 Data'!$G$4)*T13/100,IF(assurance="NEOLIANE Prev",('1803 Data'!$H$5+M13*12*'1803 Data'!$H$4)*T13/100,IF(assurance="SWISSLIFE",M13*12*T13/100*'1803 Data'!$J$4,IF(assurance="AVIVA",M13*12*T13/100*'1803 Data'!$L$4,IF(assurance="CIPRES",M13*12*T13/100*'1803 Data'!$M$4,IF(assurance="CEGEMA",M13*12*T13/100*'1803 Data'!$N$4,IF(assurance=0,0))))))))))))</f>
        <v>38.323724999999996</v>
      </c>
      <c r="V13" s="298">
        <f t="shared" si="5"/>
        <v>338.25</v>
      </c>
      <c r="W13" s="298">
        <f t="shared" si="6"/>
        <v>0</v>
      </c>
      <c r="X13" s="299">
        <f t="shared" si="42"/>
        <v>299.92627500000003</v>
      </c>
      <c r="Y13" s="368">
        <f t="shared" si="7"/>
        <v>0</v>
      </c>
      <c r="Z13" s="314">
        <v>43185</v>
      </c>
      <c r="AA13" s="313">
        <f t="shared" si="8"/>
        <v>10</v>
      </c>
      <c r="AB13" s="268" t="s">
        <v>35</v>
      </c>
      <c r="AC13" s="277" t="s">
        <v>141</v>
      </c>
      <c r="AD13" s="309" t="s">
        <v>98</v>
      </c>
      <c r="AE13" s="286">
        <v>43404</v>
      </c>
      <c r="AF13" s="277" t="s">
        <v>1169</v>
      </c>
      <c r="AG13" s="275">
        <f t="shared" si="11"/>
        <v>43466</v>
      </c>
      <c r="AH13" s="287">
        <f t="shared" ca="1" si="12"/>
        <v>0.20273972602739726</v>
      </c>
      <c r="AI13" s="373">
        <f t="shared" ca="1" si="13"/>
        <v>43466</v>
      </c>
      <c r="AJ13" s="275">
        <f t="shared" ca="1" si="14"/>
        <v>43404</v>
      </c>
      <c r="AK13" s="296">
        <f t="shared" ca="1" si="15"/>
        <v>43374</v>
      </c>
      <c r="AL13" s="287">
        <f t="shared" ca="1" si="16"/>
        <v>0.76986301369863008</v>
      </c>
      <c r="AM13" s="279">
        <f t="shared" si="17"/>
        <v>0</v>
      </c>
      <c r="AN13" s="279">
        <f t="shared" si="18"/>
        <v>0</v>
      </c>
      <c r="AO13" s="288">
        <f t="shared" si="19"/>
        <v>0</v>
      </c>
      <c r="AP13" s="279">
        <f t="shared" si="20"/>
        <v>112.75</v>
      </c>
      <c r="AQ13" s="288">
        <f t="shared" si="21"/>
        <v>0</v>
      </c>
      <c r="AR13" s="289">
        <f t="shared" si="22"/>
        <v>0</v>
      </c>
      <c r="AS13" s="279">
        <f t="shared" si="23"/>
        <v>0</v>
      </c>
      <c r="AT13" s="288">
        <f t="shared" si="24"/>
        <v>-1</v>
      </c>
      <c r="AU13" s="289">
        <f t="shared" si="25"/>
        <v>0</v>
      </c>
      <c r="AV13" s="279">
        <f t="shared" si="26"/>
        <v>0</v>
      </c>
      <c r="AW13" s="288">
        <f t="shared" si="27"/>
        <v>0</v>
      </c>
      <c r="AX13" s="289">
        <f t="shared" si="28"/>
        <v>-1</v>
      </c>
      <c r="AY13" s="290" t="s">
        <v>278</v>
      </c>
      <c r="AZ13" s="291">
        <v>680301500</v>
      </c>
      <c r="BA13" s="292">
        <v>94310</v>
      </c>
      <c r="BB13" s="303" t="s">
        <v>1166</v>
      </c>
      <c r="BC13" s="293">
        <v>642398824</v>
      </c>
      <c r="BD13" s="293"/>
      <c r="BE13" s="304" t="s">
        <v>1170</v>
      </c>
      <c r="BF13" s="274" t="s">
        <v>1242</v>
      </c>
      <c r="BG13" s="270"/>
      <c r="BH13" s="268">
        <v>1</v>
      </c>
      <c r="BI13" s="273">
        <v>0</v>
      </c>
      <c r="BJ13" s="276">
        <v>25670</v>
      </c>
      <c r="BK13" s="294" t="s">
        <v>201</v>
      </c>
      <c r="BL13" s="269">
        <f t="shared" ca="1" si="29"/>
        <v>48</v>
      </c>
      <c r="BM13" s="270"/>
      <c r="BN13" s="271"/>
      <c r="BO13" s="272" t="str">
        <f t="shared" ca="1" si="30"/>
        <v/>
      </c>
      <c r="BP13" s="270"/>
      <c r="BQ13" s="271"/>
      <c r="BR13" s="272" t="str">
        <f t="shared" ca="1" si="31"/>
        <v/>
      </c>
      <c r="BS13" s="270"/>
      <c r="BT13" s="271"/>
      <c r="BU13" s="272" t="str">
        <f t="shared" ca="1" si="32"/>
        <v/>
      </c>
      <c r="BV13" s="270"/>
      <c r="BW13" s="271"/>
      <c r="BX13" s="272" t="str">
        <f t="shared" ca="1" si="33"/>
        <v/>
      </c>
      <c r="BY13" s="270"/>
      <c r="BZ13" s="271"/>
      <c r="CA13" s="272" t="str">
        <f t="shared" ca="1" si="34"/>
        <v/>
      </c>
      <c r="CB13" s="270"/>
      <c r="CC13" s="271"/>
      <c r="CD13" s="272" t="str">
        <f t="shared" ca="1" si="35"/>
        <v/>
      </c>
      <c r="CE13" s="270"/>
      <c r="CF13" s="271"/>
      <c r="CG13" s="272" t="str">
        <f t="shared" ca="1" si="36"/>
        <v/>
      </c>
      <c r="CH13" s="270"/>
      <c r="CI13" s="271"/>
      <c r="CJ13" s="272" t="str">
        <f t="shared" ca="1" si="37"/>
        <v/>
      </c>
      <c r="CK13" s="262"/>
      <c r="CL13" s="264">
        <v>10</v>
      </c>
      <c r="CM13" s="264"/>
      <c r="CN13" s="264"/>
      <c r="CO13" s="264"/>
      <c r="CP13" s="264"/>
      <c r="CQ13" s="264" t="s">
        <v>1168</v>
      </c>
      <c r="CR13" s="262"/>
      <c r="CS13" s="263"/>
      <c r="CT13" s="297" t="str">
        <f t="shared" si="38"/>
        <v/>
      </c>
      <c r="CU13" s="264" t="s">
        <v>108</v>
      </c>
      <c r="CV13" s="265">
        <v>42921</v>
      </c>
      <c r="CW13" s="264" t="s">
        <v>351</v>
      </c>
      <c r="CX13" s="264" t="s">
        <v>483</v>
      </c>
      <c r="CY13" s="264" t="s">
        <v>350</v>
      </c>
      <c r="CZ13" s="264" t="s">
        <v>358</v>
      </c>
      <c r="DA13" s="264" t="s">
        <v>351</v>
      </c>
      <c r="DB13" s="266">
        <v>750</v>
      </c>
      <c r="DC13" s="264" t="s">
        <v>365</v>
      </c>
      <c r="DD13" s="264" t="s">
        <v>361</v>
      </c>
      <c r="DE13" s="266">
        <v>0</v>
      </c>
      <c r="DF13" s="266">
        <v>12500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351</v>
      </c>
      <c r="DL13" s="267"/>
      <c r="DM13" s="261">
        <f t="shared" si="39"/>
        <v>0</v>
      </c>
      <c r="DN13" s="295" t="str">
        <f t="shared" si="40"/>
        <v>OK</v>
      </c>
    </row>
    <row r="14" spans="1:118" x14ac:dyDescent="0.25">
      <c r="A14" s="599" t="str">
        <f t="shared" si="41"/>
        <v>BOULDI Christian - NEOLIANE Prev - Prev. Part</v>
      </c>
      <c r="B14" s="306"/>
      <c r="C14" s="305" t="s">
        <v>46</v>
      </c>
      <c r="D14" s="301" t="s">
        <v>241</v>
      </c>
      <c r="E14" s="276">
        <v>43180</v>
      </c>
      <c r="F14" s="278" t="s">
        <v>546</v>
      </c>
      <c r="G14" s="311" t="s">
        <v>172</v>
      </c>
      <c r="H14" s="276">
        <v>43137</v>
      </c>
      <c r="I14" s="313">
        <f t="shared" si="1"/>
        <v>43</v>
      </c>
      <c r="J14" s="312" t="s">
        <v>85</v>
      </c>
      <c r="K14" s="268" t="s">
        <v>123</v>
      </c>
      <c r="L14" s="277" t="s">
        <v>145</v>
      </c>
      <c r="M14" s="279">
        <v>5.54</v>
      </c>
      <c r="N14" s="280">
        <v>5.54</v>
      </c>
      <c r="O14" s="280">
        <v>0</v>
      </c>
      <c r="P14" s="285" t="s">
        <v>57</v>
      </c>
      <c r="Q14" s="281" t="str">
        <f t="shared" si="2"/>
        <v/>
      </c>
      <c r="R14" s="282">
        <f t="shared" si="3"/>
        <v>66.48</v>
      </c>
      <c r="S14" s="268" t="s">
        <v>18</v>
      </c>
      <c r="T14" s="283">
        <f t="shared" si="4"/>
        <v>40</v>
      </c>
      <c r="U14" s="284">
        <f>IF(M14=0,0,IF(G14="Annulation","",IF(assurance="ALPTIS",M14*12*T14/100*'1803 Data'!$K$4,IF(assurance="APRIL",M14*12*T14/100*'1803 Data'!$F$4,IF(assurance="ASAF",M14*12*T14/100*'1803 Data'!$I$4,IF(assurance="NEOLIANE",('1803 Data'!$G$5+M14*12*'1803 Data'!$G$4)*T14/100,IF(assurance="NEOLIANE Prev",('1803 Data'!$H$5+M14*12*'1803 Data'!$H$4)*T14/100,IF(assurance="SWISSLIFE",M14*12*T14/100*'1803 Data'!$J$4,IF(assurance="AVIVA",M14*12*T14/100*'1803 Data'!$L$4,IF(assurance="CIPRES",M14*12*T14/100*'1803 Data'!$M$4,IF(assurance="CEGEMA",M14*12*T14/100*'1803 Data'!$N$4,IF(assurance=0,0))))))))))))</f>
        <v>3.9955199999999995</v>
      </c>
      <c r="V14" s="298">
        <f t="shared" si="5"/>
        <v>26.591999999999999</v>
      </c>
      <c r="W14" s="298">
        <f t="shared" si="6"/>
        <v>0</v>
      </c>
      <c r="X14" s="299">
        <f t="shared" si="42"/>
        <v>22.59648</v>
      </c>
      <c r="Y14" s="368">
        <f t="shared" si="7"/>
        <v>0</v>
      </c>
      <c r="Z14" s="314">
        <v>43191</v>
      </c>
      <c r="AA14" s="313">
        <f t="shared" si="8"/>
        <v>11</v>
      </c>
      <c r="AB14" s="268" t="s">
        <v>77</v>
      </c>
      <c r="AC14" s="277" t="s">
        <v>1356</v>
      </c>
      <c r="AD14" s="309" t="s">
        <v>97</v>
      </c>
      <c r="AE14" s="286" t="s">
        <v>1287</v>
      </c>
      <c r="AF14" s="277"/>
      <c r="AG14" s="275">
        <f t="shared" si="11"/>
        <v>43556</v>
      </c>
      <c r="AH14" s="287">
        <f t="shared" ca="1" si="12"/>
        <v>0.18630136986301371</v>
      </c>
      <c r="AI14" s="373">
        <f t="shared" ca="1" si="13"/>
        <v>43556</v>
      </c>
      <c r="AJ14" s="275">
        <f t="shared" ca="1" si="14"/>
        <v>43494</v>
      </c>
      <c r="AK14" s="296">
        <f t="shared" ca="1" si="15"/>
        <v>43464</v>
      </c>
      <c r="AL14" s="287">
        <f t="shared" ca="1" si="16"/>
        <v>1</v>
      </c>
      <c r="AM14" s="279">
        <f t="shared" si="17"/>
        <v>0</v>
      </c>
      <c r="AN14" s="279">
        <f t="shared" si="18"/>
        <v>0</v>
      </c>
      <c r="AO14" s="288">
        <f t="shared" si="19"/>
        <v>0</v>
      </c>
      <c r="AP14" s="279">
        <f t="shared" si="20"/>
        <v>5.54</v>
      </c>
      <c r="AQ14" s="288">
        <f t="shared" si="21"/>
        <v>0</v>
      </c>
      <c r="AR14" s="289">
        <f t="shared" si="22"/>
        <v>0</v>
      </c>
      <c r="AS14" s="279">
        <f t="shared" si="23"/>
        <v>0</v>
      </c>
      <c r="AT14" s="288">
        <f t="shared" si="24"/>
        <v>-1</v>
      </c>
      <c r="AU14" s="289">
        <f t="shared" si="25"/>
        <v>0</v>
      </c>
      <c r="AV14" s="279">
        <f t="shared" si="26"/>
        <v>0</v>
      </c>
      <c r="AW14" s="288">
        <f t="shared" si="27"/>
        <v>0</v>
      </c>
      <c r="AX14" s="289">
        <f t="shared" si="28"/>
        <v>-1</v>
      </c>
      <c r="AY14" s="290" t="s">
        <v>278</v>
      </c>
      <c r="AZ14" s="291">
        <v>21076147</v>
      </c>
      <c r="BA14" s="292">
        <v>94310</v>
      </c>
      <c r="BB14" s="303" t="s">
        <v>1166</v>
      </c>
      <c r="BC14" s="293">
        <v>642398824</v>
      </c>
      <c r="BD14" s="293"/>
      <c r="BE14" s="304" t="s">
        <v>1213</v>
      </c>
      <c r="BF14" s="274"/>
      <c r="BG14" s="270"/>
      <c r="BH14" s="268">
        <v>1</v>
      </c>
      <c r="BI14" s="273"/>
      <c r="BJ14" s="276">
        <v>24850</v>
      </c>
      <c r="BK14" s="294" t="s">
        <v>200</v>
      </c>
      <c r="BL14" s="269">
        <f t="shared" ca="1" si="29"/>
        <v>50</v>
      </c>
      <c r="BM14" s="270"/>
      <c r="BN14" s="271"/>
      <c r="BO14" s="272" t="str">
        <f t="shared" ca="1" si="30"/>
        <v/>
      </c>
      <c r="BP14" s="270"/>
      <c r="BQ14" s="271"/>
      <c r="BR14" s="272" t="str">
        <f t="shared" ca="1" si="31"/>
        <v/>
      </c>
      <c r="BS14" s="270"/>
      <c r="BT14" s="271"/>
      <c r="BU14" s="272" t="str">
        <f t="shared" ca="1" si="32"/>
        <v/>
      </c>
      <c r="BV14" s="270"/>
      <c r="BW14" s="271"/>
      <c r="BX14" s="272" t="str">
        <f t="shared" ca="1" si="33"/>
        <v/>
      </c>
      <c r="BY14" s="270"/>
      <c r="BZ14" s="271"/>
      <c r="CA14" s="272" t="str">
        <f t="shared" ca="1" si="34"/>
        <v/>
      </c>
      <c r="CB14" s="270"/>
      <c r="CC14" s="271"/>
      <c r="CD14" s="272" t="str">
        <f t="shared" ca="1" si="35"/>
        <v/>
      </c>
      <c r="CE14" s="270"/>
      <c r="CF14" s="271"/>
      <c r="CG14" s="272" t="str">
        <f t="shared" ca="1" si="36"/>
        <v/>
      </c>
      <c r="CH14" s="270"/>
      <c r="CI14" s="271"/>
      <c r="CJ14" s="272" t="str">
        <f t="shared" ca="1" si="37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8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9"/>
        <v>0</v>
      </c>
      <c r="DN14" s="295" t="str">
        <f t="shared" si="40"/>
        <v>OK</v>
      </c>
    </row>
    <row r="15" spans="1:118" x14ac:dyDescent="0.25">
      <c r="A15" s="599" t="str">
        <f t="shared" si="41"/>
        <v>BOULDI Naima - NEOLIANE Prev - Prev. Part</v>
      </c>
      <c r="B15" s="306"/>
      <c r="C15" s="305" t="s">
        <v>46</v>
      </c>
      <c r="D15" s="301" t="s">
        <v>1167</v>
      </c>
      <c r="E15" s="276">
        <v>43180</v>
      </c>
      <c r="F15" s="278" t="s">
        <v>547</v>
      </c>
      <c r="G15" s="311" t="s">
        <v>167</v>
      </c>
      <c r="H15" s="276">
        <v>43137</v>
      </c>
      <c r="I15" s="313">
        <f t="shared" si="1"/>
        <v>43</v>
      </c>
      <c r="J15" s="312" t="s">
        <v>85</v>
      </c>
      <c r="K15" s="268" t="s">
        <v>123</v>
      </c>
      <c r="L15" s="277" t="s">
        <v>145</v>
      </c>
      <c r="M15" s="279">
        <v>5.54</v>
      </c>
      <c r="N15" s="280">
        <v>5.54</v>
      </c>
      <c r="O15" s="280">
        <v>0</v>
      </c>
      <c r="P15" s="285" t="s">
        <v>57</v>
      </c>
      <c r="Q15" s="281" t="str">
        <f t="shared" si="2"/>
        <v/>
      </c>
      <c r="R15" s="282">
        <f t="shared" si="3"/>
        <v>66.48</v>
      </c>
      <c r="S15" s="268" t="s">
        <v>18</v>
      </c>
      <c r="T15" s="283">
        <f t="shared" si="4"/>
        <v>40</v>
      </c>
      <c r="U15" s="284">
        <f>IF(M15=0,0,IF(G15="Annulation","",IF(assurance="ALPTIS",M15*12*T15/100*'1803 Data'!$K$4,IF(assurance="APRIL",M15*12*T15/100*'1803 Data'!$F$4,IF(assurance="ASAF",M15*12*T15/100*'1803 Data'!$I$4,IF(assurance="NEOLIANE",('1803 Data'!$G$5+M15*12*'1803 Data'!$G$4)*T15/100,IF(assurance="NEOLIANE Prev",('1803 Data'!$H$5+M15*12*'1803 Data'!$H$4)*T15/100,IF(assurance="SWISSLIFE",M15*12*T15/100*'1803 Data'!$J$4,IF(assurance="AVIVA",M15*12*T15/100*'1803 Data'!$L$4,IF(assurance="CIPRES",M15*12*T15/100*'1803 Data'!$M$4,IF(assurance="CEGEMA",M15*12*T15/100*'1803 Data'!$N$4,IF(assurance=0,0))))))))))))</f>
        <v>3.9955199999999995</v>
      </c>
      <c r="V15" s="298">
        <f t="shared" si="5"/>
        <v>26.591999999999999</v>
      </c>
      <c r="W15" s="298">
        <f t="shared" si="6"/>
        <v>0</v>
      </c>
      <c r="X15" s="299">
        <f t="shared" si="42"/>
        <v>22.59648</v>
      </c>
      <c r="Y15" s="368">
        <f t="shared" si="7"/>
        <v>0</v>
      </c>
      <c r="Z15" s="314">
        <v>43191</v>
      </c>
      <c r="AA15" s="313">
        <f t="shared" si="8"/>
        <v>11</v>
      </c>
      <c r="AB15" s="268" t="s">
        <v>77</v>
      </c>
      <c r="AC15" s="277" t="s">
        <v>149</v>
      </c>
      <c r="AD15" s="309" t="s">
        <v>97</v>
      </c>
      <c r="AE15" s="286" t="str">
        <f>IF(Z15=43466,43404,"")</f>
        <v/>
      </c>
      <c r="AF15" s="277"/>
      <c r="AG15" s="275">
        <f t="shared" si="11"/>
        <v>43556</v>
      </c>
      <c r="AH15" s="287">
        <f t="shared" ca="1" si="12"/>
        <v>0.18630136986301371</v>
      </c>
      <c r="AI15" s="373">
        <f t="shared" ca="1" si="13"/>
        <v>43556</v>
      </c>
      <c r="AJ15" s="275">
        <f t="shared" ca="1" si="14"/>
        <v>43494</v>
      </c>
      <c r="AK15" s="296">
        <f t="shared" ca="1" si="15"/>
        <v>43464</v>
      </c>
      <c r="AL15" s="287">
        <f t="shared" ca="1" si="16"/>
        <v>1</v>
      </c>
      <c r="AM15" s="279">
        <f t="shared" si="17"/>
        <v>0</v>
      </c>
      <c r="AN15" s="279">
        <f t="shared" si="18"/>
        <v>0</v>
      </c>
      <c r="AO15" s="288">
        <f t="shared" si="19"/>
        <v>0</v>
      </c>
      <c r="AP15" s="279">
        <f t="shared" si="20"/>
        <v>5.54</v>
      </c>
      <c r="AQ15" s="288">
        <f t="shared" si="21"/>
        <v>0</v>
      </c>
      <c r="AR15" s="289">
        <f t="shared" si="22"/>
        <v>0</v>
      </c>
      <c r="AS15" s="279">
        <f t="shared" si="23"/>
        <v>0</v>
      </c>
      <c r="AT15" s="288">
        <f t="shared" si="24"/>
        <v>-1</v>
      </c>
      <c r="AU15" s="289">
        <f t="shared" si="25"/>
        <v>0</v>
      </c>
      <c r="AV15" s="279">
        <f t="shared" si="26"/>
        <v>0</v>
      </c>
      <c r="AW15" s="288">
        <f t="shared" si="27"/>
        <v>0</v>
      </c>
      <c r="AX15" s="289">
        <f t="shared" si="28"/>
        <v>-1</v>
      </c>
      <c r="AY15" s="290" t="s">
        <v>278</v>
      </c>
      <c r="AZ15" s="291">
        <v>21076147</v>
      </c>
      <c r="BA15" s="292">
        <v>94310</v>
      </c>
      <c r="BB15" s="303" t="s">
        <v>1166</v>
      </c>
      <c r="BC15" s="293">
        <v>642398824</v>
      </c>
      <c r="BD15" s="293"/>
      <c r="BE15" s="304" t="s">
        <v>1213</v>
      </c>
      <c r="BF15" s="274"/>
      <c r="BG15" s="270"/>
      <c r="BH15" s="268">
        <v>1</v>
      </c>
      <c r="BI15" s="273"/>
      <c r="BJ15" s="276">
        <v>25670</v>
      </c>
      <c r="BK15" s="294" t="s">
        <v>201</v>
      </c>
      <c r="BL15" s="269">
        <f t="shared" ca="1" si="29"/>
        <v>48</v>
      </c>
      <c r="BM15" s="270"/>
      <c r="BN15" s="271"/>
      <c r="BO15" s="272" t="str">
        <f t="shared" ca="1" si="30"/>
        <v/>
      </c>
      <c r="BP15" s="270"/>
      <c r="BQ15" s="271"/>
      <c r="BR15" s="272" t="str">
        <f t="shared" ca="1" si="31"/>
        <v/>
      </c>
      <c r="BS15" s="270"/>
      <c r="BT15" s="271"/>
      <c r="BU15" s="272" t="str">
        <f t="shared" ca="1" si="32"/>
        <v/>
      </c>
      <c r="BV15" s="270"/>
      <c r="BW15" s="271"/>
      <c r="BX15" s="272" t="str">
        <f t="shared" ca="1" si="33"/>
        <v/>
      </c>
      <c r="BY15" s="270"/>
      <c r="BZ15" s="271"/>
      <c r="CA15" s="272" t="str">
        <f t="shared" ca="1" si="34"/>
        <v/>
      </c>
      <c r="CB15" s="270"/>
      <c r="CC15" s="271"/>
      <c r="CD15" s="272" t="str">
        <f t="shared" ca="1" si="35"/>
        <v/>
      </c>
      <c r="CE15" s="270"/>
      <c r="CF15" s="271"/>
      <c r="CG15" s="272" t="str">
        <f t="shared" ca="1" si="36"/>
        <v/>
      </c>
      <c r="CH15" s="270"/>
      <c r="CI15" s="271"/>
      <c r="CJ15" s="272" t="str">
        <f t="shared" ca="1" si="37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38"/>
        <v/>
      </c>
      <c r="CU15" s="264"/>
      <c r="CV15" s="265"/>
      <c r="CW15" s="264"/>
      <c r="CX15" s="264"/>
      <c r="CY15" s="264" t="s">
        <v>1287</v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39"/>
        <v>0</v>
      </c>
      <c r="DN15" s="295" t="str">
        <f t="shared" si="40"/>
        <v>OK</v>
      </c>
    </row>
    <row r="16" spans="1:118" x14ac:dyDescent="0.25">
      <c r="A16" s="599" t="str">
        <f t="shared" si="41"/>
        <v>PINA Guillaume - ALPTIS - Prev. Pro</v>
      </c>
      <c r="B16" s="306"/>
      <c r="C16" s="305" t="s">
        <v>121</v>
      </c>
      <c r="D16" s="301" t="s">
        <v>1251</v>
      </c>
      <c r="E16" s="276">
        <v>43181</v>
      </c>
      <c r="F16" s="278" t="s">
        <v>546</v>
      </c>
      <c r="G16" s="311" t="s">
        <v>171</v>
      </c>
      <c r="H16" s="276">
        <v>42812</v>
      </c>
      <c r="I16" s="313">
        <f t="shared" si="1"/>
        <v>369</v>
      </c>
      <c r="J16" s="312" t="s">
        <v>16</v>
      </c>
      <c r="K16" s="268" t="s">
        <v>17</v>
      </c>
      <c r="L16" s="277" t="s">
        <v>135</v>
      </c>
      <c r="M16" s="279">
        <v>75.349999999999994</v>
      </c>
      <c r="N16" s="280">
        <v>75.349999999999994</v>
      </c>
      <c r="O16" s="280">
        <v>0</v>
      </c>
      <c r="P16" s="285" t="s">
        <v>57</v>
      </c>
      <c r="Q16" s="281" t="str">
        <f t="shared" si="2"/>
        <v/>
      </c>
      <c r="R16" s="282">
        <f t="shared" si="3"/>
        <v>904.19999999999993</v>
      </c>
      <c r="S16" s="268" t="s">
        <v>18</v>
      </c>
      <c r="T16" s="283">
        <f t="shared" si="4"/>
        <v>25</v>
      </c>
      <c r="U16" s="284">
        <f>IF(M16=0,0,IF(G16="Annulation","",IF(assurance="ALPTIS",M16*12*T16/100*'1803 Data'!$K$4,IF(assurance="APRIL",M16*12*T16/100*'1803 Data'!$F$4,IF(assurance="ASAF",M16*12*T16/100*'1803 Data'!$I$4,IF(assurance="NEOLIANE",('1803 Data'!$G$5+M16*12*'1803 Data'!$G$4)*T16/100,IF(assurance="NEOLIANE Prev",('1803 Data'!$H$5+M16*12*'1803 Data'!$H$4)*T16/100,IF(assurance="SWISSLIFE",M16*12*T16/100*'1803 Data'!$J$4,IF(assurance="AVIVA",M16*12*T16/100*'1803 Data'!$L$4,IF(assurance="CIPRES",M16*12*T16/100*'1803 Data'!$M$4,IF(assurance="CEGEMA",M16*12*T16/100*'1803 Data'!$N$4,IF(assurance=0,0))))))))))))</f>
        <v>27.126000000000001</v>
      </c>
      <c r="V16" s="298">
        <f t="shared" si="5"/>
        <v>226.04999999999998</v>
      </c>
      <c r="W16" s="298">
        <f t="shared" si="6"/>
        <v>0</v>
      </c>
      <c r="X16" s="299">
        <f t="shared" si="42"/>
        <v>198.92399999999998</v>
      </c>
      <c r="Y16" s="368">
        <f t="shared" si="7"/>
        <v>0</v>
      </c>
      <c r="Z16" s="314">
        <v>43184</v>
      </c>
      <c r="AA16" s="313">
        <f t="shared" si="8"/>
        <v>3</v>
      </c>
      <c r="AB16" s="268" t="s">
        <v>13</v>
      </c>
      <c r="AC16" s="277"/>
      <c r="AD16" s="309" t="str">
        <f>IF(Z16=43466,"Programmée","")</f>
        <v/>
      </c>
      <c r="AE16" s="286" t="str">
        <f>IF(Z16=43466,43404,"")</f>
        <v/>
      </c>
      <c r="AF16" s="277"/>
      <c r="AG16" s="275">
        <f t="shared" si="11"/>
        <v>43466</v>
      </c>
      <c r="AH16" s="287">
        <f t="shared" ca="1" si="12"/>
        <v>0.20547945205479451</v>
      </c>
      <c r="AI16" s="373">
        <f t="shared" ca="1" si="13"/>
        <v>43466</v>
      </c>
      <c r="AJ16" s="275">
        <f t="shared" ca="1" si="14"/>
        <v>43404</v>
      </c>
      <c r="AK16" s="296">
        <f t="shared" ca="1" si="15"/>
        <v>43374</v>
      </c>
      <c r="AL16" s="287">
        <f t="shared" ca="1" si="16"/>
        <v>0.77260273972602744</v>
      </c>
      <c r="AM16" s="279">
        <f t="shared" si="17"/>
        <v>0</v>
      </c>
      <c r="AN16" s="279">
        <f t="shared" si="18"/>
        <v>0</v>
      </c>
      <c r="AO16" s="288">
        <f t="shared" si="19"/>
        <v>0</v>
      </c>
      <c r="AP16" s="279">
        <f t="shared" si="20"/>
        <v>75.349999999999994</v>
      </c>
      <c r="AQ16" s="288">
        <f t="shared" si="21"/>
        <v>0</v>
      </c>
      <c r="AR16" s="289">
        <f t="shared" si="22"/>
        <v>0</v>
      </c>
      <c r="AS16" s="279">
        <f t="shared" si="23"/>
        <v>0</v>
      </c>
      <c r="AT16" s="288">
        <f t="shared" si="24"/>
        <v>-1</v>
      </c>
      <c r="AU16" s="289">
        <f t="shared" si="25"/>
        <v>0</v>
      </c>
      <c r="AV16" s="279">
        <f t="shared" si="26"/>
        <v>0</v>
      </c>
      <c r="AW16" s="288">
        <f t="shared" si="27"/>
        <v>0</v>
      </c>
      <c r="AX16" s="289">
        <f t="shared" si="28"/>
        <v>-1</v>
      </c>
      <c r="AY16" s="290" t="s">
        <v>278</v>
      </c>
      <c r="AZ16" s="291">
        <v>1840249</v>
      </c>
      <c r="BA16" s="292">
        <v>1630</v>
      </c>
      <c r="BB16" s="303" t="s">
        <v>1253</v>
      </c>
      <c r="BC16" s="293" t="s">
        <v>1254</v>
      </c>
      <c r="BD16" s="293"/>
      <c r="BE16" s="304"/>
      <c r="BF16" s="274"/>
      <c r="BG16" s="270"/>
      <c r="BH16" s="268">
        <v>1</v>
      </c>
      <c r="BI16" s="273"/>
      <c r="BJ16" s="276">
        <v>29175</v>
      </c>
      <c r="BK16" s="294" t="s">
        <v>202</v>
      </c>
      <c r="BL16" s="269">
        <f t="shared" ca="1" si="29"/>
        <v>38</v>
      </c>
      <c r="BM16" s="270"/>
      <c r="BN16" s="271"/>
      <c r="BO16" s="272" t="str">
        <f t="shared" ca="1" si="30"/>
        <v/>
      </c>
      <c r="BP16" s="270"/>
      <c r="BQ16" s="271"/>
      <c r="BR16" s="272" t="str">
        <f t="shared" ca="1" si="31"/>
        <v/>
      </c>
      <c r="BS16" s="270"/>
      <c r="BT16" s="271"/>
      <c r="BU16" s="272" t="str">
        <f t="shared" ca="1" si="32"/>
        <v/>
      </c>
      <c r="BV16" s="270"/>
      <c r="BW16" s="271"/>
      <c r="BX16" s="272" t="str">
        <f t="shared" ca="1" si="33"/>
        <v/>
      </c>
      <c r="BY16" s="270"/>
      <c r="BZ16" s="271"/>
      <c r="CA16" s="272" t="str">
        <f t="shared" ca="1" si="34"/>
        <v/>
      </c>
      <c r="CB16" s="270"/>
      <c r="CC16" s="271"/>
      <c r="CD16" s="272" t="str">
        <f t="shared" ca="1" si="35"/>
        <v/>
      </c>
      <c r="CE16" s="270"/>
      <c r="CF16" s="271"/>
      <c r="CG16" s="272" t="str">
        <f t="shared" ca="1" si="36"/>
        <v/>
      </c>
      <c r="CH16" s="270"/>
      <c r="CI16" s="271"/>
      <c r="CJ16" s="272" t="str">
        <f t="shared" ca="1" si="37"/>
        <v/>
      </c>
      <c r="CK16" s="262"/>
      <c r="CL16" s="264"/>
      <c r="CM16" s="264"/>
      <c r="CN16" s="264"/>
      <c r="CO16" s="264"/>
      <c r="CP16" s="264"/>
      <c r="CQ16" s="264"/>
      <c r="CR16" s="262" t="s">
        <v>1252</v>
      </c>
      <c r="CS16" s="263" t="s">
        <v>524</v>
      </c>
      <c r="CT16" s="297">
        <f t="shared" ca="1" si="38"/>
        <v>38</v>
      </c>
      <c r="CU16" s="264"/>
      <c r="CV16" s="265"/>
      <c r="CW16" s="264"/>
      <c r="CX16" s="264"/>
      <c r="CY16" s="264" t="s">
        <v>1287</v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39"/>
        <v>0</v>
      </c>
      <c r="DN16" s="295" t="str">
        <f t="shared" si="40"/>
        <v>Mini</v>
      </c>
    </row>
    <row r="17" spans="1:118" x14ac:dyDescent="0.25">
      <c r="A17" s="599" t="str">
        <f t="shared" si="41"/>
        <v>FOUSSAL DE BELERD Eric - APRIL - Santé Individuelle</v>
      </c>
      <c r="B17" s="306"/>
      <c r="C17" s="305" t="s">
        <v>1258</v>
      </c>
      <c r="D17" s="301" t="s">
        <v>1257</v>
      </c>
      <c r="E17" s="276">
        <v>43182</v>
      </c>
      <c r="F17" s="278" t="s">
        <v>546</v>
      </c>
      <c r="G17" s="311" t="s">
        <v>172</v>
      </c>
      <c r="H17" s="276">
        <v>43136</v>
      </c>
      <c r="I17" s="313">
        <f t="shared" si="1"/>
        <v>46</v>
      </c>
      <c r="J17" s="312" t="s">
        <v>20</v>
      </c>
      <c r="K17" s="268" t="s">
        <v>33</v>
      </c>
      <c r="L17" s="277" t="s">
        <v>127</v>
      </c>
      <c r="M17" s="279">
        <v>179.68</v>
      </c>
      <c r="N17" s="280">
        <v>179.68</v>
      </c>
      <c r="O17" s="280">
        <v>0</v>
      </c>
      <c r="P17" s="285" t="s">
        <v>57</v>
      </c>
      <c r="Q17" s="281" t="str">
        <f t="shared" si="2"/>
        <v/>
      </c>
      <c r="R17" s="282">
        <f t="shared" si="3"/>
        <v>2156.16</v>
      </c>
      <c r="S17" s="268" t="s">
        <v>18</v>
      </c>
      <c r="T17" s="283">
        <f t="shared" si="4"/>
        <v>25</v>
      </c>
      <c r="U17" s="284">
        <f>IF(M17=0,0,IF(G17="Annulation","",IF(assurance="ALPTIS",M17*12*T17/100*'1803 Data'!$K$4,IF(assurance="APRIL",M17*12*T17/100*'1803 Data'!$F$4,IF(assurance="ASAF",M17*12*T17/100*'1803 Data'!$I$4,IF(assurance="NEOLIANE",('1803 Data'!$G$5+M17*12*'1803 Data'!$G$4)*T17/100,IF(assurance="NEOLIANE Prev",('1803 Data'!$H$5+M17*12*'1803 Data'!$H$4)*T17/100,IF(assurance="SWISSLIFE",M17*12*T17/100*'1803 Data'!$J$4,IF(assurance="AVIVA",M17*12*T17/100*'1803 Data'!$L$4,IF(assurance="CIPRES",M17*12*T17/100*'1803 Data'!$M$4,IF(assurance="CEGEMA",M17*12*T17/100*'1803 Data'!$N$4,IF(assurance=0,0))))))))))))</f>
        <v>61.073231999999997</v>
      </c>
      <c r="V17" s="298">
        <f t="shared" si="5"/>
        <v>539.04</v>
      </c>
      <c r="W17" s="298">
        <f t="shared" si="6"/>
        <v>0</v>
      </c>
      <c r="X17" s="299">
        <f t="shared" si="42"/>
        <v>477.96676799999995</v>
      </c>
      <c r="Y17" s="368">
        <f t="shared" si="7"/>
        <v>0</v>
      </c>
      <c r="Z17" s="314">
        <v>43466</v>
      </c>
      <c r="AA17" s="313">
        <f t="shared" si="8"/>
        <v>284</v>
      </c>
      <c r="AB17" s="268" t="s">
        <v>35</v>
      </c>
      <c r="AC17" s="277" t="s">
        <v>17</v>
      </c>
      <c r="AD17" s="309" t="s">
        <v>98</v>
      </c>
      <c r="AE17" s="286">
        <v>43404</v>
      </c>
      <c r="AF17" s="277" t="s">
        <v>503</v>
      </c>
      <c r="AG17" s="275">
        <f t="shared" si="11"/>
        <v>43831</v>
      </c>
      <c r="AH17" s="287">
        <f t="shared" ca="1" si="12"/>
        <v>-0.56712328767123288</v>
      </c>
      <c r="AI17" s="373">
        <f t="shared" ca="1" si="13"/>
        <v>43831</v>
      </c>
      <c r="AJ17" s="275">
        <f t="shared" ca="1" si="14"/>
        <v>43769</v>
      </c>
      <c r="AK17" s="296">
        <f t="shared" ca="1" si="15"/>
        <v>43739</v>
      </c>
      <c r="AL17" s="287">
        <f t="shared" ca="1" si="16"/>
        <v>1</v>
      </c>
      <c r="AM17" s="279">
        <f t="shared" si="17"/>
        <v>0</v>
      </c>
      <c r="AN17" s="279">
        <f t="shared" si="18"/>
        <v>0</v>
      </c>
      <c r="AO17" s="288">
        <f t="shared" si="19"/>
        <v>0</v>
      </c>
      <c r="AP17" s="279">
        <f t="shared" si="20"/>
        <v>0</v>
      </c>
      <c r="AQ17" s="288">
        <f t="shared" si="21"/>
        <v>0</v>
      </c>
      <c r="AR17" s="289">
        <f t="shared" si="22"/>
        <v>0</v>
      </c>
      <c r="AS17" s="279">
        <f t="shared" si="23"/>
        <v>179.68</v>
      </c>
      <c r="AT17" s="288">
        <f t="shared" si="24"/>
        <v>0</v>
      </c>
      <c r="AU17" s="289">
        <f t="shared" si="25"/>
        <v>0</v>
      </c>
      <c r="AV17" s="279">
        <f t="shared" si="26"/>
        <v>0</v>
      </c>
      <c r="AW17" s="288">
        <f t="shared" si="27"/>
        <v>-1</v>
      </c>
      <c r="AX17" s="289">
        <f t="shared" si="28"/>
        <v>-1</v>
      </c>
      <c r="AY17" s="290" t="s">
        <v>278</v>
      </c>
      <c r="AZ17" s="291">
        <v>680494100</v>
      </c>
      <c r="BA17" s="292">
        <v>32600</v>
      </c>
      <c r="BB17" s="303" t="s">
        <v>1259</v>
      </c>
      <c r="BC17" s="293">
        <v>752033188</v>
      </c>
      <c r="BD17" s="293"/>
      <c r="BE17" s="304" t="s">
        <v>1260</v>
      </c>
      <c r="BF17" s="274" t="s">
        <v>1261</v>
      </c>
      <c r="BG17" s="270" t="s">
        <v>1262</v>
      </c>
      <c r="BH17" s="268">
        <v>2</v>
      </c>
      <c r="BI17" s="273">
        <v>0</v>
      </c>
      <c r="BJ17" s="276">
        <v>21198</v>
      </c>
      <c r="BK17" s="294" t="s">
        <v>202</v>
      </c>
      <c r="BL17" s="269">
        <f t="shared" ca="1" si="29"/>
        <v>60</v>
      </c>
      <c r="BM17" s="270">
        <v>19579</v>
      </c>
      <c r="BN17" s="271" t="s">
        <v>200</v>
      </c>
      <c r="BO17" s="272">
        <f t="shared" ca="1" si="30"/>
        <v>64</v>
      </c>
      <c r="BP17" s="270"/>
      <c r="BQ17" s="271"/>
      <c r="BR17" s="272" t="str">
        <f t="shared" ca="1" si="31"/>
        <v/>
      </c>
      <c r="BS17" s="270"/>
      <c r="BT17" s="271"/>
      <c r="BU17" s="272" t="str">
        <f t="shared" ca="1" si="32"/>
        <v/>
      </c>
      <c r="BV17" s="270"/>
      <c r="BW17" s="271"/>
      <c r="BX17" s="272" t="str">
        <f t="shared" ca="1" si="33"/>
        <v/>
      </c>
      <c r="BY17" s="270"/>
      <c r="BZ17" s="271"/>
      <c r="CA17" s="272" t="str">
        <f t="shared" ca="1" si="34"/>
        <v/>
      </c>
      <c r="CB17" s="270"/>
      <c r="CC17" s="271"/>
      <c r="CD17" s="272" t="str">
        <f t="shared" ca="1" si="35"/>
        <v/>
      </c>
      <c r="CE17" s="270"/>
      <c r="CF17" s="271"/>
      <c r="CG17" s="272" t="str">
        <f t="shared" ca="1" si="36"/>
        <v/>
      </c>
      <c r="CH17" s="270"/>
      <c r="CI17" s="271"/>
      <c r="CJ17" s="272" t="str">
        <f t="shared" ca="1" si="37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38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9"/>
        <v>0</v>
      </c>
      <c r="DN17" s="295" t="str">
        <f t="shared" si="40"/>
        <v>OK</v>
      </c>
    </row>
    <row r="18" spans="1:118" x14ac:dyDescent="0.25">
      <c r="A18" s="599" t="str">
        <f t="shared" si="41"/>
        <v>GILLERAT Olga - ALPTIS - Santé Individuelle</v>
      </c>
      <c r="B18" s="306"/>
      <c r="C18" s="305" t="s">
        <v>146</v>
      </c>
      <c r="D18" s="301" t="s">
        <v>1146</v>
      </c>
      <c r="E18" s="276">
        <v>43185</v>
      </c>
      <c r="F18" s="278" t="s">
        <v>547</v>
      </c>
      <c r="G18" s="311" t="s">
        <v>173</v>
      </c>
      <c r="H18" s="276">
        <v>43060</v>
      </c>
      <c r="I18" s="313">
        <f t="shared" si="1"/>
        <v>125</v>
      </c>
      <c r="J18" s="312" t="s">
        <v>20</v>
      </c>
      <c r="K18" s="268" t="s">
        <v>17</v>
      </c>
      <c r="L18" s="277" t="s">
        <v>147</v>
      </c>
      <c r="M18" s="279">
        <v>107.26</v>
      </c>
      <c r="N18" s="280">
        <v>107.26</v>
      </c>
      <c r="O18" s="280">
        <v>0</v>
      </c>
      <c r="P18" s="285" t="s">
        <v>57</v>
      </c>
      <c r="Q18" s="281" t="str">
        <f t="shared" si="2"/>
        <v/>
      </c>
      <c r="R18" s="282">
        <f t="shared" si="3"/>
        <v>1287.1200000000001</v>
      </c>
      <c r="S18" s="268" t="s">
        <v>18</v>
      </c>
      <c r="T18" s="283">
        <f t="shared" si="4"/>
        <v>25</v>
      </c>
      <c r="U18" s="284">
        <f>IF(M18=0,0,IF(G18="Annulation","",IF(assurance="ALPTIS",M18*12*T18/100*'1803 Data'!$K$4,IF(assurance="APRIL",M18*12*T18/100*'1803 Data'!$F$4,IF(assurance="ASAF",M18*12*T18/100*'1803 Data'!$I$4,IF(assurance="NEOLIANE",('1803 Data'!$G$5+M18*12*'1803 Data'!$G$4)*T18/100,IF(assurance="NEOLIANE Prev",('1803 Data'!$H$5+M18*12*'1803 Data'!$H$4)*T18/100,IF(assurance="SWISSLIFE",M18*12*T18/100*'1803 Data'!$J$4,IF(assurance="AVIVA",M18*12*T18/100*'1803 Data'!$L$4,IF(assurance="CIPRES",M18*12*T18/100*'1803 Data'!$M$4,IF(assurance="CEGEMA",M18*12*T18/100*'1803 Data'!$N$4,IF(assurance=0,0))))))))))))</f>
        <v>38.613600000000005</v>
      </c>
      <c r="V18" s="298">
        <f t="shared" si="5"/>
        <v>321.78000000000003</v>
      </c>
      <c r="W18" s="298">
        <f t="shared" si="6"/>
        <v>0</v>
      </c>
      <c r="X18" s="299">
        <f t="shared" si="42"/>
        <v>283.16640000000001</v>
      </c>
      <c r="Y18" s="368">
        <f t="shared" si="7"/>
        <v>0</v>
      </c>
      <c r="Z18" s="314">
        <v>43466</v>
      </c>
      <c r="AA18" s="313">
        <f t="shared" si="8"/>
        <v>281</v>
      </c>
      <c r="AB18" s="268" t="s">
        <v>35</v>
      </c>
      <c r="AC18" s="277" t="s">
        <v>33</v>
      </c>
      <c r="AD18" s="309" t="s">
        <v>98</v>
      </c>
      <c r="AE18" s="286">
        <v>43404</v>
      </c>
      <c r="AF18" s="277"/>
      <c r="AG18" s="275">
        <f t="shared" si="11"/>
        <v>43831</v>
      </c>
      <c r="AH18" s="287">
        <f t="shared" ca="1" si="12"/>
        <v>-0.56712328767123288</v>
      </c>
      <c r="AI18" s="373">
        <f t="shared" ca="1" si="13"/>
        <v>43831</v>
      </c>
      <c r="AJ18" s="275">
        <f t="shared" ca="1" si="14"/>
        <v>43769</v>
      </c>
      <c r="AK18" s="296">
        <f t="shared" ca="1" si="15"/>
        <v>43739</v>
      </c>
      <c r="AL18" s="287">
        <f t="shared" ca="1" si="16"/>
        <v>1</v>
      </c>
      <c r="AM18" s="279">
        <f t="shared" si="17"/>
        <v>0</v>
      </c>
      <c r="AN18" s="279">
        <f t="shared" si="18"/>
        <v>0</v>
      </c>
      <c r="AO18" s="288">
        <f t="shared" si="19"/>
        <v>0</v>
      </c>
      <c r="AP18" s="279">
        <f t="shared" si="20"/>
        <v>0</v>
      </c>
      <c r="AQ18" s="288">
        <f t="shared" si="21"/>
        <v>0</v>
      </c>
      <c r="AR18" s="289">
        <f t="shared" si="22"/>
        <v>0</v>
      </c>
      <c r="AS18" s="279">
        <f t="shared" si="23"/>
        <v>107.26</v>
      </c>
      <c r="AT18" s="288">
        <f t="shared" si="24"/>
        <v>0</v>
      </c>
      <c r="AU18" s="289">
        <f t="shared" si="25"/>
        <v>0</v>
      </c>
      <c r="AV18" s="279">
        <f t="shared" si="26"/>
        <v>0</v>
      </c>
      <c r="AW18" s="288">
        <f t="shared" si="27"/>
        <v>-1</v>
      </c>
      <c r="AX18" s="289">
        <f t="shared" si="28"/>
        <v>-1</v>
      </c>
      <c r="AY18" s="290" t="s">
        <v>273</v>
      </c>
      <c r="AZ18" s="291">
        <v>1840023</v>
      </c>
      <c r="BA18" s="292">
        <v>25220</v>
      </c>
      <c r="BB18" s="303" t="s">
        <v>81</v>
      </c>
      <c r="BC18" s="293">
        <v>381610511</v>
      </c>
      <c r="BD18" s="293"/>
      <c r="BE18" s="304" t="s">
        <v>1255</v>
      </c>
      <c r="BF18" s="274" t="s">
        <v>1256</v>
      </c>
      <c r="BG18" s="270"/>
      <c r="BH18" s="268">
        <v>1</v>
      </c>
      <c r="BI18" s="273">
        <v>0</v>
      </c>
      <c r="BJ18" s="276">
        <v>11890</v>
      </c>
      <c r="BK18" s="294" t="s">
        <v>200</v>
      </c>
      <c r="BL18" s="269">
        <f t="shared" ca="1" si="29"/>
        <v>85</v>
      </c>
      <c r="BM18" s="270"/>
      <c r="BN18" s="271"/>
      <c r="BO18" s="272" t="str">
        <f t="shared" ca="1" si="30"/>
        <v/>
      </c>
      <c r="BP18" s="270"/>
      <c r="BQ18" s="271"/>
      <c r="BR18" s="272" t="str">
        <f t="shared" ca="1" si="31"/>
        <v/>
      </c>
      <c r="BS18" s="270"/>
      <c r="BT18" s="271"/>
      <c r="BU18" s="272" t="str">
        <f t="shared" ca="1" si="32"/>
        <v/>
      </c>
      <c r="BV18" s="270"/>
      <c r="BW18" s="271"/>
      <c r="BX18" s="272" t="str">
        <f t="shared" ca="1" si="33"/>
        <v/>
      </c>
      <c r="BY18" s="270"/>
      <c r="BZ18" s="271"/>
      <c r="CA18" s="272" t="str">
        <f t="shared" ca="1" si="34"/>
        <v/>
      </c>
      <c r="CB18" s="270"/>
      <c r="CC18" s="271"/>
      <c r="CD18" s="272" t="str">
        <f t="shared" ca="1" si="35"/>
        <v/>
      </c>
      <c r="CE18" s="270"/>
      <c r="CF18" s="271"/>
      <c r="CG18" s="272" t="str">
        <f t="shared" ca="1" si="36"/>
        <v/>
      </c>
      <c r="CH18" s="270"/>
      <c r="CI18" s="271"/>
      <c r="CJ18" s="272" t="str">
        <f t="shared" ca="1" si="37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8"/>
        <v/>
      </c>
      <c r="CU18" s="264" t="s">
        <v>108</v>
      </c>
      <c r="CV18" s="265">
        <v>41913</v>
      </c>
      <c r="CW18" s="264" t="s">
        <v>307</v>
      </c>
      <c r="CX18" s="264" t="s">
        <v>483</v>
      </c>
      <c r="CY18" s="264" t="s">
        <v>351</v>
      </c>
      <c r="CZ18" s="264" t="s">
        <v>359</v>
      </c>
      <c r="DA18" s="264" t="s">
        <v>351</v>
      </c>
      <c r="DB18" s="266">
        <v>2250</v>
      </c>
      <c r="DC18" s="264" t="s">
        <v>365</v>
      </c>
      <c r="DD18" s="264" t="s">
        <v>362</v>
      </c>
      <c r="DE18" s="266">
        <v>0</v>
      </c>
      <c r="DF18" s="266">
        <v>37500</v>
      </c>
      <c r="DG18" s="264" t="s">
        <v>35</v>
      </c>
      <c r="DH18" s="266">
        <v>0</v>
      </c>
      <c r="DI18" s="266">
        <v>0</v>
      </c>
      <c r="DJ18" s="264" t="s">
        <v>351</v>
      </c>
      <c r="DK18" s="264" t="s">
        <v>351</v>
      </c>
      <c r="DL18" s="267"/>
      <c r="DM18" s="261">
        <f t="shared" si="39"/>
        <v>0</v>
      </c>
      <c r="DN18" s="295" t="str">
        <f t="shared" si="40"/>
        <v>OK</v>
      </c>
    </row>
  </sheetData>
  <sortState ref="C2:DO18">
    <sortCondition ref="E1"/>
  </sortState>
  <mergeCells count="1">
    <mergeCell ref="A1:B1"/>
  </mergeCells>
  <conditionalFormatting sqref="BG2:BG18 CH2:CH18 CE2:CE18 CB2:CB18 BY2:BY18 BV2:BV18 BP2:BP18 BM2:BM18 BS1:BS18">
    <cfRule type="expression" dxfId="1409" priority="574">
      <formula>$J1="Santé Individuelle"</formula>
    </cfRule>
  </conditionalFormatting>
  <conditionalFormatting sqref="BO2:BO18 BR2:BR18 BX2:BX18 CA2:CA18 CD2:CD18 CG2:CG18 CJ2:CJ18 BU1:BU18">
    <cfRule type="expression" dxfId="1408" priority="575">
      <formula>$J1="Santé Individuelle"</formula>
    </cfRule>
  </conditionalFormatting>
  <conditionalFormatting sqref="BV1">
    <cfRule type="expression" dxfId="1407" priority="570">
      <formula>$J1="Santé Individuelle"</formula>
    </cfRule>
  </conditionalFormatting>
  <conditionalFormatting sqref="BX1">
    <cfRule type="expression" dxfId="1406" priority="571">
      <formula>$J1="Santé Individuelle"</formula>
    </cfRule>
  </conditionalFormatting>
  <conditionalFormatting sqref="BY1">
    <cfRule type="expression" dxfId="1405" priority="566">
      <formula>$J1="Santé Individuelle"</formula>
    </cfRule>
  </conditionalFormatting>
  <conditionalFormatting sqref="CA1">
    <cfRule type="expression" dxfId="1404" priority="567">
      <formula>$J1="Santé Individuelle"</formula>
    </cfRule>
  </conditionalFormatting>
  <conditionalFormatting sqref="CB1">
    <cfRule type="expression" dxfId="1403" priority="562">
      <formula>$J1="Santé Individuelle"</formula>
    </cfRule>
  </conditionalFormatting>
  <conditionalFormatting sqref="CD1">
    <cfRule type="expression" dxfId="1402" priority="563">
      <formula>$J1="Santé Individuelle"</formula>
    </cfRule>
  </conditionalFormatting>
  <conditionalFormatting sqref="CE1">
    <cfRule type="expression" dxfId="1401" priority="558">
      <formula>$J1="Santé Individuelle"</formula>
    </cfRule>
  </conditionalFormatting>
  <conditionalFormatting sqref="CG1">
    <cfRule type="expression" dxfId="1400" priority="559">
      <formula>$J1="Santé Individuelle"</formula>
    </cfRule>
  </conditionalFormatting>
  <conditionalFormatting sqref="CH1">
    <cfRule type="expression" dxfId="1399" priority="554">
      <formula>$J1="Santé Individuelle"</formula>
    </cfRule>
  </conditionalFormatting>
  <conditionalFormatting sqref="CJ1">
    <cfRule type="expression" dxfId="1398" priority="555">
      <formula>$J1="Santé Individuelle"</formula>
    </cfRule>
  </conditionalFormatting>
  <conditionalFormatting sqref="BM1">
    <cfRule type="expression" dxfId="1397" priority="580">
      <formula>$BH1=1</formula>
    </cfRule>
  </conditionalFormatting>
  <conditionalFormatting sqref="BO1">
    <cfRule type="expression" dxfId="1396" priority="581">
      <formula>$BH1=1</formula>
    </cfRule>
  </conditionalFormatting>
  <conditionalFormatting sqref="BP1">
    <cfRule type="expression" dxfId="1395" priority="578">
      <formula>$J1="Santé Individuelle"</formula>
    </cfRule>
  </conditionalFormatting>
  <conditionalFormatting sqref="BR1">
    <cfRule type="expression" dxfId="1394" priority="579">
      <formula>$J1="Santé Individuelle"</formula>
    </cfRule>
  </conditionalFormatting>
  <conditionalFormatting sqref="BP1">
    <cfRule type="expression" dxfId="1393" priority="577">
      <formula>$BI1=0</formula>
    </cfRule>
  </conditionalFormatting>
  <conditionalFormatting sqref="BR1">
    <cfRule type="expression" dxfId="1392" priority="576">
      <formula>$BI1=0</formula>
    </cfRule>
  </conditionalFormatting>
  <conditionalFormatting sqref="BS1">
    <cfRule type="expression" dxfId="1391" priority="573">
      <formula>$BI1&lt;2</formula>
    </cfRule>
  </conditionalFormatting>
  <conditionalFormatting sqref="BU1">
    <cfRule type="expression" dxfId="1390" priority="572">
      <formula>$BI1&lt;2</formula>
    </cfRule>
  </conditionalFormatting>
  <conditionalFormatting sqref="BV1">
    <cfRule type="expression" dxfId="1389" priority="569">
      <formula>$BI1&lt;3</formula>
    </cfRule>
  </conditionalFormatting>
  <conditionalFormatting sqref="BX1">
    <cfRule type="expression" dxfId="1388" priority="568">
      <formula>$BI1&lt;3</formula>
    </cfRule>
  </conditionalFormatting>
  <conditionalFormatting sqref="BY1">
    <cfRule type="expression" dxfId="1387" priority="565">
      <formula>$BI1&lt;4</formula>
    </cfRule>
  </conditionalFormatting>
  <conditionalFormatting sqref="CA1">
    <cfRule type="expression" dxfId="1386" priority="564">
      <formula>$BI1&lt;4</formula>
    </cfRule>
  </conditionalFormatting>
  <conditionalFormatting sqref="CB1">
    <cfRule type="expression" dxfId="1385" priority="561">
      <formula>$BI1&lt;5</formula>
    </cfRule>
  </conditionalFormatting>
  <conditionalFormatting sqref="CD1">
    <cfRule type="expression" dxfId="1384" priority="560">
      <formula>$BI1&lt;5</formula>
    </cfRule>
  </conditionalFormatting>
  <conditionalFormatting sqref="CE1">
    <cfRule type="expression" dxfId="1383" priority="557">
      <formula>$BI1&lt;6</formula>
    </cfRule>
  </conditionalFormatting>
  <conditionalFormatting sqref="CG1">
    <cfRule type="expression" dxfId="1382" priority="556">
      <formula>$BI1&lt;6</formula>
    </cfRule>
  </conditionalFormatting>
  <conditionalFormatting sqref="CH1">
    <cfRule type="expression" dxfId="1381" priority="553">
      <formula>$BI1&lt;7</formula>
    </cfRule>
  </conditionalFormatting>
  <conditionalFormatting sqref="CJ1">
    <cfRule type="expression" dxfId="1380" priority="552">
      <formula>$BI1&lt;7</formula>
    </cfRule>
  </conditionalFormatting>
  <conditionalFormatting sqref="C1:H1 AY1:DL1 J1:X1">
    <cfRule type="notContainsBlanks" dxfId="1379" priority="551">
      <formula>LEN(TRIM(C1))&gt;0</formula>
    </cfRule>
  </conditionalFormatting>
  <conditionalFormatting sqref="A1">
    <cfRule type="containsText" dxfId="1378" priority="547" operator="containsText" text="Trans.">
      <formula>NOT(ISERROR(SEARCH("Trans.",A1)))</formula>
    </cfRule>
    <cfRule type="containsText" dxfId="1377" priority="548" operator="containsText" text="Inter.">
      <formula>NOT(ISERROR(SEARCH("Inter.",A1)))</formula>
    </cfRule>
    <cfRule type="containsText" dxfId="1376" priority="549" operator="containsText" text="Tout">
      <formula>NOT(ISERROR(SEARCH("Tout",A1)))</formula>
    </cfRule>
    <cfRule type="containsText" dxfId="1375" priority="550" operator="containsText" text="Mini">
      <formula>NOT(ISERROR(SEARCH("Mini",A1)))</formula>
    </cfRule>
  </conditionalFormatting>
  <conditionalFormatting sqref="A1">
    <cfRule type="notContainsBlanks" dxfId="1374" priority="546">
      <formula>LEN(TRIM(A1))&gt;0</formula>
    </cfRule>
  </conditionalFormatting>
  <conditionalFormatting sqref="AB1:AC1">
    <cfRule type="notContainsBlanks" dxfId="1373" priority="545">
      <formula>LEN(TRIM(AB1))&gt;0</formula>
    </cfRule>
  </conditionalFormatting>
  <conditionalFormatting sqref="AD1">
    <cfRule type="notContainsBlanks" dxfId="1372" priority="544">
      <formula>LEN(TRIM(AD1))&gt;0</formula>
    </cfRule>
  </conditionalFormatting>
  <conditionalFormatting sqref="BH2:BH18 BJ2:BL18 T2:X18 AH2:AH18 G2:H18 AB2:AB12 AB17:AE18 AB14:AB16 AB13:AD13">
    <cfRule type="containsBlanks" dxfId="1371" priority="447">
      <formula>LEN(TRIM(G2))=0</formula>
    </cfRule>
    <cfRule type="cellIs" dxfId="1370" priority="541" operator="equal">
      <formula>0</formula>
    </cfRule>
  </conditionalFormatting>
  <conditionalFormatting sqref="O2:W18 H2:I18 M2:M18 AG2:AH18 AA2:AB12 AA17:AE18 AA14:AB16 AA13:AD13 AE3:AE12 AJ2:DL18">
    <cfRule type="expression" dxfId="1369" priority="336">
      <formula>$G2="Annulation"</formula>
    </cfRule>
  </conditionalFormatting>
  <conditionalFormatting sqref="BJ2:BL18 AZ2:BE18 DM2:DM18 BH2:BH18 C2:H18 J2:L18 N2:N18 U2:Z18 AG2:AH18 AJ2:AX18 AB2:AB12 AB17:AE18 AB14:AB16 AB13:AD13 AE3:AE12">
    <cfRule type="expression" dxfId="1368" priority="343">
      <formula>$G2&lt;&gt;"Annulation"</formula>
    </cfRule>
  </conditionalFormatting>
  <conditionalFormatting sqref="U2:U18">
    <cfRule type="expression" dxfId="1367" priority="396">
      <formula>$DM2="Trans."</formula>
    </cfRule>
  </conditionalFormatting>
  <conditionalFormatting sqref="P2:P18">
    <cfRule type="cellIs" dxfId="1366" priority="514" operator="equal">
      <formula>"Refus Médical"</formula>
    </cfRule>
    <cfRule type="cellIs" dxfId="1365" priority="515" operator="equal">
      <formula>"Annulé"</formula>
    </cfRule>
    <cfRule type="cellIs" dxfId="1364" priority="516" operator="equal">
      <formula>"Déjà Signé"</formula>
    </cfRule>
    <cfRule type="cellIs" dxfId="1363" priority="517" operator="equal">
      <formula>"Sans Suite"</formula>
    </cfRule>
    <cfRule type="cellIs" dxfId="1362" priority="518" operator="equal">
      <formula>"Refus"</formula>
    </cfRule>
    <cfRule type="cellIs" dxfId="1361" priority="519" operator="equal">
      <formula>"Report + Médical"</formula>
    </cfRule>
    <cfRule type="cellIs" dxfId="1360" priority="520" operator="equal">
      <formula>"Report"</formula>
    </cfRule>
    <cfRule type="cellIs" dxfId="1359" priority="521" operator="equal">
      <formula>"Signature"</formula>
    </cfRule>
    <cfRule type="cellIs" dxfId="1358" priority="522" operator="equal">
      <formula>"Contrat Papier + Mécical"</formula>
    </cfRule>
    <cfRule type="cellIs" dxfId="1357" priority="523" operator="equal">
      <formula>"Validation Médicale"</formula>
    </cfRule>
    <cfRule type="cellIs" dxfId="1356" priority="524" operator="equal">
      <formula>"Contrat Papier"</formula>
    </cfRule>
    <cfRule type="cellIs" dxfId="1355" priority="525" operator="equal">
      <formula>"Validation Compagnie"</formula>
    </cfRule>
    <cfRule type="cellIs" dxfId="1354" priority="526" operator="equal">
      <formula>"V"</formula>
    </cfRule>
  </conditionalFormatting>
  <conditionalFormatting sqref="AE17:AE18">
    <cfRule type="cellIs" dxfId="1353" priority="456" operator="equal">
      <formula>43404</formula>
    </cfRule>
  </conditionalFormatting>
  <conditionalFormatting sqref="AD13 AD17:AD18">
    <cfRule type="cellIs" dxfId="1352" priority="448" operator="equal">
      <formula>"KO"</formula>
    </cfRule>
    <cfRule type="cellIs" dxfId="1351" priority="449" operator="equal">
      <formula>"A faire"</formula>
    </cfRule>
    <cfRule type="cellIs" dxfId="1350" priority="450" operator="equal">
      <formula>"Report"</formula>
    </cfRule>
    <cfRule type="cellIs" dxfId="1349" priority="451" operator="equal">
      <formula>"Retour"</formula>
    </cfRule>
    <cfRule type="cellIs" dxfId="1348" priority="452" operator="equal">
      <formula>"Envoyée"</formula>
    </cfRule>
    <cfRule type="cellIs" dxfId="1347" priority="453" operator="equal">
      <formula>"Programmée"</formula>
    </cfRule>
    <cfRule type="cellIs" dxfId="1346" priority="454" operator="equal">
      <formula>"Reçue"</formula>
    </cfRule>
    <cfRule type="cellIs" dxfId="1345" priority="455" operator="equal">
      <formula>"OK"</formula>
    </cfRule>
  </conditionalFormatting>
  <conditionalFormatting sqref="J2:J18">
    <cfRule type="containsText" dxfId="1344" priority="527" operator="containsText" text="Autre">
      <formula>NOT(ISERROR(SEARCH("Autre",J2)))</formula>
    </cfRule>
    <cfRule type="containsText" dxfId="1343" priority="536" operator="containsText" text="Prev. Part">
      <formula>NOT(ISERROR(SEARCH("Prev. Part",J2)))</formula>
    </cfRule>
    <cfRule type="containsText" dxfId="1342" priority="537" operator="containsText" text="Santé Collective">
      <formula>NOT(ISERROR(SEARCH("Santé Collective",J2)))</formula>
    </cfRule>
    <cfRule type="containsText" dxfId="1341" priority="538" operator="containsText" text="Santé Individuelle">
      <formula>NOT(ISERROR(SEARCH("Santé Individuelle",J2)))</formula>
    </cfRule>
    <cfRule type="containsText" dxfId="1340" priority="539" operator="containsText" text="Prev. Pro">
      <formula>NOT(ISERROR(SEARCH("Prev. Pro",J2)))</formula>
    </cfRule>
  </conditionalFormatting>
  <conditionalFormatting sqref="K2:K18">
    <cfRule type="containsText" dxfId="1339" priority="528" operator="containsText" text="CEGEMA">
      <formula>NOT(ISERROR(SEARCH("CEGEMA",K2)))</formula>
    </cfRule>
    <cfRule type="containsText" dxfId="1338" priority="529" operator="containsText" text="ASAF">
      <formula>NOT(ISERROR(SEARCH("ASAF",K2)))</formula>
    </cfRule>
    <cfRule type="containsText" dxfId="1337" priority="530" operator="containsText" text="AVIVA">
      <formula>NOT(ISERROR(SEARCH("AVIVA",K2)))</formula>
    </cfRule>
    <cfRule type="containsText" dxfId="1336" priority="531" operator="containsText" text="CIPRES">
      <formula>NOT(ISERROR(SEARCH("CIPRES",K2)))</formula>
    </cfRule>
    <cfRule type="containsText" dxfId="1335" priority="532" operator="containsText" text="ALPTIS">
      <formula>NOT(ISERROR(SEARCH("ALPTIS",K2)))</formula>
    </cfRule>
    <cfRule type="containsText" dxfId="1334" priority="533" operator="containsText" text="NEOLIANE">
      <formula>NOT(ISERROR(SEARCH("NEOLIANE",K2)))</formula>
    </cfRule>
    <cfRule type="containsText" dxfId="1333" priority="534" operator="containsText" text="SWISSLIFE">
      <formula>NOT(ISERROR(SEARCH("SWISSLIFE",K2)))</formula>
    </cfRule>
    <cfRule type="containsText" dxfId="1332" priority="535" operator="containsText" text="APRIL">
      <formula>NOT(ISERROR(SEARCH("APRIL",K2)))</formula>
    </cfRule>
  </conditionalFormatting>
  <conditionalFormatting sqref="P2:P18">
    <cfRule type="containsText" dxfId="1331" priority="508" operator="containsText" text="Impayé">
      <formula>NOT(ISERROR(SEARCH("Impayé",P2)))</formula>
    </cfRule>
    <cfRule type="containsText" dxfId="1330" priority="509" operator="containsText" text="Résilié">
      <formula>NOT(ISERROR(SEARCH("Résilié",P2)))</formula>
    </cfRule>
    <cfRule type="containsText" dxfId="1329" priority="510" operator="containsText" text="Radié">
      <formula>NOT(ISERROR(SEARCH("Radié",P2)))</formula>
    </cfRule>
    <cfRule type="containsText" dxfId="1328" priority="511" operator="containsText" text="Pas Trouvé">
      <formula>NOT(ISERROR(SEARCH("Pas Trouvé",P2)))</formula>
    </cfRule>
    <cfRule type="containsText" dxfId="1327" priority="512" operator="containsText" text="A Jour">
      <formula>NOT(ISERROR(SEARCH("A Jour",P2)))</formula>
    </cfRule>
    <cfRule type="containsText" dxfId="1326" priority="513" operator="containsText" text="A Trouver">
      <formula>NOT(ISERROR(SEARCH("A Trouver",P2)))</formula>
    </cfRule>
  </conditionalFormatting>
  <conditionalFormatting sqref="AY2:AY18">
    <cfRule type="containsText" dxfId="1325" priority="502" operator="containsText" text="Sympathie">
      <formula>NOT(ISERROR(SEARCH("Sympathie",AY2)))</formula>
    </cfRule>
  </conditionalFormatting>
  <conditionalFormatting sqref="AY2:AY18">
    <cfRule type="containsText" dxfId="1324" priority="503" operator="containsText" text="Argent">
      <formula>NOT(ISERROR(SEARCH("Argent",AY2)))</formula>
    </cfRule>
    <cfRule type="containsText" dxfId="1323" priority="504" operator="containsText" text="Confort">
      <formula>NOT(ISERROR(SEARCH("Confort",AY2)))</formula>
    </cfRule>
    <cfRule type="containsText" dxfId="1322" priority="505" operator="containsText" text="Nouveauté">
      <formula>NOT(ISERROR(SEARCH("Nouveauté",AY2)))</formula>
    </cfRule>
    <cfRule type="containsText" dxfId="1321" priority="506" operator="containsText" text="Orgueil">
      <formula>NOT(ISERROR(SEARCH("Orgueil",AY2)))</formula>
    </cfRule>
    <cfRule type="containsText" dxfId="1320" priority="507" operator="containsText" text="Sécurité">
      <formula>NOT(ISERROR(SEARCH("Sécurité",AY2)))</formula>
    </cfRule>
  </conditionalFormatting>
  <conditionalFormatting sqref="DM2:DM18">
    <cfRule type="containsText" dxfId="1319" priority="500" operator="containsText" text="Tout">
      <formula>NOT(ISERROR(SEARCH("Tout",DM2)))</formula>
    </cfRule>
    <cfRule type="containsText" dxfId="1318" priority="501" operator="containsText" text="Mini">
      <formula>NOT(ISERROR(SEARCH("Mini",DM2)))</formula>
    </cfRule>
  </conditionalFormatting>
  <conditionalFormatting sqref="DM2:DM18">
    <cfRule type="containsText" dxfId="1317" priority="499" operator="containsText" text="Inter.">
      <formula>NOT(ISERROR(SEARCH("Inter.",DM2)))</formula>
    </cfRule>
  </conditionalFormatting>
  <conditionalFormatting sqref="DM2:DM18">
    <cfRule type="containsText" dxfId="1316" priority="445" operator="containsText" text="Trans.">
      <formula>NOT(ISERROR(SEARCH("Trans.",DM2)))</formula>
    </cfRule>
  </conditionalFormatting>
  <conditionalFormatting sqref="F2:F18 N2:O18 AY2:BE18 Q2:S18">
    <cfRule type="cellIs" dxfId="1315" priority="498" operator="equal">
      <formula>0</formula>
    </cfRule>
    <cfRule type="containsBlanks" dxfId="1314" priority="540">
      <formula>LEN(TRIM(F2))=0</formula>
    </cfRule>
  </conditionalFormatting>
  <conditionalFormatting sqref="BL2:BL18 Q2:R18 BO2:BO18 BR2:BR18 BU2:BU18 BX2:BX18 CA2:CA18 CD2:CD18 CG2:CG18 CJ2:CJ18 V2:W18 AA2:AA18 I2:I18 AQ2:AR18 AO2:AO18 AT2:AU18 AW2:AX18 AL2:AL18 AG2:AH18 AJ2:AJ18">
    <cfRule type="expression" dxfId="1313" priority="326">
      <formula>$DM2="Trans."</formula>
    </cfRule>
  </conditionalFormatting>
  <conditionalFormatting sqref="CR2:CS18 CV2:CV18 DB2:DB18 DE2:DF18 DH2:DI18 DL2:DL18">
    <cfRule type="expression" dxfId="1312" priority="497">
      <formula>$J2="Prev. Pro"</formula>
    </cfRule>
  </conditionalFormatting>
  <conditionalFormatting sqref="CY2:CY18">
    <cfRule type="expression" dxfId="1311" priority="496">
      <formula>$J2="Prev. Pro"</formula>
    </cfRule>
  </conditionalFormatting>
  <conditionalFormatting sqref="DJ2:DK18 DG2:DG18 DC2:DD18 CZ2:DA18 CW2:CX18 CU2:CU18">
    <cfRule type="expression" dxfId="1310" priority="495">
      <formula>$J2="Prev. Pro"</formula>
    </cfRule>
  </conditionalFormatting>
  <conditionalFormatting sqref="CK2:CQ18">
    <cfRule type="expression" dxfId="1309" priority="494" stopIfTrue="1">
      <formula>$J2="Santé Individuelle"</formula>
    </cfRule>
  </conditionalFormatting>
  <conditionalFormatting sqref="CT2:CT18">
    <cfRule type="expression" dxfId="1308" priority="493">
      <formula>$J2="Prev. Pro"</formula>
    </cfRule>
  </conditionalFormatting>
  <conditionalFormatting sqref="CT2:CT18">
    <cfRule type="expression" dxfId="1307" priority="333">
      <formula>$DM2="Trans."</formula>
    </cfRule>
  </conditionalFormatting>
  <conditionalFormatting sqref="C2:E18">
    <cfRule type="expression" dxfId="1306" priority="484">
      <formula>$G2="Annulation"</formula>
    </cfRule>
  </conditionalFormatting>
  <conditionalFormatting sqref="C2:E18">
    <cfRule type="expression" dxfId="1305" priority="485">
      <formula>$J2="Prev. Pro"</formula>
    </cfRule>
    <cfRule type="expression" dxfId="1304" priority="486">
      <formula>$J2&lt;&gt;"Santé Individuelle"</formula>
    </cfRule>
  </conditionalFormatting>
  <conditionalFormatting sqref="X2:Y18">
    <cfRule type="expression" dxfId="1303" priority="483">
      <formula>$P2="Annulé"</formula>
    </cfRule>
  </conditionalFormatting>
  <conditionalFormatting sqref="CI2:CI18 CF2:CF18 CC2:CC18 BZ2:BZ18 BW2:BW18 BT2:BT18 BQ2:BQ18 BI2:BI18 BN2:BN18">
    <cfRule type="expression" dxfId="1302" priority="491">
      <formula>$J2="Santé Individuelle"</formula>
    </cfRule>
  </conditionalFormatting>
  <conditionalFormatting sqref="BQ2:BQ18">
    <cfRule type="expression" dxfId="1301" priority="482">
      <formula>$BI2=0</formula>
    </cfRule>
  </conditionalFormatting>
  <conditionalFormatting sqref="BP2:BP18 BR2:BR18">
    <cfRule type="expression" dxfId="1300" priority="481">
      <formula>$BI2=0</formula>
    </cfRule>
  </conditionalFormatting>
  <conditionalFormatting sqref="BT2:BT18">
    <cfRule type="expression" dxfId="1299" priority="479">
      <formula>$BI2&lt;2</formula>
    </cfRule>
  </conditionalFormatting>
  <conditionalFormatting sqref="BS2:BS18 BU2:BU18">
    <cfRule type="expression" dxfId="1298" priority="480">
      <formula>$BI2&lt;2</formula>
    </cfRule>
  </conditionalFormatting>
  <conditionalFormatting sqref="BW2:BW18">
    <cfRule type="expression" dxfId="1297" priority="477">
      <formula>$BI2&lt;3</formula>
    </cfRule>
  </conditionalFormatting>
  <conditionalFormatting sqref="BV2:BV18 BX2:BX18">
    <cfRule type="expression" dxfId="1296" priority="478">
      <formula>$BI2&lt;3</formula>
    </cfRule>
  </conditionalFormatting>
  <conditionalFormatting sqref="BZ2:BZ18">
    <cfRule type="expression" dxfId="1295" priority="475">
      <formula>$BI2&lt;4</formula>
    </cfRule>
  </conditionalFormatting>
  <conditionalFormatting sqref="BY2:BY18 CA2:CA18">
    <cfRule type="expression" dxfId="1294" priority="476">
      <formula>$BI2&lt;4</formula>
    </cfRule>
  </conditionalFormatting>
  <conditionalFormatting sqref="CC2:CC18">
    <cfRule type="expression" dxfId="1293" priority="473">
      <formula>$BI2&lt;5</formula>
    </cfRule>
  </conditionalFormatting>
  <conditionalFormatting sqref="CB2:CB18 CD2:CD18">
    <cfRule type="expression" dxfId="1292" priority="474">
      <formula>$BI2&lt;5</formula>
    </cfRule>
  </conditionalFormatting>
  <conditionalFormatting sqref="CF2:CF18">
    <cfRule type="expression" dxfId="1291" priority="471">
      <formula>$BI2&lt;6</formula>
    </cfRule>
  </conditionalFormatting>
  <conditionalFormatting sqref="CE2:CE18 CG2:CG18">
    <cfRule type="expression" dxfId="1290" priority="472">
      <formula>$BI2&lt;6</formula>
    </cfRule>
  </conditionalFormatting>
  <conditionalFormatting sqref="CI2:CI18">
    <cfRule type="expression" dxfId="1289" priority="469">
      <formula>$BI2&lt;7</formula>
    </cfRule>
  </conditionalFormatting>
  <conditionalFormatting sqref="CH2:CH18 CJ2:CJ18">
    <cfRule type="expression" dxfId="1288" priority="470">
      <formula>$BI2&lt;7</formula>
    </cfRule>
  </conditionalFormatting>
  <conditionalFormatting sqref="BJ2:BK18">
    <cfRule type="containsBlanks" dxfId="1287" priority="468">
      <formula>LEN(TRIM(BJ2))=0</formula>
    </cfRule>
  </conditionalFormatting>
  <conditionalFormatting sqref="BF2:BF18">
    <cfRule type="expression" dxfId="1286" priority="467">
      <formula>$J2="Santé Individuelle"</formula>
    </cfRule>
  </conditionalFormatting>
  <conditionalFormatting sqref="BG2:BG18">
    <cfRule type="expression" dxfId="1285" priority="466">
      <formula>$BH2=1</formula>
    </cfRule>
  </conditionalFormatting>
  <conditionalFormatting sqref="CQ2:CQ18">
    <cfRule type="expression" dxfId="1284" priority="465">
      <formula>$J2="Santé Individuelle"</formula>
    </cfRule>
  </conditionalFormatting>
  <conditionalFormatting sqref="J2:J18 DM2:DM18 X2:X18 AF2:AF18 G2:G18 L2:N18">
    <cfRule type="expression" dxfId="1283" priority="464">
      <formula>$G2="Annulation"</formula>
    </cfRule>
  </conditionalFormatting>
  <conditionalFormatting sqref="BM2:BM18">
    <cfRule type="expression" dxfId="1282" priority="463">
      <formula>$BH2&lt;=1</formula>
    </cfRule>
  </conditionalFormatting>
  <conditionalFormatting sqref="BN2:BN18">
    <cfRule type="expression" dxfId="1281" priority="462">
      <formula>$BH2&lt;=1</formula>
    </cfRule>
  </conditionalFormatting>
  <conditionalFormatting sqref="BO2:BO18">
    <cfRule type="expression" dxfId="1280" priority="461">
      <formula>$BH2&lt;=1</formula>
    </cfRule>
  </conditionalFormatting>
  <conditionalFormatting sqref="DN2:DN18">
    <cfRule type="containsText" dxfId="1279" priority="460" operator="containsText" text="OK">
      <formula>NOT(ISERROR(SEARCH("OK",DN2)))</formula>
    </cfRule>
  </conditionalFormatting>
  <conditionalFormatting sqref="DN2:DN18">
    <cfRule type="containsText" dxfId="1278" priority="459" operator="containsText" text="Mini">
      <formula>NOT(ISERROR(SEARCH("Mini",DN2)))</formula>
    </cfRule>
  </conditionalFormatting>
  <conditionalFormatting sqref="DN2:DN18">
    <cfRule type="containsText" dxfId="1277" priority="458" operator="containsText" text="KO">
      <formula>NOT(ISERROR(SEARCH("KO",DN2)))</formula>
    </cfRule>
  </conditionalFormatting>
  <conditionalFormatting sqref="AC17:AE18 AC13:AD13 AE3:AE12">
    <cfRule type="expression" dxfId="1276" priority="394">
      <formula>$AB3="X"</formula>
    </cfRule>
  </conditionalFormatting>
  <conditionalFormatting sqref="AE17:AE18">
    <cfRule type="expression" dxfId="1275" priority="446">
      <formula>$AD17&lt;&gt;"Programmée"</formula>
    </cfRule>
  </conditionalFormatting>
  <conditionalFormatting sqref="AY2:AY18 R2:S18 AA2:AA18 I2:I18 M2:M18">
    <cfRule type="expression" dxfId="1274" priority="432">
      <formula>$G2&lt;&gt;"Annulation"</formula>
    </cfRule>
  </conditionalFormatting>
  <conditionalFormatting sqref="O2:T18">
    <cfRule type="expression" dxfId="1273" priority="492">
      <formula>$G2&lt;&gt;"Annulation"</formula>
    </cfRule>
  </conditionalFormatting>
  <conditionalFormatting sqref="DM1:DN1">
    <cfRule type="notContainsBlanks" dxfId="1272" priority="436">
      <formula>LEN(TRIM(DM1))&gt;0</formula>
    </cfRule>
  </conditionalFormatting>
  <conditionalFormatting sqref="Z2:Z18">
    <cfRule type="expression" dxfId="1271" priority="435">
      <formula>$AA2&lt;31</formula>
    </cfRule>
  </conditionalFormatting>
  <conditionalFormatting sqref="Z2:Z18">
    <cfRule type="expression" dxfId="1270" priority="434">
      <formula>$AA2&gt;122</formula>
    </cfRule>
  </conditionalFormatting>
  <conditionalFormatting sqref="AA2:AA18 I2:I18">
    <cfRule type="containsBlanks" dxfId="1269" priority="433">
      <formula>LEN(TRIM(I2))=0</formula>
    </cfRule>
    <cfRule type="cellIs" dxfId="1268" priority="443" operator="lessThan">
      <formula>31</formula>
    </cfRule>
  </conditionalFormatting>
  <conditionalFormatting sqref="AA2:AA18 I2:I18">
    <cfRule type="expression" dxfId="1267" priority="444">
      <formula>$AA2&gt;122</formula>
    </cfRule>
  </conditionalFormatting>
  <conditionalFormatting sqref="Y1:Z1">
    <cfRule type="notContainsBlanks" dxfId="1266" priority="430">
      <formula>LEN(TRIM(Y1))&gt;0</formula>
    </cfRule>
  </conditionalFormatting>
  <conditionalFormatting sqref="I1">
    <cfRule type="expression" dxfId="1265" priority="423">
      <formula>$G1&lt;&gt;"Annulation"</formula>
    </cfRule>
  </conditionalFormatting>
  <conditionalFormatting sqref="I1">
    <cfRule type="expression" dxfId="1264" priority="424">
      <formula>$G1="Annulation"</formula>
    </cfRule>
  </conditionalFormatting>
  <conditionalFormatting sqref="I1">
    <cfRule type="containsBlanks" dxfId="1263" priority="425">
      <formula>LEN(TRIM(I1))=0</formula>
    </cfRule>
    <cfRule type="cellIs" dxfId="1262" priority="426" operator="lessThan">
      <formula>31</formula>
    </cfRule>
  </conditionalFormatting>
  <conditionalFormatting sqref="I1">
    <cfRule type="expression" dxfId="1261" priority="427">
      <formula>$AA1&gt;122</formula>
    </cfRule>
  </conditionalFormatting>
  <conditionalFormatting sqref="AN1:AX1">
    <cfRule type="notContainsBlanks" dxfId="1260" priority="441">
      <formula>LEN(TRIM(AN1))&gt;0</formula>
    </cfRule>
  </conditionalFormatting>
  <conditionalFormatting sqref="AM1">
    <cfRule type="notContainsBlanks" dxfId="1259" priority="415">
      <formula>LEN(TRIM(AM1))&gt;0</formula>
    </cfRule>
  </conditionalFormatting>
  <conditionalFormatting sqref="AE1">
    <cfRule type="notContainsBlanks" dxfId="1258" priority="413">
      <formula>LEN(TRIM(AE1))&gt;0</formula>
    </cfRule>
  </conditionalFormatting>
  <conditionalFormatting sqref="AG1">
    <cfRule type="notContainsBlanks" dxfId="1257" priority="411">
      <formula>LEN(TRIM(AG1))&gt;0</formula>
    </cfRule>
  </conditionalFormatting>
  <conditionalFormatting sqref="AK1">
    <cfRule type="notContainsBlanks" dxfId="1256" priority="410">
      <formula>LEN(TRIM(AK1))&gt;0</formula>
    </cfRule>
  </conditionalFormatting>
  <conditionalFormatting sqref="AF1">
    <cfRule type="notContainsBlanks" dxfId="1255" priority="409">
      <formula>LEN(TRIM(AF1))&gt;0</formula>
    </cfRule>
  </conditionalFormatting>
  <conditionalFormatting sqref="AF2:AF18">
    <cfRule type="containsBlanks" dxfId="1254" priority="405">
      <formula>LEN(TRIM(AF2))=0</formula>
    </cfRule>
    <cfRule type="cellIs" dxfId="1253" priority="406" operator="equal">
      <formula>0</formula>
    </cfRule>
  </conditionalFormatting>
  <conditionalFormatting sqref="AF2:AF18">
    <cfRule type="expression" dxfId="1252" priority="407">
      <formula>$AB2="X"</formula>
    </cfRule>
  </conditionalFormatting>
  <conditionalFormatting sqref="AF2:AF18">
    <cfRule type="expression" dxfId="1251" priority="404">
      <formula>$AE2&lt;&gt;"Programmée"</formula>
    </cfRule>
  </conditionalFormatting>
  <conditionalFormatting sqref="AI1">
    <cfRule type="notContainsBlanks" dxfId="1250" priority="401">
      <formula>LEN(TRIM(AI1))&gt;0</formula>
    </cfRule>
  </conditionalFormatting>
  <conditionalFormatting sqref="AJ1">
    <cfRule type="notContainsBlanks" dxfId="1249" priority="399">
      <formula>LEN(TRIM(AJ1))&gt;0</formula>
    </cfRule>
  </conditionalFormatting>
  <conditionalFormatting sqref="AG2:AG18">
    <cfRule type="containsBlanks" dxfId="1248" priority="431">
      <formula>LEN(TRIM(AG2))=0</formula>
    </cfRule>
    <cfRule type="cellIs" dxfId="1247" priority="442" operator="equal">
      <formula>0</formula>
    </cfRule>
  </conditionalFormatting>
  <conditionalFormatting sqref="AH2:AH18">
    <cfRule type="cellIs" dxfId="1246" priority="419" operator="greaterThanOrEqual">
      <formula>2</formula>
    </cfRule>
    <cfRule type="cellIs" dxfId="1245" priority="542" operator="between">
      <formula>1</formula>
      <formula>1.99999999999999</formula>
    </cfRule>
    <cfRule type="cellIs" dxfId="1244" priority="543" operator="lessThan">
      <formula>1</formula>
    </cfRule>
  </conditionalFormatting>
  <conditionalFormatting sqref="AH1">
    <cfRule type="notContainsBlanks" dxfId="1243" priority="393">
      <formula>LEN(TRIM(AH1))&gt;0</formula>
    </cfRule>
  </conditionalFormatting>
  <conditionalFormatting sqref="AL1">
    <cfRule type="notContainsBlanks" dxfId="1242" priority="391">
      <formula>LEN(TRIM(AL1))&gt;0</formula>
    </cfRule>
  </conditionalFormatting>
  <conditionalFormatting sqref="AA1">
    <cfRule type="notContainsBlanks" dxfId="1241" priority="389">
      <formula>LEN(TRIM(AA1))&gt;0</formula>
    </cfRule>
  </conditionalFormatting>
  <conditionalFormatting sqref="AL2:AL18">
    <cfRule type="containsBlanks" dxfId="1240" priority="385">
      <formula>LEN(TRIM(AL2))=0</formula>
    </cfRule>
    <cfRule type="cellIs" dxfId="1239" priority="395" operator="equal">
      <formula>0</formula>
    </cfRule>
  </conditionalFormatting>
  <conditionalFormatting sqref="AM2:AM18 AO2:AO18">
    <cfRule type="expression" dxfId="1238" priority="332">
      <formula>$Z2&gt;=42736</formula>
    </cfRule>
  </conditionalFormatting>
  <conditionalFormatting sqref="AQ2:AR18 AN2:AO18">
    <cfRule type="expression" dxfId="1237" priority="330">
      <formula>$Z2&gt;=(42736+365)</formula>
    </cfRule>
  </conditionalFormatting>
  <conditionalFormatting sqref="AT2:AU18 AP2:AP18">
    <cfRule type="expression" dxfId="1236" priority="331">
      <formula>$Z2&gt;=(42736+365+365)</formula>
    </cfRule>
  </conditionalFormatting>
  <conditionalFormatting sqref="AW2:AX18 AS2:AS18">
    <cfRule type="expression" dxfId="1235" priority="327">
      <formula>$Z2&gt;=(42736+365+365+365)</formula>
    </cfRule>
  </conditionalFormatting>
  <conditionalFormatting sqref="AO2:AO18">
    <cfRule type="cellIs" dxfId="1234" priority="374" operator="greaterThan">
      <formula>0</formula>
    </cfRule>
    <cfRule type="cellIs" dxfId="1233" priority="375" operator="lessThan">
      <formula>0</formula>
    </cfRule>
  </conditionalFormatting>
  <conditionalFormatting sqref="AO2:AO18">
    <cfRule type="cellIs" dxfId="1232" priority="373" operator="equal">
      <formula>-1</formula>
    </cfRule>
  </conditionalFormatting>
  <conditionalFormatting sqref="AQ2:AQ18">
    <cfRule type="cellIs" dxfId="1231" priority="371" operator="greaterThan">
      <formula>0</formula>
    </cfRule>
    <cfRule type="cellIs" dxfId="1230" priority="372" operator="lessThan">
      <formula>0</formula>
    </cfRule>
  </conditionalFormatting>
  <conditionalFormatting sqref="AQ2:AQ18">
    <cfRule type="cellIs" dxfId="1229" priority="370" operator="equal">
      <formula>-1</formula>
    </cfRule>
  </conditionalFormatting>
  <conditionalFormatting sqref="AR2:AR18">
    <cfRule type="cellIs" dxfId="1228" priority="364" operator="equal">
      <formula>-1</formula>
    </cfRule>
    <cfRule type="cellIs" dxfId="1227" priority="365" operator="greaterThan">
      <formula>0.5</formula>
    </cfRule>
    <cfRule type="cellIs" dxfId="1226" priority="366" operator="between">
      <formula>0.25</formula>
      <formula>0.5</formula>
    </cfRule>
    <cfRule type="cellIs" dxfId="1225" priority="367" operator="between">
      <formula>0.1</formula>
      <formula>0.25</formula>
    </cfRule>
    <cfRule type="cellIs" dxfId="1224" priority="368" operator="lessThanOrEqual">
      <formula>0</formula>
    </cfRule>
    <cfRule type="cellIs" dxfId="1223" priority="369" operator="between">
      <formula>0</formula>
      <formula>0.1</formula>
    </cfRule>
  </conditionalFormatting>
  <conditionalFormatting sqref="AT2:AT18">
    <cfRule type="cellIs" dxfId="1222" priority="362" operator="greaterThan">
      <formula>0</formula>
    </cfRule>
    <cfRule type="cellIs" dxfId="1221" priority="363" operator="lessThan">
      <formula>0</formula>
    </cfRule>
  </conditionalFormatting>
  <conditionalFormatting sqref="AT2:AT18">
    <cfRule type="cellIs" dxfId="1220" priority="361" operator="equal">
      <formula>-1</formula>
    </cfRule>
  </conditionalFormatting>
  <conditionalFormatting sqref="AU2:AU18">
    <cfRule type="cellIs" dxfId="1219" priority="355" operator="equal">
      <formula>-1</formula>
    </cfRule>
    <cfRule type="cellIs" dxfId="1218" priority="356" operator="greaterThan">
      <formula>0.5</formula>
    </cfRule>
    <cfRule type="cellIs" dxfId="1217" priority="357" operator="between">
      <formula>0.25</formula>
      <formula>0.5</formula>
    </cfRule>
    <cfRule type="cellIs" dxfId="1216" priority="358" operator="between">
      <formula>0.1</formula>
      <formula>0.25</formula>
    </cfRule>
    <cfRule type="cellIs" dxfId="1215" priority="359" operator="lessThanOrEqual">
      <formula>0</formula>
    </cfRule>
    <cfRule type="cellIs" dxfId="1214" priority="360" operator="between">
      <formula>0</formula>
      <formula>0.1</formula>
    </cfRule>
  </conditionalFormatting>
  <conditionalFormatting sqref="AW2:AW18">
    <cfRule type="cellIs" dxfId="1213" priority="353" operator="greaterThan">
      <formula>0</formula>
    </cfRule>
    <cfRule type="cellIs" dxfId="1212" priority="354" operator="lessThan">
      <formula>0</formula>
    </cfRule>
  </conditionalFormatting>
  <conditionalFormatting sqref="AW2:AW18">
    <cfRule type="cellIs" dxfId="1211" priority="352" operator="equal">
      <formula>-1</formula>
    </cfRule>
  </conditionalFormatting>
  <conditionalFormatting sqref="AX2:AX18">
    <cfRule type="cellIs" dxfId="1210" priority="347" operator="equal">
      <formula>-1</formula>
    </cfRule>
    <cfRule type="cellIs" dxfId="1209" priority="348" operator="greaterThan">
      <formula>0.5</formula>
    </cfRule>
    <cfRule type="cellIs" dxfId="1208" priority="349" operator="between">
      <formula>0.25</formula>
      <formula>0.5</formula>
    </cfRule>
    <cfRule type="cellIs" dxfId="1207" priority="350" operator="between">
      <formula>0.1</formula>
      <formula>0.25</formula>
    </cfRule>
    <cfRule type="cellIs" dxfId="1206" priority="351" operator="lessThanOrEqual">
      <formula>0</formula>
    </cfRule>
    <cfRule type="cellIs" dxfId="1205" priority="376" operator="between">
      <formula>0</formula>
      <formula>0.1</formula>
    </cfRule>
  </conditionalFormatting>
  <conditionalFormatting sqref="AN2:AX18">
    <cfRule type="containsBlanks" dxfId="1204" priority="378">
      <formula>LEN(TRIM(AN2))=0</formula>
    </cfRule>
    <cfRule type="cellIs" dxfId="1203" priority="379" operator="equal">
      <formula>0</formula>
    </cfRule>
  </conditionalFormatting>
  <conditionalFormatting sqref="AN2:AX18">
    <cfRule type="cellIs" dxfId="1202" priority="377" operator="equal">
      <formula>0</formula>
    </cfRule>
    <cfRule type="containsBlanks" dxfId="1201" priority="420">
      <formula>LEN(TRIM(AN2))=0</formula>
    </cfRule>
  </conditionalFormatting>
  <conditionalFormatting sqref="AT2:AU18 AQ2:AR18 AO2:AO18 AW2:AX18">
    <cfRule type="cellIs" dxfId="1200" priority="344" operator="equal">
      <formula>0</formula>
    </cfRule>
    <cfRule type="containsBlanks" dxfId="1199" priority="345">
      <formula>LEN(TRIM(AO2))=0</formula>
    </cfRule>
    <cfRule type="cellIs" dxfId="1198" priority="346" operator="equal">
      <formula>-1</formula>
    </cfRule>
  </conditionalFormatting>
  <conditionalFormatting sqref="AM2:AM18">
    <cfRule type="containsBlanks" dxfId="1197" priority="381">
      <formula>LEN(TRIM(AM2))=0</formula>
    </cfRule>
    <cfRule type="cellIs" dxfId="1196" priority="382" operator="equal">
      <formula>0</formula>
    </cfRule>
  </conditionalFormatting>
  <conditionalFormatting sqref="AM2:AM18">
    <cfRule type="cellIs" dxfId="1195" priority="380" operator="equal">
      <formula>0</formula>
    </cfRule>
    <cfRule type="containsBlanks" dxfId="1194" priority="383">
      <formula>LEN(TRIM(AM2))=0</formula>
    </cfRule>
  </conditionalFormatting>
  <conditionalFormatting sqref="AK2:AK18">
    <cfRule type="expression" dxfId="1193" priority="386">
      <formula>$AK2-TODAY()&lt;30</formula>
    </cfRule>
  </conditionalFormatting>
  <conditionalFormatting sqref="AK2:AK18">
    <cfRule type="containsBlanks" dxfId="1192" priority="335">
      <formula>LEN(TRIM(AK2))=0</formula>
    </cfRule>
  </conditionalFormatting>
  <conditionalFormatting sqref="AJ2:AJ18">
    <cfRule type="cellIs" dxfId="1191" priority="339" operator="equal">
      <formula>0</formula>
    </cfRule>
    <cfRule type="containsBlanks" dxfId="1190" priority="340">
      <formula>LEN(TRIM(AJ2))=0</formula>
    </cfRule>
  </conditionalFormatting>
  <conditionalFormatting sqref="AL2:AL18">
    <cfRule type="cellIs" dxfId="1189" priority="384" operator="greaterThanOrEqual">
      <formula>2</formula>
    </cfRule>
    <cfRule type="cellIs" dxfId="1188" priority="397" operator="between">
      <formula>1</formula>
      <formula>1.99999999999999</formula>
    </cfRule>
    <cfRule type="cellIs" dxfId="1187" priority="408" operator="lessThan">
      <formula>1</formula>
    </cfRule>
  </conditionalFormatting>
  <conditionalFormatting sqref="AJ2:AK18">
    <cfRule type="expression" dxfId="1186" priority="334">
      <formula>$G2="Annulation"</formula>
    </cfRule>
  </conditionalFormatting>
  <conditionalFormatting sqref="M2:M18">
    <cfRule type="cellIs" dxfId="1185" priority="325" operator="greaterThan">
      <formula>0</formula>
    </cfRule>
  </conditionalFormatting>
  <conditionalFormatting sqref="Y2:Y18">
    <cfRule type="containsBlanks" dxfId="1184" priority="319">
      <formula>LEN(TRIM(Y2))=0</formula>
    </cfRule>
    <cfRule type="cellIs" dxfId="1183" priority="320" operator="equal">
      <formula>0</formula>
    </cfRule>
  </conditionalFormatting>
  <conditionalFormatting sqref="AI2:AI18">
    <cfRule type="expression" dxfId="1182" priority="114">
      <formula>$G2="Annulation"</formula>
    </cfRule>
  </conditionalFormatting>
  <conditionalFormatting sqref="AI2:AI18">
    <cfRule type="expression" dxfId="1181" priority="115">
      <formula>$G2&lt;&gt;"Annulation"</formula>
    </cfRule>
  </conditionalFormatting>
  <conditionalFormatting sqref="AI2:AI18">
    <cfRule type="expression" dxfId="1180" priority="110">
      <formula>$DM2="Trans."</formula>
    </cfRule>
  </conditionalFormatting>
  <conditionalFormatting sqref="AI2:AI18">
    <cfRule type="containsBlanks" dxfId="1179" priority="112">
      <formula>LEN(TRIM(AI2))=0</formula>
    </cfRule>
    <cfRule type="cellIs" dxfId="1178" priority="113" operator="equal">
      <formula>0</formula>
    </cfRule>
  </conditionalFormatting>
  <conditionalFormatting sqref="AI2:AI18">
    <cfRule type="expression" dxfId="1177" priority="111">
      <formula>$G2="Annulation"</formula>
    </cfRule>
  </conditionalFormatting>
  <conditionalFormatting sqref="AE2:AE12">
    <cfRule type="cellIs" dxfId="1176" priority="108" operator="equal">
      <formula>43404</formula>
    </cfRule>
  </conditionalFormatting>
  <conditionalFormatting sqref="AD2">
    <cfRule type="cellIs" dxfId="1175" priority="100" operator="equal">
      <formula>"KO"</formula>
    </cfRule>
    <cfRule type="cellIs" dxfId="1174" priority="101" operator="equal">
      <formula>"A faire"</formula>
    </cfRule>
    <cfRule type="cellIs" dxfId="1173" priority="102" operator="equal">
      <formula>"Report"</formula>
    </cfRule>
    <cfRule type="cellIs" dxfId="1172" priority="103" operator="equal">
      <formula>"Retour"</formula>
    </cfRule>
    <cfRule type="cellIs" dxfId="1171" priority="104" operator="equal">
      <formula>"Envoyée"</formula>
    </cfRule>
    <cfRule type="cellIs" dxfId="1170" priority="105" operator="equal">
      <formula>"Programmée"</formula>
    </cfRule>
    <cfRule type="cellIs" dxfId="1169" priority="106" operator="equal">
      <formula>"Reçue"</formula>
    </cfRule>
    <cfRule type="cellIs" dxfId="1168" priority="107" operator="equal">
      <formula>"OK"</formula>
    </cfRule>
  </conditionalFormatting>
  <conditionalFormatting sqref="AC2:AE2 AE3:AE12">
    <cfRule type="containsBlanks" dxfId="1167" priority="99">
      <formula>LEN(TRIM(AC2))=0</formula>
    </cfRule>
    <cfRule type="cellIs" dxfId="1166" priority="109" operator="equal">
      <formula>0</formula>
    </cfRule>
  </conditionalFormatting>
  <conditionalFormatting sqref="AC2:AE2">
    <cfRule type="expression" dxfId="1165" priority="98">
      <formula>$G2="Annulation"</formula>
    </cfRule>
  </conditionalFormatting>
  <conditionalFormatting sqref="AC2:AE2">
    <cfRule type="expression" dxfId="1164" priority="97">
      <formula>$G2&lt;&gt;"Annulation"</formula>
    </cfRule>
  </conditionalFormatting>
  <conditionalFormatting sqref="AC2:AE2">
    <cfRule type="expression" dxfId="1163" priority="96">
      <formula>$AB2="X"</formula>
    </cfRule>
  </conditionalFormatting>
  <conditionalFormatting sqref="AE2:AE12">
    <cfRule type="expression" dxfId="1162" priority="95">
      <formula>$AD2&lt;&gt;"Programmée"</formula>
    </cfRule>
  </conditionalFormatting>
  <conditionalFormatting sqref="AD3:AD12">
    <cfRule type="cellIs" dxfId="1161" priority="86" operator="equal">
      <formula>"KO"</formula>
    </cfRule>
    <cfRule type="cellIs" dxfId="1160" priority="87" operator="equal">
      <formula>"A faire"</formula>
    </cfRule>
    <cfRule type="cellIs" dxfId="1159" priority="88" operator="equal">
      <formula>"Report"</formula>
    </cfRule>
    <cfRule type="cellIs" dxfId="1158" priority="89" operator="equal">
      <formula>"Retour"</formula>
    </cfRule>
    <cfRule type="cellIs" dxfId="1157" priority="90" operator="equal">
      <formula>"Envoyée"</formula>
    </cfRule>
    <cfRule type="cellIs" dxfId="1156" priority="91" operator="equal">
      <formula>"Programmée"</formula>
    </cfRule>
    <cfRule type="cellIs" dxfId="1155" priority="92" operator="equal">
      <formula>"Reçue"</formula>
    </cfRule>
    <cfRule type="cellIs" dxfId="1154" priority="93" operator="equal">
      <formula>"OK"</formula>
    </cfRule>
  </conditionalFormatting>
  <conditionalFormatting sqref="AD3:AD12">
    <cfRule type="containsBlanks" dxfId="1153" priority="85">
      <formula>LEN(TRIM(AD3))=0</formula>
    </cfRule>
    <cfRule type="cellIs" dxfId="1152" priority="94" operator="equal">
      <formula>0</formula>
    </cfRule>
  </conditionalFormatting>
  <conditionalFormatting sqref="AD3:AD12">
    <cfRule type="expression" dxfId="1151" priority="84">
      <formula>$G3="Annulation"</formula>
    </cfRule>
  </conditionalFormatting>
  <conditionalFormatting sqref="AD3:AD12">
    <cfRule type="expression" dxfId="1150" priority="83">
      <formula>$G3&lt;&gt;"Annulation"</formula>
    </cfRule>
  </conditionalFormatting>
  <conditionalFormatting sqref="AD3:AD12">
    <cfRule type="expression" dxfId="1149" priority="82">
      <formula>$AB3="X"</formula>
    </cfRule>
  </conditionalFormatting>
  <conditionalFormatting sqref="AC3:AC12">
    <cfRule type="containsBlanks" dxfId="1148" priority="80">
      <formula>LEN(TRIM(AC3))=0</formula>
    </cfRule>
    <cfRule type="cellIs" dxfId="1147" priority="81" operator="equal">
      <formula>0</formula>
    </cfRule>
  </conditionalFormatting>
  <conditionalFormatting sqref="AC3:AC12">
    <cfRule type="expression" dxfId="1146" priority="79">
      <formula>$G3="Annulation"</formula>
    </cfRule>
  </conditionalFormatting>
  <conditionalFormatting sqref="AC3:AC12">
    <cfRule type="expression" dxfId="1145" priority="78">
      <formula>$G3&lt;&gt;"Annulation"</formula>
    </cfRule>
  </conditionalFormatting>
  <conditionalFormatting sqref="AC3:AC12">
    <cfRule type="expression" dxfId="1144" priority="77">
      <formula>$AB3="X"</formula>
    </cfRule>
  </conditionalFormatting>
  <conditionalFormatting sqref="AE13:AE16">
    <cfRule type="cellIs" dxfId="1143" priority="50" operator="equal">
      <formula>43404</formula>
    </cfRule>
  </conditionalFormatting>
  <conditionalFormatting sqref="AE13:AE16">
    <cfRule type="containsBlanks" dxfId="1142" priority="49">
      <formula>LEN(TRIM(AE13))=0</formula>
    </cfRule>
    <cfRule type="cellIs" dxfId="1141" priority="51" operator="equal">
      <formula>0</formula>
    </cfRule>
  </conditionalFormatting>
  <conditionalFormatting sqref="AE13:AE16">
    <cfRule type="expression" dxfId="1140" priority="48">
      <formula>$G13="Annulation"</formula>
    </cfRule>
  </conditionalFormatting>
  <conditionalFormatting sqref="AE13:AE16">
    <cfRule type="expression" dxfId="1139" priority="47">
      <formula>$G13&lt;&gt;"Annulation"</formula>
    </cfRule>
  </conditionalFormatting>
  <conditionalFormatting sqref="AE13:AE16">
    <cfRule type="expression" dxfId="1138" priority="46">
      <formula>$AB13="X"</formula>
    </cfRule>
  </conditionalFormatting>
  <conditionalFormatting sqref="AE13:AE16">
    <cfRule type="expression" dxfId="1137" priority="45">
      <formula>$AD13&lt;&gt;"Programmée"</formula>
    </cfRule>
  </conditionalFormatting>
  <conditionalFormatting sqref="AD14:AD16">
    <cfRule type="cellIs" dxfId="1136" priority="36" operator="equal">
      <formula>"KO"</formula>
    </cfRule>
    <cfRule type="cellIs" dxfId="1135" priority="37" operator="equal">
      <formula>"A faire"</formula>
    </cfRule>
    <cfRule type="cellIs" dxfId="1134" priority="38" operator="equal">
      <formula>"Report"</formula>
    </cfRule>
    <cfRule type="cellIs" dxfId="1133" priority="39" operator="equal">
      <formula>"Retour"</formula>
    </cfRule>
    <cfRule type="cellIs" dxfId="1132" priority="40" operator="equal">
      <formula>"Envoyée"</formula>
    </cfRule>
    <cfRule type="cellIs" dxfId="1131" priority="41" operator="equal">
      <formula>"Programmée"</formula>
    </cfRule>
    <cfRule type="cellIs" dxfId="1130" priority="42" operator="equal">
      <formula>"Reçue"</formula>
    </cfRule>
    <cfRule type="cellIs" dxfId="1129" priority="43" operator="equal">
      <formula>"OK"</formula>
    </cfRule>
  </conditionalFormatting>
  <conditionalFormatting sqref="AD14:AD16">
    <cfRule type="containsBlanks" dxfId="1128" priority="35">
      <formula>LEN(TRIM(AD14))=0</formula>
    </cfRule>
    <cfRule type="cellIs" dxfId="1127" priority="44" operator="equal">
      <formula>0</formula>
    </cfRule>
  </conditionalFormatting>
  <conditionalFormatting sqref="AD14:AD16">
    <cfRule type="expression" dxfId="1126" priority="34">
      <formula>$G14="Annulation"</formula>
    </cfRule>
  </conditionalFormatting>
  <conditionalFormatting sqref="AD14:AD16">
    <cfRule type="expression" dxfId="1125" priority="33">
      <formula>$G14&lt;&gt;"Annulation"</formula>
    </cfRule>
  </conditionalFormatting>
  <conditionalFormatting sqref="AD14:AD16">
    <cfRule type="expression" dxfId="1124" priority="32">
      <formula>$AB14="X"</formula>
    </cfRule>
  </conditionalFormatting>
  <conditionalFormatting sqref="AC14:AC16">
    <cfRule type="containsBlanks" dxfId="1123" priority="30">
      <formula>LEN(TRIM(AC14))=0</formula>
    </cfRule>
    <cfRule type="cellIs" dxfId="1122" priority="31" operator="equal">
      <formula>0</formula>
    </cfRule>
  </conditionalFormatting>
  <conditionalFormatting sqref="AC14:AC16">
    <cfRule type="expression" dxfId="1121" priority="29">
      <formula>$G14="Annulation"</formula>
    </cfRule>
  </conditionalFormatting>
  <conditionalFormatting sqref="AC14:AC16">
    <cfRule type="expression" dxfId="1120" priority="28">
      <formula>$G14&lt;&gt;"Annulation"</formula>
    </cfRule>
  </conditionalFormatting>
  <conditionalFormatting sqref="AC14:AC16">
    <cfRule type="expression" dxfId="1119" priority="27">
      <formula>$AB14="X"</formula>
    </cfRule>
  </conditionalFormatting>
  <conditionalFormatting sqref="AK2:AK18">
    <cfRule type="expression" dxfId="1118" priority="8759">
      <formula>$DM2="Trans."</formula>
    </cfRule>
    <cfRule type="expression" dxfId="1117" priority="8760">
      <formula>$AK2-TODAY()&gt;90</formula>
    </cfRule>
  </conditionalFormatting>
  <conditionalFormatting sqref="Q1:R1 U1:W1 BL1 BO1 BR1 BU1 BX1 CA1 CD1 CG1 CJ1 CT1 AQ1:AR1 AT1:AU1 AW1:AX1 AO1 AG1:AL1 AA1">
    <cfRule type="expression" dxfId="1116" priority="9071">
      <formula>$A1="Trans."</formula>
    </cfRule>
  </conditionalFormatting>
  <conditionalFormatting sqref="C1:H1 J1:P1 S1 AY1:BK1 BM1:BN1 BP1:BQ1 BS1:BT1 BV1:BW1 BY1:BZ1 CB1:CC1 CE1:CF1 CH1:CI1 CK1:CS1 CU1:DL1 Z1 AB1:AF1">
    <cfRule type="expression" dxfId="1115" priority="9087">
      <formula>$A1="Trans."</formula>
    </cfRule>
  </conditionalFormatting>
  <conditionalFormatting sqref="T1 CY1 AP1 AS1 AV1 X1:Y1 AM1:AN1">
    <cfRule type="expression" dxfId="1114" priority="9102">
      <formula>$A1="Trans."</formula>
    </cfRule>
  </conditionalFormatting>
  <conditionalFormatting sqref="I1">
    <cfRule type="expression" dxfId="1113" priority="9110">
      <formula>$A1="Trans."</formula>
    </cfRule>
  </conditionalFormatting>
  <conditionalFormatting sqref="B2:B18">
    <cfRule type="expression" dxfId="1112" priority="8">
      <formula>$DM2="Trans."</formula>
    </cfRule>
  </conditionalFormatting>
  <conditionalFormatting sqref="B2:B18">
    <cfRule type="expression" dxfId="1111" priority="10">
      <formula>$DN2=""</formula>
    </cfRule>
    <cfRule type="expression" dxfId="1110" priority="14">
      <formula>$DN2="OK"</formula>
    </cfRule>
  </conditionalFormatting>
  <conditionalFormatting sqref="B2:B18">
    <cfRule type="expression" dxfId="1109" priority="13">
      <formula>$DN2="Mini"</formula>
    </cfRule>
  </conditionalFormatting>
  <conditionalFormatting sqref="B2:B18">
    <cfRule type="expression" dxfId="1108" priority="12">
      <formula>$DN2="KO"</formula>
    </cfRule>
  </conditionalFormatting>
  <conditionalFormatting sqref="B2:B18">
    <cfRule type="expression" dxfId="1107" priority="9">
      <formula>$G2="Annulation"</formula>
    </cfRule>
  </conditionalFormatting>
  <conditionalFormatting sqref="B2:B18">
    <cfRule type="expression" dxfId="1106" priority="11">
      <formula>$DN2="AJ"</formula>
    </cfRule>
  </conditionalFormatting>
  <conditionalFormatting sqref="A2:A18">
    <cfRule type="expression" dxfId="1105" priority="1">
      <formula>$DM2="Trans."</formula>
    </cfRule>
  </conditionalFormatting>
  <conditionalFormatting sqref="A2:A18">
    <cfRule type="expression" dxfId="1104" priority="3">
      <formula>$DN2=""</formula>
    </cfRule>
    <cfRule type="expression" dxfId="1103" priority="7">
      <formula>$DN2="OK"</formula>
    </cfRule>
  </conditionalFormatting>
  <conditionalFormatting sqref="A2:A18">
    <cfRule type="expression" dxfId="1102" priority="6">
      <formula>$DN2="Mini"</formula>
    </cfRule>
  </conditionalFormatting>
  <conditionalFormatting sqref="A2:A18">
    <cfRule type="expression" dxfId="1101" priority="5">
      <formula>$DN2="KO"</formula>
    </cfRule>
  </conditionalFormatting>
  <conditionalFormatting sqref="A2:A18">
    <cfRule type="expression" dxfId="1100" priority="2">
      <formula>$G2="Annulation"</formula>
    </cfRule>
  </conditionalFormatting>
  <conditionalFormatting sqref="A2:A18">
    <cfRule type="expression" dxfId="1099" priority="4">
      <formula>$DN2="AJ"</formula>
    </cfRule>
  </conditionalFormatting>
  <dataValidations count="1">
    <dataValidation type="list" allowBlank="1" showInputMessage="1" showErrorMessage="1" sqref="DM2:DM18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DA2:DA18</xm:sqref>
        </x14:dataValidation>
        <x14:dataValidation type="list" allowBlank="1" showInputMessage="1" showErrorMessage="1">
          <x14:formula1>
            <xm:f>Matrice!$B$38:$I$38</xm:f>
          </x14:formula1>
          <xm:sqref>DK2:DK18</xm:sqref>
        </x14:dataValidation>
        <x14:dataValidation type="list" allowBlank="1" showInputMessage="1" showErrorMessage="1">
          <x14:formula1>
            <xm:f>Matrice!$B$37:$I$37</xm:f>
          </x14:formula1>
          <xm:sqref>DJ2:DJ18</xm:sqref>
        </x14:dataValidation>
        <x14:dataValidation type="list" allowBlank="1" showInputMessage="1" showErrorMessage="1">
          <x14:formula1>
            <xm:f>Matrice!$B$36:$O$36</xm:f>
          </x14:formula1>
          <xm:sqref>DG2:DG18</xm:sqref>
        </x14:dataValidation>
        <x14:dataValidation type="list" allowBlank="1" showInputMessage="1" showErrorMessage="1">
          <x14:formula1>
            <xm:f>Matrice!$B$28:$H$28</xm:f>
          </x14:formula1>
          <xm:sqref>DD2:DD18</xm:sqref>
        </x14:dataValidation>
        <x14:dataValidation type="list" allowBlank="1" showInputMessage="1" showErrorMessage="1">
          <x14:formula1>
            <xm:f>Matrice!$B$32:$F$32</xm:f>
          </x14:formula1>
          <xm:sqref>DC2:DC18</xm:sqref>
        </x14:dataValidation>
        <x14:dataValidation type="list" allowBlank="1" showInputMessage="1" showErrorMessage="1">
          <x14:formula1>
            <xm:f>Matrice!$B$33:$E$33</xm:f>
          </x14:formula1>
          <xm:sqref>CW2:CW18</xm:sqref>
        </x14:dataValidation>
        <x14:dataValidation type="list" allowBlank="1" showInputMessage="1" showErrorMessage="1">
          <x14:formula1>
            <xm:f>Matrice!$C$25:$N$25</xm:f>
          </x14:formula1>
          <xm:sqref>CK2:CP18</xm:sqref>
        </x14:dataValidation>
        <x14:dataValidation type="list" allowBlank="1" showInputMessage="1" showErrorMessage="1">
          <x14:formula1>
            <xm:f>Matrice!$B$23:$I$23</xm:f>
          </x14:formula1>
          <xm:sqref>AY2:AY18</xm:sqref>
        </x14:dataValidation>
        <x14:dataValidation type="list" allowBlank="1" showInputMessage="1" showErrorMessage="1">
          <x14:formula1>
            <xm:f>Matrice!$B$12:$M$12</xm:f>
          </x14:formula1>
          <xm:sqref>BH2:BI18</xm:sqref>
        </x14:dataValidation>
        <x14:dataValidation type="list" allowBlank="1" showInputMessage="1" showErrorMessage="1">
          <x14:formula1>
            <xm:f>Matrice!$B$11:$J$11</xm:f>
          </x14:formula1>
          <xm:sqref>BN2:BN18 BQ2:BQ18 CI2:CI18 CF2:CF18 CC2:CC18 BZ2:BZ18 BK2:BK18 BW2:BW18 BT2:BT18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AB2:AB18</xm:sqref>
        </x14:dataValidation>
        <x14:dataValidation type="list" allowBlank="1" showInputMessage="1" showErrorMessage="1">
          <x14:formula1>
            <xm:f>Matrice!$B$8:$K$8</xm:f>
          </x14:formula1>
          <xm:sqref>AD2:AD18</xm:sqref>
        </x14:dataValidation>
        <x14:dataValidation type="list" allowBlank="1" showInputMessage="1" showErrorMessage="1">
          <x14:formula1>
            <xm:f>Matrice!$B$2:$O$2</xm:f>
          </x14:formula1>
          <xm:sqref>K2:K18</xm:sqref>
        </x14:dataValidation>
        <x14:dataValidation type="list" allowBlank="1" showInputMessage="1" showErrorMessage="1">
          <x14:formula1>
            <xm:f>Matrice!$B$1:$J$1</xm:f>
          </x14:formula1>
          <xm:sqref>J2:J18</xm:sqref>
        </x14:dataValidation>
        <x14:dataValidation type="list" allowBlank="1" showInputMessage="1" showErrorMessage="1">
          <x14:formula1>
            <xm:f>Matrice!$B$9:$O$9</xm:f>
          </x14:formula1>
          <xm:sqref>G2:G18</xm:sqref>
        </x14:dataValidation>
        <x14:dataValidation type="list" allowBlank="1" showInputMessage="1" showErrorMessage="1">
          <x14:formula1>
            <xm:f>Matrice!$B$4:$J$4</xm:f>
          </x14:formula1>
          <xm:sqref>S2:S18</xm:sqref>
        </x14:dataValidation>
        <x14:dataValidation type="list" allowBlank="1" showInputMessage="1" showErrorMessage="1">
          <x14:formula1>
            <xm:f>Matrice!$B$49:$D$49</xm:f>
          </x14:formula1>
          <xm:sqref>F2:F18</xm:sqref>
        </x14:dataValidation>
        <x14:dataValidation type="list" allowBlank="1" showInputMessage="1" showErrorMessage="1">
          <x14:formula1>
            <xm:f>Matrice!$B$34:$I$34</xm:f>
          </x14:formula1>
          <xm:sqref>CX2:CX18</xm:sqref>
        </x14:dataValidation>
        <x14:dataValidation type="list" allowBlank="1" showInputMessage="1" showErrorMessage="1">
          <x14:formula1>
            <xm:f>Matrice!$B$35:$M$35</xm:f>
          </x14:formula1>
          <xm:sqref>CZ2:CZ18</xm:sqref>
        </x14:dataValidation>
        <x14:dataValidation type="list" allowBlank="1" showInputMessage="1" showErrorMessage="1">
          <x14:formula1>
            <xm:f>Matrice!$B$31:$V$31</xm:f>
          </x14:formula1>
          <xm:sqref>CU2:CU18</xm:sqref>
        </x14:dataValidation>
        <x14:dataValidation type="list" allowBlank="1" showInputMessage="1" showErrorMessage="1">
          <x14:formula1>
            <xm:f>Matrice!$B$3:$Y$3</xm:f>
          </x14:formula1>
          <xm:sqref>P2:P18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</sheetPr>
  <dimension ref="A1:DN19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20" sqref="C20"/>
    </sheetView>
  </sheetViews>
  <sheetFormatPr baseColWidth="10" defaultColWidth="9.140625" defaultRowHeight="15" x14ac:dyDescent="0.25"/>
  <cols>
    <col min="1" max="1" width="2.42578125" style="600" customWidth="1"/>
    <col min="2" max="2" width="2.42578125" style="228" customWidth="1"/>
    <col min="3" max="3" width="12.7109375" style="226" bestFit="1" customWidth="1"/>
    <col min="4" max="4" width="16.42578125" style="226" bestFit="1" customWidth="1"/>
    <col min="5" max="5" width="11.5703125" style="226" bestFit="1" customWidth="1"/>
    <col min="6" max="6" width="10.5703125" style="226" bestFit="1" customWidth="1"/>
    <col min="7" max="7" width="12.14062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0.8554687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7.710937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4.42578125" style="233" bestFit="1" customWidth="1"/>
    <col min="28" max="28" width="19.85546875" style="226" bestFit="1" customWidth="1"/>
    <col min="29" max="29" width="11.42578125" style="226" bestFit="1" customWidth="1"/>
    <col min="30" max="30" width="13.42578125" style="226" bestFit="1" customWidth="1"/>
    <col min="31" max="31" width="15.5703125" style="226" bestFit="1" customWidth="1"/>
    <col min="32" max="32" width="34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11.42578125" style="226" bestFit="1" customWidth="1"/>
    <col min="52" max="52" width="23.5703125" style="226" bestFit="1" customWidth="1"/>
    <col min="53" max="53" width="6.5703125" style="226" bestFit="1" customWidth="1"/>
    <col min="54" max="54" width="33.7109375" style="226" bestFit="1" customWidth="1"/>
    <col min="55" max="56" width="14.140625" style="226" bestFit="1" customWidth="1"/>
    <col min="57" max="57" width="34.57031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6.4257812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11.5703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22" style="226" bestFit="1" customWidth="1"/>
    <col min="96" max="96" width="25.5703125" style="226" bestFit="1" customWidth="1"/>
    <col min="97" max="97" width="6.7109375" style="226" bestFit="1" customWidth="1"/>
    <col min="98" max="98" width="4.5703125" style="226" bestFit="1" customWidth="1"/>
    <col min="99" max="99" width="8.140625" style="226" bestFit="1" customWidth="1"/>
    <col min="100" max="100" width="13.42578125" style="226" bestFit="1" customWidth="1"/>
    <col min="101" max="101" width="8" style="226" bestFit="1" customWidth="1"/>
    <col min="102" max="102" width="8.140625" style="226" bestFit="1" customWidth="1"/>
    <col min="103" max="103" width="7.85546875" style="226" bestFit="1" customWidth="1"/>
    <col min="104" max="104" width="14.140625" style="226" bestFit="1" customWidth="1"/>
    <col min="105" max="105" width="14.57031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10.85546875" style="226" bestFit="1" customWidth="1"/>
    <col min="112" max="112" width="11.28515625" style="226" bestFit="1" customWidth="1"/>
    <col min="113" max="113" width="9.5703125" style="226" bestFit="1" customWidth="1"/>
    <col min="114" max="115" width="5.140625" style="226" bestFit="1" customWidth="1"/>
    <col min="116" max="116" width="25.5703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IF(COUNT(I2:I19)=0,"+J",SUM(I2:I19)/COUNT(I2:I19))</f>
        <v>55.285714285714285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IF(COUNT(AA2:AA19)=0,"+J",SUM(AA2:AA19)/COUNT(AA2:AA19))</f>
        <v>58.357142857142854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CHAOUCHE Fatma - ALPTIS - Santé Individuelle</v>
      </c>
      <c r="B2" s="306"/>
      <c r="C2" s="305" t="s">
        <v>150</v>
      </c>
      <c r="D2" s="301" t="s">
        <v>1143</v>
      </c>
      <c r="E2" s="276">
        <v>43101</v>
      </c>
      <c r="F2" s="278" t="s">
        <v>547</v>
      </c>
      <c r="G2" s="311" t="s">
        <v>174</v>
      </c>
      <c r="H2" s="276"/>
      <c r="I2" s="313" t="str">
        <f t="shared" ref="I2:I19" si="1">IF(G2="Annulation","",IF(H2=0,"",E2-H2))</f>
        <v/>
      </c>
      <c r="J2" s="312" t="s">
        <v>20</v>
      </c>
      <c r="K2" s="268" t="s">
        <v>17</v>
      </c>
      <c r="L2" s="277"/>
      <c r="M2" s="279"/>
      <c r="N2" s="280">
        <v>149.68</v>
      </c>
      <c r="O2" s="280"/>
      <c r="P2" s="285" t="s">
        <v>48</v>
      </c>
      <c r="Q2" s="281" t="str">
        <f t="shared" ref="Q2:Q19" si="2">IF(COUNT(AD2)=0,"",AD2)</f>
        <v/>
      </c>
      <c r="R2" s="282">
        <f t="shared" ref="R2:R19" si="3">SUM(M2*12)</f>
        <v>0</v>
      </c>
      <c r="S2" s="268"/>
      <c r="T2" s="283" t="str">
        <f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2" s="284">
        <f>IF(M2=0,0,IF(G2="Annulation","",IF(assurance="ALPTIS",M2*12*T2/100*'1802 Data'!$K$4,IF(assurance="APRIL",M2*12*T2/100*'1802 Data'!$F$4,IF(assurance="ASAF",M2*12*T2/100*'1802 Data'!$I$4,IF(assurance="NEOLIANE",('1802 Data'!$G$5+M2*12*'1802 Data'!$G$4)*T2/100,IF(assurance="NEOLIANE Prev",('1802 Data'!$H$5+M2*12*'1802 Data'!$H$4)*T2/100,IF(assurance="SWISSLIFE",M2*12*T2/100*'1802 Data'!$J$4,IF(assurance="AVIVA",M2*12*T2/100*'1802 Data'!$L$4,IF(assurance="CIPRES",M2*12*T2/100*'1802 Data'!$M$4,IF(assurance="CEGEMA",M2*12*T2/100*'1802 Data'!$N$4,IF(assurance=0,0))))))))))))</f>
        <v>0</v>
      </c>
      <c r="V2" s="298" t="str">
        <f t="shared" ref="V2:V19" si="4">IF(M2="","",IF(G2="Annulation","",IF(typecomm="Précompte",SUM((M2-O2)*T2/100*12)+O2*12*0.15,IF(typecomm="Précompte 1",SUM((M2-O2)*T2/100*12)+O2*12*0.15,IF(typecomm="Linéaire",0,IF(typecomm=0,0))))))</f>
        <v/>
      </c>
      <c r="W2" s="298" t="str">
        <f t="shared" ref="W2:W19" si="5">IF(M2="","",IF(G2="Annulation","",IF(typecomm="Linéaire",SUM((M2-O2)*T2/100)+O2*0.15,IF(typecomm="Précompte 1",0,IF(typecomm="Précompte",0,IF(typecomm=0,0))))))</f>
        <v/>
      </c>
      <c r="X2" s="299">
        <v>-412.8235294117647</v>
      </c>
      <c r="Y2" s="368">
        <f t="shared" ref="Y2:Y19" si="6">IF(G2="Annulation",0,IF(M2="",0,IF(typecomm="Linéaire",SUM(W2-U2/12),IF(typecomm="Précompte 1",0,IF(typecomm="Précompte",0,IF(typecomm=0,0))))))</f>
        <v>0</v>
      </c>
      <c r="Z2" s="314"/>
      <c r="AA2" s="313" t="str">
        <f t="shared" ref="AA2:AA19" si="7">IF(Z2="","",IF(G2="Annulation","",IF(E2="",0,Z2-E2)))</f>
        <v/>
      </c>
      <c r="AB2" s="268" t="s">
        <v>1287</v>
      </c>
      <c r="AC2" s="277"/>
      <c r="AD2" s="309" t="str">
        <f>IF(Z2=43466,"Programmée","")</f>
        <v/>
      </c>
      <c r="AE2" s="286" t="str">
        <f t="shared" ref="AE2:AE16" si="8">IF(Z2=43466,43404,"")</f>
        <v/>
      </c>
      <c r="AF2" s="277" t="s">
        <v>229</v>
      </c>
      <c r="AG2" s="275" t="str">
        <f t="shared" ref="AG2:AG19" si="9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t="shared" ref="AH2:AH19" ca="1" si="10">(IF(COUNT(Z2)=0,"",IF(G2="Annulation","",IF(Z2&gt;0,(Z2-TODAY())/(-365),0))))</f>
        <v/>
      </c>
      <c r="AI2" s="373" t="str">
        <f t="shared" ref="AI2:AI19" ca="1" si="1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75" t="str">
        <f t="shared" ref="AJ2:AJ19" si="12">IF(G2="Annulation","",IF(Z2="","",AI2-62))</f>
        <v/>
      </c>
      <c r="AK2" s="296" t="str">
        <f t="shared" ref="AK2:AK19" si="13">IF(G2="Annulation","",IF(Z2="","",AI2-92))</f>
        <v/>
      </c>
      <c r="AL2" s="287" t="str">
        <f t="shared" ref="AL2:AL19" si="14">(IF(COUNT(Z2)=0,"",IF(G2="Annulation","",IF(Z2&gt;0,(Z2-AI2)/(-365),0))))</f>
        <v/>
      </c>
      <c r="AM2" s="279" t="str">
        <f t="shared" ref="AM2:AM19" si="15">IF(G2="Annulation","",IF(Z2&lt;42736,M2,0))</f>
        <v/>
      </c>
      <c r="AN2" s="279" t="str">
        <f t="shared" ref="AN2:AN19" si="16">IF(G2="Annulation","",IF(Z2&gt;=42736,IF(Z2&lt;43101,M2,0),0))</f>
        <v/>
      </c>
      <c r="AO2" s="288" t="str">
        <f t="shared" ref="AO2:AO19" si="17">IF(G2="Annulation","",IF(AM2&gt;0,IF(AM2&gt;0,(AM2-AN2)/AM2*(-1),),0))</f>
        <v/>
      </c>
      <c r="AP2" s="279" t="str">
        <f t="shared" ref="AP2:AP19" si="18">IF(G2="Annulation","",IF(Z2&gt;=43101,IF(Z2&lt;43466,M2,0),0))</f>
        <v/>
      </c>
      <c r="AQ2" s="288" t="str">
        <f t="shared" ref="AQ2:AQ19" si="19">IF(G2="Annulation","",IF(AN2&gt;0,(AN2-AP2)/AN2*(-1),))</f>
        <v/>
      </c>
      <c r="AR2" s="289" t="str">
        <f t="shared" ref="AR2:AR19" si="20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/>
      </c>
      <c r="AS2" s="279" t="str">
        <f t="shared" ref="AS2:AS19" si="21">IF(G2="Annulation","",IF(Z2&gt;=43466,IF(Z2&lt;43831,M2,0),0))</f>
        <v/>
      </c>
      <c r="AT2" s="288" t="str">
        <f t="shared" ref="AT2:AT19" si="22">IF(G2="Annulation","",IF(AP2&gt;0,(AP2-AS2)/AP2*(-1),0))</f>
        <v/>
      </c>
      <c r="AU2" s="289" t="str">
        <f t="shared" ref="AU2:AU19" si="23">IF(G2="Annulation","",IF(AS2&gt;0,IF(AM2&gt;0,(AM2-AS2)/(-AM2),IF(AN2&gt;0,(AN2-AS2)/(-AN2),IF(AP2&gt;0,(AP2-AS2)/(-AP2),0))),0))</f>
        <v/>
      </c>
      <c r="AV2" s="279" t="str">
        <f t="shared" ref="AV2:AV19" si="24">IF(G2="Annulation","",IF(Z2&gt;=43831,IF(Z2&lt;44197,M2,0),0))</f>
        <v/>
      </c>
      <c r="AW2" s="288" t="str">
        <f t="shared" ref="AW2:AW19" si="25">IF(G2="Annulation","",IF(AS2&gt;0,(AS2-AV2)/AS2*(-1),0))</f>
        <v/>
      </c>
      <c r="AX2" s="289" t="str">
        <f t="shared" ref="AX2:AX19" si="26">IF(G2="Annulation","",(IF(AM2&gt;0,(AM2-AV2)/(-AM2),IF(AN2&gt;0,(AN2-AV2)/(-AN2),IF(AP2&gt;0,(AP2-AV2)/(-AP2),IF(AS2&gt;0,(AS2-AV2)/(-AS2),0))))))</f>
        <v/>
      </c>
      <c r="AY2" s="290"/>
      <c r="AZ2" s="291"/>
      <c r="BA2" s="292"/>
      <c r="BB2" s="303"/>
      <c r="BC2" s="293"/>
      <c r="BD2" s="293"/>
      <c r="BE2" s="304"/>
      <c r="BF2" s="274"/>
      <c r="BG2" s="270"/>
      <c r="BH2" s="268">
        <v>0</v>
      </c>
      <c r="BI2" s="273"/>
      <c r="BJ2" s="276"/>
      <c r="BK2" s="294"/>
      <c r="BL2" s="269" t="str">
        <f t="shared" ref="BL2:BL19" ca="1" si="27">IF(DATEDIF(BJ2,TODAY(),"Y")=118,"",DATEDIF(BJ2,TODAY(),"Y"))</f>
        <v/>
      </c>
      <c r="BM2" s="270"/>
      <c r="BN2" s="271"/>
      <c r="BO2" s="272" t="str">
        <f t="shared" ref="BO2:BO19" ca="1" si="28">IF(DATEDIF(BM2,TODAY(),"Y")=118,"",DATEDIF(BM2,TODAY(),"Y"))</f>
        <v/>
      </c>
      <c r="BP2" s="270"/>
      <c r="BQ2" s="271"/>
      <c r="BR2" s="272" t="str">
        <f t="shared" ref="BR2:BR19" ca="1" si="29">IF(DATEDIF(BP2,TODAY(),"Y")=118,"",DATEDIF(BP2,TODAY(),"Y"))</f>
        <v/>
      </c>
      <c r="BS2" s="270"/>
      <c r="BT2" s="271"/>
      <c r="BU2" s="272" t="str">
        <f t="shared" ref="BU2:BU19" ca="1" si="30">IF(DATEDIF(BS2,TODAY(),"Y")=118,"",DATEDIF(BS2,TODAY(),"Y"))</f>
        <v/>
      </c>
      <c r="BV2" s="270"/>
      <c r="BW2" s="271"/>
      <c r="BX2" s="272" t="str">
        <f t="shared" ref="BX2:BX19" ca="1" si="31">IF(DATEDIF(BV2,TODAY(),"Y")=118,"",DATEDIF(BV2,TODAY(),"Y"))</f>
        <v/>
      </c>
      <c r="BY2" s="270"/>
      <c r="BZ2" s="271"/>
      <c r="CA2" s="272" t="str">
        <f t="shared" ref="CA2:CA19" ca="1" si="32">IF(DATEDIF(BY2,TODAY(),"Y")=118,"",DATEDIF(BY2,TODAY(),"Y"))</f>
        <v/>
      </c>
      <c r="CB2" s="270"/>
      <c r="CC2" s="271"/>
      <c r="CD2" s="272" t="str">
        <f t="shared" ref="CD2:CD19" ca="1" si="33">IF(DATEDIF(CB2,TODAY(),"Y")=118,"",DATEDIF(CB2,TODAY(),"Y"))</f>
        <v/>
      </c>
      <c r="CE2" s="270"/>
      <c r="CF2" s="271"/>
      <c r="CG2" s="272" t="str">
        <f t="shared" ref="CG2:CG19" ca="1" si="34">IF(DATEDIF(CE2,TODAY(),"Y")=118,"",DATEDIF(CE2,TODAY(),"Y"))</f>
        <v/>
      </c>
      <c r="CH2" s="270"/>
      <c r="CI2" s="271"/>
      <c r="CJ2" s="272" t="str">
        <f t="shared" ref="CJ2:CJ19" ca="1" si="35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19" si="36">IF(J2="Prev. Pro",IF(BL2=118,"",BL2),"")</f>
        <v/>
      </c>
      <c r="CU2" s="264"/>
      <c r="CV2" s="265"/>
      <c r="CW2" s="264"/>
      <c r="CX2" s="264"/>
      <c r="CY2" s="264" t="s">
        <v>1287</v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19" si="37">Infoman</f>
        <v>0</v>
      </c>
      <c r="DN2" s="295" t="str">
        <f t="shared" ref="DN2:DN19" si="38"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KO</v>
      </c>
    </row>
    <row r="3" spans="1:118" x14ac:dyDescent="0.25">
      <c r="A3" s="599" t="str">
        <f t="shared" ref="A3:A19" si="39">CONCATENATE(C3," ",D3," - ",K3," - ",J3)</f>
        <v>JAYAL Abdelmajid - ALPTIS - Prev. Pro</v>
      </c>
      <c r="B3" s="306"/>
      <c r="C3" s="305" t="s">
        <v>151</v>
      </c>
      <c r="D3" s="301" t="s">
        <v>1144</v>
      </c>
      <c r="E3" s="276">
        <v>43101</v>
      </c>
      <c r="F3" s="278" t="s">
        <v>546</v>
      </c>
      <c r="G3" s="311" t="s">
        <v>174</v>
      </c>
      <c r="H3" s="276"/>
      <c r="I3" s="313" t="str">
        <f t="shared" si="1"/>
        <v/>
      </c>
      <c r="J3" s="312" t="s">
        <v>16</v>
      </c>
      <c r="K3" s="268" t="s">
        <v>17</v>
      </c>
      <c r="L3" s="277"/>
      <c r="M3" s="279"/>
      <c r="N3" s="280">
        <v>146.97</v>
      </c>
      <c r="O3" s="280"/>
      <c r="P3" s="285" t="s">
        <v>48</v>
      </c>
      <c r="Q3" s="281" t="str">
        <f t="shared" si="2"/>
        <v/>
      </c>
      <c r="R3" s="282">
        <f t="shared" si="3"/>
        <v>0</v>
      </c>
      <c r="S3" s="268"/>
      <c r="T3" s="283" t="str">
        <f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3" s="284">
        <f>IF(M3=0,0,IF(G3="Annulation","",IF(assurance="ALPTIS",M3*12*T3/100*'1802 Data'!$K$4,IF(assurance="APRIL",M3*12*T3/100*'1802 Data'!$F$4,IF(assurance="ASAF",M3*12*T3/100*'1802 Data'!$I$4,IF(assurance="NEOLIANE",('1802 Data'!$G$5+M3*12*'1802 Data'!$G$4)*T3/100,IF(assurance="NEOLIANE Prev",('1802 Data'!$H$5+M3*12*'1802 Data'!$H$4)*T3/100,IF(assurance="SWISSLIFE",M3*12*T3/100*'1802 Data'!$J$4,IF(assurance="AVIVA",M3*12*T3/100*'1802 Data'!$L$4,IF(assurance="CIPRES",M3*12*T3/100*'1802 Data'!$M$4,IF(assurance="CEGEMA",M3*12*T3/100*'1802 Data'!$N$4,IF(assurance=0,0))))))))))))</f>
        <v>0</v>
      </c>
      <c r="V3" s="298" t="str">
        <f t="shared" si="4"/>
        <v/>
      </c>
      <c r="W3" s="298" t="str">
        <f t="shared" si="5"/>
        <v/>
      </c>
      <c r="X3" s="299">
        <v>-496.23529411764707</v>
      </c>
      <c r="Y3" s="368">
        <f t="shared" si="6"/>
        <v>0</v>
      </c>
      <c r="Z3" s="314"/>
      <c r="AA3" s="313" t="str">
        <f t="shared" si="7"/>
        <v/>
      </c>
      <c r="AB3" s="268" t="s">
        <v>1287</v>
      </c>
      <c r="AC3" s="277"/>
      <c r="AD3" s="309" t="str">
        <f>IF(Z3=43466,"Programmée","")</f>
        <v/>
      </c>
      <c r="AE3" s="286" t="str">
        <f t="shared" si="8"/>
        <v/>
      </c>
      <c r="AF3" s="277" t="s">
        <v>229</v>
      </c>
      <c r="AG3" s="275" t="str">
        <f t="shared" si="9"/>
        <v/>
      </c>
      <c r="AH3" s="287" t="str">
        <f t="shared" ca="1" si="10"/>
        <v/>
      </c>
      <c r="AI3" s="373" t="str">
        <f t="shared" ca="1" si="11"/>
        <v/>
      </c>
      <c r="AJ3" s="275" t="str">
        <f t="shared" si="12"/>
        <v/>
      </c>
      <c r="AK3" s="296" t="str">
        <f t="shared" si="13"/>
        <v/>
      </c>
      <c r="AL3" s="287" t="str">
        <f t="shared" si="14"/>
        <v/>
      </c>
      <c r="AM3" s="279" t="str">
        <f t="shared" si="15"/>
        <v/>
      </c>
      <c r="AN3" s="279" t="str">
        <f t="shared" si="16"/>
        <v/>
      </c>
      <c r="AO3" s="288" t="str">
        <f t="shared" si="17"/>
        <v/>
      </c>
      <c r="AP3" s="279" t="str">
        <f t="shared" si="18"/>
        <v/>
      </c>
      <c r="AQ3" s="288" t="str">
        <f t="shared" si="19"/>
        <v/>
      </c>
      <c r="AR3" s="289" t="str">
        <f t="shared" si="20"/>
        <v/>
      </c>
      <c r="AS3" s="279" t="str">
        <f t="shared" si="21"/>
        <v/>
      </c>
      <c r="AT3" s="288" t="str">
        <f t="shared" si="22"/>
        <v/>
      </c>
      <c r="AU3" s="289" t="str">
        <f t="shared" si="23"/>
        <v/>
      </c>
      <c r="AV3" s="279" t="str">
        <f t="shared" si="24"/>
        <v/>
      </c>
      <c r="AW3" s="288" t="str">
        <f t="shared" si="25"/>
        <v/>
      </c>
      <c r="AX3" s="289" t="str">
        <f t="shared" si="26"/>
        <v/>
      </c>
      <c r="AY3" s="290"/>
      <c r="AZ3" s="291"/>
      <c r="BA3" s="292"/>
      <c r="BB3" s="303"/>
      <c r="BC3" s="293"/>
      <c r="BD3" s="293"/>
      <c r="BE3" s="304"/>
      <c r="BF3" s="274"/>
      <c r="BG3" s="270"/>
      <c r="BH3" s="268">
        <v>0</v>
      </c>
      <c r="BI3" s="273"/>
      <c r="BJ3" s="276"/>
      <c r="BK3" s="294"/>
      <c r="BL3" s="269" t="str">
        <f t="shared" ca="1" si="27"/>
        <v/>
      </c>
      <c r="BM3" s="270"/>
      <c r="BN3" s="271"/>
      <c r="BO3" s="272" t="str">
        <f t="shared" ca="1" si="28"/>
        <v/>
      </c>
      <c r="BP3" s="270"/>
      <c r="BQ3" s="271"/>
      <c r="BR3" s="272" t="str">
        <f t="shared" ca="1" si="29"/>
        <v/>
      </c>
      <c r="BS3" s="270"/>
      <c r="BT3" s="271"/>
      <c r="BU3" s="272" t="str">
        <f t="shared" ca="1" si="30"/>
        <v/>
      </c>
      <c r="BV3" s="270"/>
      <c r="BW3" s="271"/>
      <c r="BX3" s="272" t="str">
        <f t="shared" ca="1" si="31"/>
        <v/>
      </c>
      <c r="BY3" s="270"/>
      <c r="BZ3" s="271"/>
      <c r="CA3" s="272" t="str">
        <f t="shared" ca="1" si="32"/>
        <v/>
      </c>
      <c r="CB3" s="270"/>
      <c r="CC3" s="271"/>
      <c r="CD3" s="272" t="str">
        <f t="shared" ca="1" si="33"/>
        <v/>
      </c>
      <c r="CE3" s="270"/>
      <c r="CF3" s="271"/>
      <c r="CG3" s="272" t="str">
        <f t="shared" ca="1" si="34"/>
        <v/>
      </c>
      <c r="CH3" s="270"/>
      <c r="CI3" s="271"/>
      <c r="CJ3" s="272" t="str">
        <f t="shared" ca="1" si="35"/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ca="1" si="36"/>
        <v/>
      </c>
      <c r="CU3" s="264"/>
      <c r="CV3" s="265"/>
      <c r="CW3" s="264"/>
      <c r="CX3" s="264"/>
      <c r="CY3" s="264" t="s">
        <v>351</v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37"/>
        <v>0</v>
      </c>
      <c r="DN3" s="295" t="str">
        <f t="shared" si="38"/>
        <v>KO</v>
      </c>
    </row>
    <row r="4" spans="1:118" x14ac:dyDescent="0.25">
      <c r="A4" s="599" t="str">
        <f t="shared" si="39"/>
        <v>GENNERET Fabrice - ALPTIS - Santé Individuelle</v>
      </c>
      <c r="B4" s="306"/>
      <c r="C4" s="305" t="s">
        <v>152</v>
      </c>
      <c r="D4" s="301" t="s">
        <v>1145</v>
      </c>
      <c r="E4" s="276">
        <v>43101</v>
      </c>
      <c r="F4" s="278" t="s">
        <v>546</v>
      </c>
      <c r="G4" s="311" t="s">
        <v>174</v>
      </c>
      <c r="H4" s="276"/>
      <c r="I4" s="313" t="str">
        <f t="shared" si="1"/>
        <v/>
      </c>
      <c r="J4" s="312" t="s">
        <v>20</v>
      </c>
      <c r="K4" s="268" t="s">
        <v>17</v>
      </c>
      <c r="L4" s="277"/>
      <c r="M4" s="279"/>
      <c r="N4" s="280">
        <v>65.41</v>
      </c>
      <c r="O4" s="280"/>
      <c r="P4" s="285" t="s">
        <v>48</v>
      </c>
      <c r="Q4" s="281" t="str">
        <f t="shared" si="2"/>
        <v/>
      </c>
      <c r="R4" s="282">
        <f t="shared" si="3"/>
        <v>0</v>
      </c>
      <c r="S4" s="268"/>
      <c r="T4" s="283" t="str">
        <f>IF(G4="Annulation","",IF(assurance="ALPTIS",25,IF(assurance="APRIL",25,IF(assurance="ASAF",17.5,IF(assurance="NEOLIANE",25,IF(assurance="NEOLIANE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4" s="284">
        <f>IF(M4=0,0,IF(G4="Annulation","",IF(assurance="ALPTIS",M4*12*T4/100*'1802 Data'!$K$4,IF(assurance="APRIL",M4*12*T4/100*'1802 Data'!$F$4,IF(assurance="ASAF",M4*12*T4/100*'1802 Data'!$I$4,IF(assurance="NEOLIANE",('1802 Data'!$G$5+M4*12*'1802 Data'!$G$4)*T4/100,IF(assurance="NEOLIANE Prev",('1802 Data'!$H$5+M4*12*'1802 Data'!$H$4)*T4/100,IF(assurance="SWISSLIFE",M4*12*T4/100*'1802 Data'!$J$4,IF(assurance="AVIVA",M4*12*T4/100*'1802 Data'!$L$4,IF(assurance="CIPRES",M4*12*T4/100*'1802 Data'!$M$4,IF(assurance="CEGEMA",M4*12*T4/100*'1802 Data'!$N$4,IF(assurance=0,0))))))))))))</f>
        <v>0</v>
      </c>
      <c r="V4" s="298" t="str">
        <f t="shared" si="4"/>
        <v/>
      </c>
      <c r="W4" s="298" t="str">
        <f t="shared" si="5"/>
        <v/>
      </c>
      <c r="X4" s="299">
        <v>-155.11764705882399</v>
      </c>
      <c r="Y4" s="368">
        <f t="shared" si="6"/>
        <v>0</v>
      </c>
      <c r="Z4" s="314"/>
      <c r="AA4" s="313" t="str">
        <f t="shared" si="7"/>
        <v/>
      </c>
      <c r="AB4" s="268" t="s">
        <v>1287</v>
      </c>
      <c r="AC4" s="277"/>
      <c r="AD4" s="309" t="str">
        <f>IF(Z4=43466,"Programmée","")</f>
        <v/>
      </c>
      <c r="AE4" s="286" t="str">
        <f t="shared" si="8"/>
        <v/>
      </c>
      <c r="AF4" s="277" t="s">
        <v>229</v>
      </c>
      <c r="AG4" s="275" t="str">
        <f t="shared" si="9"/>
        <v/>
      </c>
      <c r="AH4" s="287" t="str">
        <f t="shared" ca="1" si="10"/>
        <v/>
      </c>
      <c r="AI4" s="373" t="str">
        <f t="shared" ca="1" si="11"/>
        <v/>
      </c>
      <c r="AJ4" s="275" t="str">
        <f t="shared" si="12"/>
        <v/>
      </c>
      <c r="AK4" s="296" t="str">
        <f t="shared" si="13"/>
        <v/>
      </c>
      <c r="AL4" s="287" t="str">
        <f t="shared" si="14"/>
        <v/>
      </c>
      <c r="AM4" s="279" t="str">
        <f t="shared" si="15"/>
        <v/>
      </c>
      <c r="AN4" s="279" t="str">
        <f t="shared" si="16"/>
        <v/>
      </c>
      <c r="AO4" s="288" t="str">
        <f t="shared" si="17"/>
        <v/>
      </c>
      <c r="AP4" s="279" t="str">
        <f t="shared" si="18"/>
        <v/>
      </c>
      <c r="AQ4" s="288" t="str">
        <f t="shared" si="19"/>
        <v/>
      </c>
      <c r="AR4" s="289" t="str">
        <f t="shared" si="20"/>
        <v/>
      </c>
      <c r="AS4" s="279" t="str">
        <f t="shared" si="21"/>
        <v/>
      </c>
      <c r="AT4" s="288" t="str">
        <f t="shared" si="22"/>
        <v/>
      </c>
      <c r="AU4" s="289" t="str">
        <f t="shared" si="23"/>
        <v/>
      </c>
      <c r="AV4" s="279" t="str">
        <f t="shared" si="24"/>
        <v/>
      </c>
      <c r="AW4" s="288" t="str">
        <f t="shared" si="25"/>
        <v/>
      </c>
      <c r="AX4" s="289" t="str">
        <f t="shared" si="26"/>
        <v/>
      </c>
      <c r="AY4" s="290"/>
      <c r="AZ4" s="291"/>
      <c r="BA4" s="292"/>
      <c r="BB4" s="303"/>
      <c r="BC4" s="293"/>
      <c r="BD4" s="293"/>
      <c r="BE4" s="304"/>
      <c r="BF4" s="274"/>
      <c r="BG4" s="270"/>
      <c r="BH4" s="268">
        <v>0</v>
      </c>
      <c r="BI4" s="273"/>
      <c r="BJ4" s="276"/>
      <c r="BK4" s="294"/>
      <c r="BL4" s="269" t="str">
        <f t="shared" ca="1" si="27"/>
        <v/>
      </c>
      <c r="BM4" s="270"/>
      <c r="BN4" s="271"/>
      <c r="BO4" s="272" t="str">
        <f t="shared" ca="1" si="28"/>
        <v/>
      </c>
      <c r="BP4" s="270"/>
      <c r="BQ4" s="271"/>
      <c r="BR4" s="272" t="str">
        <f t="shared" ca="1" si="29"/>
        <v/>
      </c>
      <c r="BS4" s="270"/>
      <c r="BT4" s="271"/>
      <c r="BU4" s="272" t="str">
        <f t="shared" ca="1" si="30"/>
        <v/>
      </c>
      <c r="BV4" s="270"/>
      <c r="BW4" s="271"/>
      <c r="BX4" s="272" t="str">
        <f t="shared" ca="1" si="31"/>
        <v/>
      </c>
      <c r="BY4" s="270"/>
      <c r="BZ4" s="271"/>
      <c r="CA4" s="272" t="str">
        <f t="shared" ca="1" si="32"/>
        <v/>
      </c>
      <c r="CB4" s="270"/>
      <c r="CC4" s="271"/>
      <c r="CD4" s="272" t="str">
        <f t="shared" ca="1" si="33"/>
        <v/>
      </c>
      <c r="CE4" s="270"/>
      <c r="CF4" s="271"/>
      <c r="CG4" s="272" t="str">
        <f t="shared" ca="1" si="34"/>
        <v/>
      </c>
      <c r="CH4" s="270"/>
      <c r="CI4" s="271"/>
      <c r="CJ4" s="272" t="str">
        <f t="shared" ca="1" si="35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36"/>
        <v/>
      </c>
      <c r="CU4" s="264"/>
      <c r="CV4" s="265"/>
      <c r="CW4" s="264"/>
      <c r="CX4" s="264"/>
      <c r="CY4" s="264" t="s">
        <v>1287</v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37"/>
        <v>0</v>
      </c>
      <c r="DN4" s="295" t="str">
        <f t="shared" si="38"/>
        <v>KO</v>
      </c>
    </row>
    <row r="5" spans="1:118" x14ac:dyDescent="0.25">
      <c r="A5" s="599" t="str">
        <f t="shared" si="39"/>
        <v>GILLERAT Olga - ALPTIS - Santé Individuelle</v>
      </c>
      <c r="B5" s="306"/>
      <c r="C5" s="305" t="s">
        <v>146</v>
      </c>
      <c r="D5" s="301" t="s">
        <v>1146</v>
      </c>
      <c r="E5" s="276">
        <v>43101</v>
      </c>
      <c r="F5" s="278" t="s">
        <v>547</v>
      </c>
      <c r="G5" s="311" t="s">
        <v>174</v>
      </c>
      <c r="H5" s="276"/>
      <c r="I5" s="313" t="str">
        <f t="shared" si="1"/>
        <v/>
      </c>
      <c r="J5" s="312" t="s">
        <v>20</v>
      </c>
      <c r="K5" s="268" t="s">
        <v>17</v>
      </c>
      <c r="L5" s="277"/>
      <c r="M5" s="279"/>
      <c r="N5" s="280">
        <v>104.14</v>
      </c>
      <c r="O5" s="280"/>
      <c r="P5" s="285" t="s">
        <v>48</v>
      </c>
      <c r="Q5" s="281" t="str">
        <f t="shared" si="2"/>
        <v/>
      </c>
      <c r="R5" s="282">
        <f t="shared" si="3"/>
        <v>0</v>
      </c>
      <c r="S5" s="268"/>
      <c r="T5" s="283" t="str">
        <f>IF(G5="Annulation","",IF(assurance="ALPTIS",25,IF(assurance="APRIL",25,IF(assurance="ASAF",17.5,IF(assurance="NEOLIANE",25,IF(assurance="NEOLIANE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/>
      </c>
      <c r="U5" s="284">
        <f>IF(M5=0,0,IF(G5="Annulation","",IF(assurance="ALPTIS",M5*12*T5/100*'1802 Data'!$K$4,IF(assurance="APRIL",M5*12*T5/100*'1802 Data'!$F$4,IF(assurance="ASAF",M5*12*T5/100*'1802 Data'!$I$4,IF(assurance="NEOLIANE",('1802 Data'!$G$5+M5*12*'1802 Data'!$G$4)*T5/100,IF(assurance="NEOLIANE Prev",('1802 Data'!$H$5+M5*12*'1802 Data'!$H$4)*T5/100,IF(assurance="SWISSLIFE",M5*12*T5/100*'1802 Data'!$J$4,IF(assurance="AVIVA",M5*12*T5/100*'1802 Data'!$L$4,IF(assurance="CIPRES",M5*12*T5/100*'1802 Data'!$M$4,IF(assurance="CEGEMA",M5*12*T5/100*'1802 Data'!$N$4,IF(assurance=0,0))))))))))))</f>
        <v>0</v>
      </c>
      <c r="V5" s="298" t="str">
        <f t="shared" si="4"/>
        <v/>
      </c>
      <c r="W5" s="298" t="str">
        <f t="shared" si="5"/>
        <v/>
      </c>
      <c r="X5" s="299">
        <v>-82.705882352941174</v>
      </c>
      <c r="Y5" s="368">
        <f t="shared" si="6"/>
        <v>0</v>
      </c>
      <c r="Z5" s="314"/>
      <c r="AA5" s="313" t="str">
        <f t="shared" si="7"/>
        <v/>
      </c>
      <c r="AB5" s="268" t="s">
        <v>1287</v>
      </c>
      <c r="AC5" s="277"/>
      <c r="AD5" s="309" t="str">
        <f>IF(Z5=43466,"Programmée","")</f>
        <v/>
      </c>
      <c r="AE5" s="286" t="str">
        <f t="shared" si="8"/>
        <v/>
      </c>
      <c r="AF5" s="277" t="s">
        <v>229</v>
      </c>
      <c r="AG5" s="275" t="str">
        <f t="shared" si="9"/>
        <v/>
      </c>
      <c r="AH5" s="287" t="str">
        <f t="shared" ca="1" si="10"/>
        <v/>
      </c>
      <c r="AI5" s="373" t="str">
        <f t="shared" ca="1" si="11"/>
        <v/>
      </c>
      <c r="AJ5" s="275" t="str">
        <f t="shared" si="12"/>
        <v/>
      </c>
      <c r="AK5" s="296" t="str">
        <f t="shared" si="13"/>
        <v/>
      </c>
      <c r="AL5" s="287" t="str">
        <f t="shared" si="14"/>
        <v/>
      </c>
      <c r="AM5" s="279" t="str">
        <f t="shared" si="15"/>
        <v/>
      </c>
      <c r="AN5" s="279" t="str">
        <f t="shared" si="16"/>
        <v/>
      </c>
      <c r="AO5" s="288" t="str">
        <f t="shared" si="17"/>
        <v/>
      </c>
      <c r="AP5" s="279" t="str">
        <f t="shared" si="18"/>
        <v/>
      </c>
      <c r="AQ5" s="288" t="str">
        <f t="shared" si="19"/>
        <v/>
      </c>
      <c r="AR5" s="289" t="str">
        <f t="shared" si="20"/>
        <v/>
      </c>
      <c r="AS5" s="279" t="str">
        <f t="shared" si="21"/>
        <v/>
      </c>
      <c r="AT5" s="288" t="str">
        <f t="shared" si="22"/>
        <v/>
      </c>
      <c r="AU5" s="289" t="str">
        <f t="shared" si="23"/>
        <v/>
      </c>
      <c r="AV5" s="279" t="str">
        <f t="shared" si="24"/>
        <v/>
      </c>
      <c r="AW5" s="288" t="str">
        <f t="shared" si="25"/>
        <v/>
      </c>
      <c r="AX5" s="289" t="str">
        <f t="shared" si="26"/>
        <v/>
      </c>
      <c r="AY5" s="290"/>
      <c r="AZ5" s="291"/>
      <c r="BA5" s="292"/>
      <c r="BB5" s="303"/>
      <c r="BC5" s="293"/>
      <c r="BD5" s="293"/>
      <c r="BE5" s="304"/>
      <c r="BF5" s="274"/>
      <c r="BG5" s="270"/>
      <c r="BH5" s="268">
        <v>0</v>
      </c>
      <c r="BI5" s="273"/>
      <c r="BJ5" s="276"/>
      <c r="BK5" s="294"/>
      <c r="BL5" s="269" t="str">
        <f t="shared" ca="1" si="27"/>
        <v/>
      </c>
      <c r="BM5" s="270"/>
      <c r="BN5" s="271"/>
      <c r="BO5" s="272" t="str">
        <f t="shared" ca="1" si="28"/>
        <v/>
      </c>
      <c r="BP5" s="270"/>
      <c r="BQ5" s="271"/>
      <c r="BR5" s="272" t="str">
        <f t="shared" ca="1" si="29"/>
        <v/>
      </c>
      <c r="BS5" s="270"/>
      <c r="BT5" s="271"/>
      <c r="BU5" s="272" t="str">
        <f t="shared" ca="1" si="30"/>
        <v/>
      </c>
      <c r="BV5" s="270"/>
      <c r="BW5" s="271"/>
      <c r="BX5" s="272" t="str">
        <f t="shared" ca="1" si="31"/>
        <v/>
      </c>
      <c r="BY5" s="270"/>
      <c r="BZ5" s="271"/>
      <c r="CA5" s="272" t="str">
        <f t="shared" ca="1" si="32"/>
        <v/>
      </c>
      <c r="CB5" s="270"/>
      <c r="CC5" s="271"/>
      <c r="CD5" s="272" t="str">
        <f t="shared" ca="1" si="33"/>
        <v/>
      </c>
      <c r="CE5" s="270"/>
      <c r="CF5" s="271"/>
      <c r="CG5" s="272" t="str">
        <f t="shared" ca="1" si="34"/>
        <v/>
      </c>
      <c r="CH5" s="270"/>
      <c r="CI5" s="271"/>
      <c r="CJ5" s="272" t="str">
        <f t="shared" ca="1" si="35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36"/>
        <v/>
      </c>
      <c r="CU5" s="264"/>
      <c r="CV5" s="265"/>
      <c r="CW5" s="264"/>
      <c r="CX5" s="264"/>
      <c r="CY5" s="264" t="s">
        <v>1287</v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37"/>
        <v>0</v>
      </c>
      <c r="DN5" s="295" t="str">
        <f t="shared" si="38"/>
        <v>KO</v>
      </c>
    </row>
    <row r="6" spans="1:118" x14ac:dyDescent="0.25">
      <c r="A6" s="599" t="str">
        <f t="shared" si="39"/>
        <v>FARGIER Jean-Noel - ALPTIS - Prev. Pro</v>
      </c>
      <c r="B6" s="306"/>
      <c r="C6" s="305" t="s">
        <v>23</v>
      </c>
      <c r="D6" s="301" t="s">
        <v>1141</v>
      </c>
      <c r="E6" s="276">
        <v>43130</v>
      </c>
      <c r="F6" s="278" t="s">
        <v>546</v>
      </c>
      <c r="G6" s="311" t="s">
        <v>173</v>
      </c>
      <c r="H6" s="276">
        <v>42898</v>
      </c>
      <c r="I6" s="313">
        <f t="shared" si="1"/>
        <v>232</v>
      </c>
      <c r="J6" s="312" t="s">
        <v>16</v>
      </c>
      <c r="K6" s="268" t="s">
        <v>17</v>
      </c>
      <c r="L6" s="277" t="s">
        <v>24</v>
      </c>
      <c r="M6" s="279">
        <v>80.06</v>
      </c>
      <c r="N6" s="280">
        <v>80.06</v>
      </c>
      <c r="O6" s="280">
        <v>0</v>
      </c>
      <c r="P6" s="285" t="s">
        <v>57</v>
      </c>
      <c r="Q6" s="281" t="str">
        <f t="shared" si="2"/>
        <v/>
      </c>
      <c r="R6" s="282">
        <f t="shared" si="3"/>
        <v>960.72</v>
      </c>
      <c r="S6" s="268" t="s">
        <v>18</v>
      </c>
      <c r="T6" s="300">
        <v>17</v>
      </c>
      <c r="U6" s="284">
        <f>IF(M6=0,0,IF(G6="Annulation","",IF(assurance="ALPTIS",M6*12*T6/100*'1802 Data'!$K$4,IF(assurance="APRIL",M6*12*T6/100*'1802 Data'!$F$4,IF(assurance="ASAF",M6*12*T6/100*'1802 Data'!$I$4,IF(assurance="NEOLIANE",('1802 Data'!$G$5+M6*12*'1802 Data'!$G$4)*T6/100,IF(assurance="NEOLIANE Prev",('1802 Data'!$H$5+M6*12*'1802 Data'!$H$4)*T6/100,IF(assurance="SWISSLIFE",M6*12*T6/100*'1802 Data'!$J$4,IF(assurance="AVIVA",M6*12*T6/100*'1802 Data'!$L$4,IF(assurance="CIPRES",M6*12*T6/100*'1802 Data'!$M$4,IF(assurance="CEGEMA",M6*12*T6/100*'1802 Data'!$N$4,IF(assurance=0,0))))))))))))</f>
        <v>17.769477119999998</v>
      </c>
      <c r="V6" s="298">
        <f t="shared" si="4"/>
        <v>163.32239999999999</v>
      </c>
      <c r="W6" s="298">
        <f t="shared" si="5"/>
        <v>0</v>
      </c>
      <c r="X6" s="299">
        <f t="shared" ref="X6:X19" si="40">IF(G6="Annulation",0,IF(typecomm="Linéaire",0,IF(typecomm="Précompte 1",V6-U6,IF(mens=0,0,IF(typecomm="Précompte",V6-U6,IF(typecomm=0,0))))))</f>
        <v>145.55292287999998</v>
      </c>
      <c r="Y6" s="368">
        <f t="shared" si="6"/>
        <v>0</v>
      </c>
      <c r="Z6" s="314">
        <v>43132</v>
      </c>
      <c r="AA6" s="313">
        <f t="shared" si="7"/>
        <v>2</v>
      </c>
      <c r="AB6" s="268" t="s">
        <v>35</v>
      </c>
      <c r="AC6" s="277" t="s">
        <v>31</v>
      </c>
      <c r="AD6" s="309" t="s">
        <v>78</v>
      </c>
      <c r="AE6" s="286" t="str">
        <f t="shared" si="8"/>
        <v/>
      </c>
      <c r="AF6" s="277"/>
      <c r="AG6" s="275">
        <f t="shared" si="9"/>
        <v>43466</v>
      </c>
      <c r="AH6" s="287">
        <f t="shared" ca="1" si="10"/>
        <v>0.34794520547945207</v>
      </c>
      <c r="AI6" s="373">
        <f t="shared" ca="1" si="11"/>
        <v>43466</v>
      </c>
      <c r="AJ6" s="275">
        <f t="shared" ca="1" si="12"/>
        <v>43404</v>
      </c>
      <c r="AK6" s="296">
        <f t="shared" ca="1" si="13"/>
        <v>43374</v>
      </c>
      <c r="AL6" s="287">
        <f t="shared" ca="1" si="14"/>
        <v>0.91506849315068495</v>
      </c>
      <c r="AM6" s="279">
        <f t="shared" si="15"/>
        <v>0</v>
      </c>
      <c r="AN6" s="279">
        <f t="shared" si="16"/>
        <v>0</v>
      </c>
      <c r="AO6" s="288">
        <f t="shared" si="17"/>
        <v>0</v>
      </c>
      <c r="AP6" s="279">
        <f t="shared" si="18"/>
        <v>80.06</v>
      </c>
      <c r="AQ6" s="288">
        <f t="shared" si="19"/>
        <v>0</v>
      </c>
      <c r="AR6" s="289">
        <f t="shared" si="20"/>
        <v>0</v>
      </c>
      <c r="AS6" s="279">
        <f t="shared" si="21"/>
        <v>0</v>
      </c>
      <c r="AT6" s="288">
        <f t="shared" si="22"/>
        <v>-1</v>
      </c>
      <c r="AU6" s="289">
        <f t="shared" si="23"/>
        <v>0</v>
      </c>
      <c r="AV6" s="279">
        <f t="shared" si="24"/>
        <v>0</v>
      </c>
      <c r="AW6" s="288">
        <f t="shared" si="25"/>
        <v>0</v>
      </c>
      <c r="AX6" s="289">
        <f t="shared" si="26"/>
        <v>-1</v>
      </c>
      <c r="AY6" s="290" t="s">
        <v>276</v>
      </c>
      <c r="AZ6" s="291">
        <v>1830276</v>
      </c>
      <c r="BA6" s="292">
        <v>7160</v>
      </c>
      <c r="BB6" s="303" t="s">
        <v>1142</v>
      </c>
      <c r="BC6" s="293">
        <v>669146841</v>
      </c>
      <c r="BD6" s="293"/>
      <c r="BE6" s="304" t="s">
        <v>1208</v>
      </c>
      <c r="BF6" s="274"/>
      <c r="BG6" s="270"/>
      <c r="BH6" s="268">
        <v>1</v>
      </c>
      <c r="BI6" s="273"/>
      <c r="BJ6" s="276">
        <v>25199</v>
      </c>
      <c r="BK6" s="294" t="s">
        <v>202</v>
      </c>
      <c r="BL6" s="269">
        <f t="shared" ca="1" si="27"/>
        <v>49</v>
      </c>
      <c r="BM6" s="270"/>
      <c r="BN6" s="271"/>
      <c r="BO6" s="272" t="str">
        <f t="shared" ca="1" si="28"/>
        <v/>
      </c>
      <c r="BP6" s="270"/>
      <c r="BQ6" s="271"/>
      <c r="BR6" s="272" t="str">
        <f t="shared" ca="1" si="29"/>
        <v/>
      </c>
      <c r="BS6" s="270"/>
      <c r="BT6" s="271"/>
      <c r="BU6" s="272" t="str">
        <f t="shared" ca="1" si="30"/>
        <v/>
      </c>
      <c r="BV6" s="270"/>
      <c r="BW6" s="271"/>
      <c r="BX6" s="272" t="str">
        <f t="shared" ca="1" si="31"/>
        <v/>
      </c>
      <c r="BY6" s="270"/>
      <c r="BZ6" s="271"/>
      <c r="CA6" s="272" t="str">
        <f t="shared" ca="1" si="32"/>
        <v/>
      </c>
      <c r="CB6" s="270"/>
      <c r="CC6" s="271"/>
      <c r="CD6" s="272" t="str">
        <f t="shared" ca="1" si="33"/>
        <v/>
      </c>
      <c r="CE6" s="270"/>
      <c r="CF6" s="271"/>
      <c r="CG6" s="272" t="str">
        <f t="shared" ca="1" si="34"/>
        <v/>
      </c>
      <c r="CH6" s="270"/>
      <c r="CI6" s="271"/>
      <c r="CJ6" s="272" t="str">
        <f t="shared" ca="1" si="35"/>
        <v/>
      </c>
      <c r="CK6" s="262"/>
      <c r="CL6" s="264"/>
      <c r="CM6" s="264"/>
      <c r="CN6" s="264"/>
      <c r="CO6" s="264"/>
      <c r="CP6" s="264"/>
      <c r="CQ6" s="264"/>
      <c r="CR6" s="262" t="s">
        <v>1152</v>
      </c>
      <c r="CS6" s="263" t="s">
        <v>1153</v>
      </c>
      <c r="CT6" s="297">
        <f t="shared" ca="1" si="36"/>
        <v>49</v>
      </c>
      <c r="CU6" s="264" t="s">
        <v>108</v>
      </c>
      <c r="CV6" s="265">
        <v>40624</v>
      </c>
      <c r="CW6" s="264" t="s">
        <v>351</v>
      </c>
      <c r="CX6" s="264" t="s">
        <v>483</v>
      </c>
      <c r="CY6" s="264" t="s">
        <v>350</v>
      </c>
      <c r="CZ6" s="264" t="s">
        <v>356</v>
      </c>
      <c r="DA6" s="264" t="s">
        <v>351</v>
      </c>
      <c r="DB6" s="266">
        <v>1655</v>
      </c>
      <c r="DC6" s="264" t="s">
        <v>343</v>
      </c>
      <c r="DD6" s="264" t="s">
        <v>363</v>
      </c>
      <c r="DE6" s="266">
        <v>0</v>
      </c>
      <c r="DF6" s="266">
        <v>58000</v>
      </c>
      <c r="DG6" s="264" t="s">
        <v>35</v>
      </c>
      <c r="DH6" s="266">
        <v>0</v>
      </c>
      <c r="DI6" s="266">
        <v>0</v>
      </c>
      <c r="DJ6" s="264" t="s">
        <v>351</v>
      </c>
      <c r="DK6" s="264" t="s">
        <v>351</v>
      </c>
      <c r="DL6" s="267" t="s">
        <v>1154</v>
      </c>
      <c r="DM6" s="261">
        <f t="shared" si="37"/>
        <v>0</v>
      </c>
      <c r="DN6" s="295" t="str">
        <f t="shared" si="38"/>
        <v>OK</v>
      </c>
    </row>
    <row r="7" spans="1:118" x14ac:dyDescent="0.25">
      <c r="A7" s="599" t="str">
        <f t="shared" si="39"/>
        <v>FARGIER Jean-Noel - ALPTIS - Santé Individuelle</v>
      </c>
      <c r="B7" s="306"/>
      <c r="C7" s="305" t="s">
        <v>23</v>
      </c>
      <c r="D7" s="301" t="s">
        <v>1141</v>
      </c>
      <c r="E7" s="276">
        <v>43130</v>
      </c>
      <c r="F7" s="278" t="s">
        <v>546</v>
      </c>
      <c r="G7" s="311" t="s">
        <v>172</v>
      </c>
      <c r="H7" s="276">
        <v>42898</v>
      </c>
      <c r="I7" s="313">
        <f t="shared" si="1"/>
        <v>232</v>
      </c>
      <c r="J7" s="312" t="s">
        <v>20</v>
      </c>
      <c r="K7" s="268" t="s">
        <v>17</v>
      </c>
      <c r="L7" s="277" t="s">
        <v>132</v>
      </c>
      <c r="M7" s="279">
        <v>130.06</v>
      </c>
      <c r="N7" s="280">
        <v>130.06</v>
      </c>
      <c r="O7" s="280">
        <v>0</v>
      </c>
      <c r="P7" s="285" t="s">
        <v>57</v>
      </c>
      <c r="Q7" s="281" t="str">
        <f t="shared" si="2"/>
        <v/>
      </c>
      <c r="R7" s="282">
        <f t="shared" si="3"/>
        <v>1560.72</v>
      </c>
      <c r="S7" s="268" t="s">
        <v>18</v>
      </c>
      <c r="T7" s="300">
        <v>17</v>
      </c>
      <c r="U7" s="284">
        <f>IF(M7=0,0,IF(G7="Annulation","",IF(assurance="ALPTIS",M7*12*T7/100*'1802 Data'!$K$4,IF(assurance="APRIL",M7*12*T7/100*'1802 Data'!$F$4,IF(assurance="ASAF",M7*12*T7/100*'1802 Data'!$I$4,IF(assurance="NEOLIANE",('1802 Data'!$G$5+M7*12*'1802 Data'!$G$4)*T7/100,IF(assurance="NEOLIANE Prev",('1802 Data'!$H$5+M7*12*'1802 Data'!$H$4)*T7/100,IF(assurance="SWISSLIFE",M7*12*T7/100*'1802 Data'!$J$4,IF(assurance="AVIVA",M7*12*T7/100*'1802 Data'!$L$4,IF(assurance="CIPRES",M7*12*T7/100*'1802 Data'!$M$4,IF(assurance="CEGEMA",M7*12*T7/100*'1802 Data'!$N$4,IF(assurance=0,0))))))))))))</f>
        <v>28.867077120000001</v>
      </c>
      <c r="V7" s="298">
        <f t="shared" si="4"/>
        <v>265.32240000000002</v>
      </c>
      <c r="W7" s="298">
        <f t="shared" si="5"/>
        <v>0</v>
      </c>
      <c r="X7" s="299">
        <f t="shared" si="40"/>
        <v>236.45532288000001</v>
      </c>
      <c r="Y7" s="368">
        <f t="shared" si="6"/>
        <v>0</v>
      </c>
      <c r="Z7" s="314">
        <v>43132</v>
      </c>
      <c r="AA7" s="313">
        <f t="shared" si="7"/>
        <v>2</v>
      </c>
      <c r="AB7" s="268" t="s">
        <v>13</v>
      </c>
      <c r="AC7" s="277"/>
      <c r="AD7" s="309" t="str">
        <f>IF(Z7=43466,"Programmée","")</f>
        <v/>
      </c>
      <c r="AE7" s="286" t="str">
        <f t="shared" si="8"/>
        <v/>
      </c>
      <c r="AF7" s="277"/>
      <c r="AG7" s="275">
        <f t="shared" si="9"/>
        <v>43466</v>
      </c>
      <c r="AH7" s="287">
        <f t="shared" ca="1" si="10"/>
        <v>0.34794520547945207</v>
      </c>
      <c r="AI7" s="373">
        <f t="shared" ca="1" si="11"/>
        <v>43466</v>
      </c>
      <c r="AJ7" s="275">
        <f t="shared" ca="1" si="12"/>
        <v>43404</v>
      </c>
      <c r="AK7" s="296">
        <f t="shared" ca="1" si="13"/>
        <v>43374</v>
      </c>
      <c r="AL7" s="287">
        <f t="shared" ca="1" si="14"/>
        <v>0.91506849315068495</v>
      </c>
      <c r="AM7" s="279">
        <f t="shared" si="15"/>
        <v>0</v>
      </c>
      <c r="AN7" s="279">
        <f t="shared" si="16"/>
        <v>0</v>
      </c>
      <c r="AO7" s="288">
        <f t="shared" si="17"/>
        <v>0</v>
      </c>
      <c r="AP7" s="279">
        <f t="shared" si="18"/>
        <v>130.06</v>
      </c>
      <c r="AQ7" s="288">
        <f t="shared" si="19"/>
        <v>0</v>
      </c>
      <c r="AR7" s="289">
        <f t="shared" si="20"/>
        <v>0</v>
      </c>
      <c r="AS7" s="279">
        <f t="shared" si="21"/>
        <v>0</v>
      </c>
      <c r="AT7" s="288">
        <f t="shared" si="22"/>
        <v>-1</v>
      </c>
      <c r="AU7" s="289">
        <f t="shared" si="23"/>
        <v>0</v>
      </c>
      <c r="AV7" s="279">
        <f t="shared" si="24"/>
        <v>0</v>
      </c>
      <c r="AW7" s="288">
        <f t="shared" si="25"/>
        <v>0</v>
      </c>
      <c r="AX7" s="289">
        <f t="shared" si="26"/>
        <v>-1</v>
      </c>
      <c r="AY7" s="290" t="s">
        <v>276</v>
      </c>
      <c r="AZ7" s="291">
        <v>1830276</v>
      </c>
      <c r="BA7" s="292">
        <v>7160</v>
      </c>
      <c r="BB7" s="303" t="s">
        <v>1142</v>
      </c>
      <c r="BC7" s="293">
        <v>669146841</v>
      </c>
      <c r="BD7" s="293"/>
      <c r="BE7" s="304" t="s">
        <v>1208</v>
      </c>
      <c r="BF7" s="274" t="s">
        <v>1203</v>
      </c>
      <c r="BG7" s="270"/>
      <c r="BH7" s="268">
        <v>1</v>
      </c>
      <c r="BI7" s="273">
        <v>0</v>
      </c>
      <c r="BJ7" s="276">
        <v>25199</v>
      </c>
      <c r="BK7" s="294" t="s">
        <v>202</v>
      </c>
      <c r="BL7" s="269">
        <f t="shared" ca="1" si="27"/>
        <v>49</v>
      </c>
      <c r="BM7" s="270"/>
      <c r="BN7" s="271"/>
      <c r="BO7" s="272" t="str">
        <f t="shared" ca="1" si="28"/>
        <v/>
      </c>
      <c r="BP7" s="270"/>
      <c r="BQ7" s="271"/>
      <c r="BR7" s="272" t="str">
        <f t="shared" ca="1" si="29"/>
        <v/>
      </c>
      <c r="BS7" s="270"/>
      <c r="BT7" s="271"/>
      <c r="BU7" s="272" t="str">
        <f t="shared" ca="1" si="30"/>
        <v/>
      </c>
      <c r="BV7" s="270"/>
      <c r="BW7" s="271"/>
      <c r="BX7" s="272" t="str">
        <f t="shared" ca="1" si="31"/>
        <v/>
      </c>
      <c r="BY7" s="270"/>
      <c r="BZ7" s="271"/>
      <c r="CA7" s="272" t="str">
        <f t="shared" ca="1" si="32"/>
        <v/>
      </c>
      <c r="CB7" s="270"/>
      <c r="CC7" s="271"/>
      <c r="CD7" s="272" t="str">
        <f t="shared" ca="1" si="33"/>
        <v/>
      </c>
      <c r="CE7" s="270"/>
      <c r="CF7" s="271"/>
      <c r="CG7" s="272" t="str">
        <f t="shared" ca="1" si="34"/>
        <v/>
      </c>
      <c r="CH7" s="270"/>
      <c r="CI7" s="271"/>
      <c r="CJ7" s="272" t="str">
        <f t="shared" ca="1" si="35"/>
        <v/>
      </c>
      <c r="CK7" s="262">
        <v>3</v>
      </c>
      <c r="CL7" s="264">
        <v>10</v>
      </c>
      <c r="CM7" s="264">
        <v>3</v>
      </c>
      <c r="CN7" s="264">
        <v>3</v>
      </c>
      <c r="CO7" s="264">
        <v>3</v>
      </c>
      <c r="CP7" s="264" t="s">
        <v>307</v>
      </c>
      <c r="CQ7" s="264" t="s">
        <v>1151</v>
      </c>
      <c r="CR7" s="262"/>
      <c r="CS7" s="263"/>
      <c r="CT7" s="297" t="str">
        <f t="shared" si="36"/>
        <v/>
      </c>
      <c r="CU7" s="264"/>
      <c r="CV7" s="265"/>
      <c r="CW7" s="264"/>
      <c r="CX7" s="264"/>
      <c r="CY7" s="264" t="s">
        <v>1287</v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37"/>
        <v>0</v>
      </c>
      <c r="DN7" s="295" t="str">
        <f t="shared" si="38"/>
        <v>OK</v>
      </c>
    </row>
    <row r="8" spans="1:118" x14ac:dyDescent="0.25">
      <c r="A8" s="599" t="str">
        <f t="shared" si="39"/>
        <v>MILLER Céline - APRIL - Santé Individuelle</v>
      </c>
      <c r="B8" s="306"/>
      <c r="C8" s="305" t="s">
        <v>32</v>
      </c>
      <c r="D8" s="301" t="s">
        <v>533</v>
      </c>
      <c r="E8" s="276">
        <v>43133</v>
      </c>
      <c r="F8" s="278" t="s">
        <v>547</v>
      </c>
      <c r="G8" s="311" t="s">
        <v>172</v>
      </c>
      <c r="H8" s="276">
        <v>43132</v>
      </c>
      <c r="I8" s="313">
        <f t="shared" si="1"/>
        <v>1</v>
      </c>
      <c r="J8" s="312" t="s">
        <v>20</v>
      </c>
      <c r="K8" s="268" t="s">
        <v>33</v>
      </c>
      <c r="L8" s="277" t="s">
        <v>109</v>
      </c>
      <c r="M8" s="279">
        <v>44.05</v>
      </c>
      <c r="N8" s="280">
        <v>44.05</v>
      </c>
      <c r="O8" s="280">
        <v>0</v>
      </c>
      <c r="P8" s="285" t="s">
        <v>57</v>
      </c>
      <c r="Q8" s="281" t="str">
        <f t="shared" si="2"/>
        <v/>
      </c>
      <c r="R8" s="282">
        <f t="shared" si="3"/>
        <v>528.59999999999991</v>
      </c>
      <c r="S8" s="268" t="s">
        <v>18</v>
      </c>
      <c r="T8" s="283">
        <f t="shared" ref="T8:T13" si="41">IF(G8="Annulation","",IF(assurance="ALPTIS",25,IF(assurance="APRIL",25,IF(assurance="ASAF",17.5,IF(assurance="NEOLIANE",25,IF(assurance="NEOLIANE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8" s="284">
        <f>IF(M8=0,0,IF(G8="Annulation","",IF(assurance="ALPTIS",M8*12*T8/100*'1802 Data'!$K$4,IF(assurance="APRIL",M8*12*T8/100*'1802 Data'!$F$4,IF(assurance="ASAF",M8*12*T8/100*'1802 Data'!$I$4,IF(assurance="NEOLIANE",('1802 Data'!$G$5+M8*12*'1802 Data'!$G$4)*T8/100,IF(assurance="NEOLIANE Prev",('1802 Data'!$H$5+M8*12*'1802 Data'!$H$4)*T8/100,IF(assurance="SWISSLIFE",M8*12*T8/100*'1802 Data'!$J$4,IF(assurance="AVIVA",M8*12*T8/100*'1802 Data'!$L$4,IF(assurance="CIPRES",M8*12*T8/100*'1802 Data'!$M$4,IF(assurance="CEGEMA",M8*12*T8/100*'1802 Data'!$N$4,IF(assurance=0,0))))))))))))</f>
        <v>14.536499999999998</v>
      </c>
      <c r="V8" s="298">
        <f t="shared" si="4"/>
        <v>132.14999999999998</v>
      </c>
      <c r="W8" s="298">
        <f t="shared" si="5"/>
        <v>0</v>
      </c>
      <c r="X8" s="299">
        <f t="shared" si="40"/>
        <v>117.61349999999997</v>
      </c>
      <c r="Y8" s="368">
        <f t="shared" si="6"/>
        <v>0</v>
      </c>
      <c r="Z8" s="314">
        <v>43146</v>
      </c>
      <c r="AA8" s="313">
        <f t="shared" si="7"/>
        <v>13</v>
      </c>
      <c r="AB8" s="268" t="s">
        <v>35</v>
      </c>
      <c r="AC8" s="277" t="s">
        <v>36</v>
      </c>
      <c r="AD8" s="309" t="s">
        <v>79</v>
      </c>
      <c r="AE8" s="286" t="str">
        <f t="shared" si="8"/>
        <v/>
      </c>
      <c r="AF8" s="277"/>
      <c r="AG8" s="275">
        <f t="shared" si="9"/>
        <v>43466</v>
      </c>
      <c r="AH8" s="287">
        <f t="shared" ca="1" si="10"/>
        <v>0.30958904109589042</v>
      </c>
      <c r="AI8" s="373">
        <f t="shared" ca="1" si="11"/>
        <v>43466</v>
      </c>
      <c r="AJ8" s="275">
        <f t="shared" ca="1" si="12"/>
        <v>43404</v>
      </c>
      <c r="AK8" s="296">
        <f t="shared" ca="1" si="13"/>
        <v>43374</v>
      </c>
      <c r="AL8" s="287">
        <f t="shared" ca="1" si="14"/>
        <v>0.87671232876712324</v>
      </c>
      <c r="AM8" s="279">
        <f t="shared" si="15"/>
        <v>0</v>
      </c>
      <c r="AN8" s="279">
        <f t="shared" si="16"/>
        <v>0</v>
      </c>
      <c r="AO8" s="288">
        <f t="shared" si="17"/>
        <v>0</v>
      </c>
      <c r="AP8" s="279">
        <f t="shared" si="18"/>
        <v>44.05</v>
      </c>
      <c r="AQ8" s="288">
        <f t="shared" si="19"/>
        <v>0</v>
      </c>
      <c r="AR8" s="289">
        <f t="shared" si="20"/>
        <v>0</v>
      </c>
      <c r="AS8" s="279">
        <f t="shared" si="21"/>
        <v>0</v>
      </c>
      <c r="AT8" s="288">
        <f t="shared" si="22"/>
        <v>-1</v>
      </c>
      <c r="AU8" s="289">
        <f t="shared" si="23"/>
        <v>0</v>
      </c>
      <c r="AV8" s="279">
        <f t="shared" si="24"/>
        <v>0</v>
      </c>
      <c r="AW8" s="288">
        <f t="shared" si="25"/>
        <v>0</v>
      </c>
      <c r="AX8" s="289">
        <f t="shared" si="26"/>
        <v>-1</v>
      </c>
      <c r="AY8" s="290" t="s">
        <v>273</v>
      </c>
      <c r="AZ8" s="291">
        <v>679086200</v>
      </c>
      <c r="BA8" s="292">
        <v>66110</v>
      </c>
      <c r="BB8" s="303" t="s">
        <v>1148</v>
      </c>
      <c r="BC8" s="293">
        <v>635900594</v>
      </c>
      <c r="BD8" s="293">
        <v>468859135</v>
      </c>
      <c r="BE8" s="304" t="s">
        <v>1149</v>
      </c>
      <c r="BF8" s="274" t="s">
        <v>1204</v>
      </c>
      <c r="BG8" s="270"/>
      <c r="BH8" s="268">
        <v>1</v>
      </c>
      <c r="BI8" s="273">
        <v>0</v>
      </c>
      <c r="BJ8" s="276">
        <v>30751</v>
      </c>
      <c r="BK8" s="294" t="s">
        <v>203</v>
      </c>
      <c r="BL8" s="269">
        <f t="shared" ca="1" si="27"/>
        <v>34</v>
      </c>
      <c r="BM8" s="270"/>
      <c r="BN8" s="271"/>
      <c r="BO8" s="272" t="str">
        <f t="shared" ca="1" si="28"/>
        <v/>
      </c>
      <c r="BP8" s="270"/>
      <c r="BQ8" s="271"/>
      <c r="BR8" s="272" t="str">
        <f t="shared" ca="1" si="29"/>
        <v/>
      </c>
      <c r="BS8" s="270"/>
      <c r="BT8" s="271"/>
      <c r="BU8" s="272" t="str">
        <f t="shared" ca="1" si="30"/>
        <v/>
      </c>
      <c r="BV8" s="270"/>
      <c r="BW8" s="271"/>
      <c r="BX8" s="272" t="str">
        <f t="shared" ca="1" si="31"/>
        <v/>
      </c>
      <c r="BY8" s="270"/>
      <c r="BZ8" s="271"/>
      <c r="CA8" s="272" t="str">
        <f t="shared" ca="1" si="32"/>
        <v/>
      </c>
      <c r="CB8" s="270"/>
      <c r="CC8" s="271"/>
      <c r="CD8" s="272" t="str">
        <f t="shared" ca="1" si="33"/>
        <v/>
      </c>
      <c r="CE8" s="270"/>
      <c r="CF8" s="271"/>
      <c r="CG8" s="272" t="str">
        <f t="shared" ca="1" si="34"/>
        <v/>
      </c>
      <c r="CH8" s="270"/>
      <c r="CI8" s="271"/>
      <c r="CJ8" s="272" t="str">
        <f t="shared" ca="1" si="35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36"/>
        <v/>
      </c>
      <c r="CU8" s="264"/>
      <c r="CV8" s="265"/>
      <c r="CW8" s="264"/>
      <c r="CX8" s="264"/>
      <c r="CY8" s="264" t="s">
        <v>1287</v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37"/>
        <v>0</v>
      </c>
      <c r="DN8" s="295" t="str">
        <f t="shared" si="38"/>
        <v>OK</v>
      </c>
    </row>
    <row r="9" spans="1:118" x14ac:dyDescent="0.25">
      <c r="A9" s="599" t="str">
        <f t="shared" si="39"/>
        <v>BONAZZI Yoann - ALPTIS - Santé Individuelle</v>
      </c>
      <c r="B9" s="306"/>
      <c r="C9" s="305" t="s">
        <v>41</v>
      </c>
      <c r="D9" s="301" t="s">
        <v>1155</v>
      </c>
      <c r="E9" s="276">
        <v>43136</v>
      </c>
      <c r="F9" s="278" t="s">
        <v>546</v>
      </c>
      <c r="G9" s="311" t="s">
        <v>170</v>
      </c>
      <c r="H9" s="276">
        <v>43136</v>
      </c>
      <c r="I9" s="313">
        <f t="shared" si="1"/>
        <v>0</v>
      </c>
      <c r="J9" s="312" t="s">
        <v>20</v>
      </c>
      <c r="K9" s="268" t="s">
        <v>17</v>
      </c>
      <c r="L9" s="277" t="s">
        <v>42</v>
      </c>
      <c r="M9" s="279">
        <v>29.73</v>
      </c>
      <c r="N9" s="280">
        <v>29.73</v>
      </c>
      <c r="O9" s="280">
        <v>6</v>
      </c>
      <c r="P9" s="285" t="s">
        <v>57</v>
      </c>
      <c r="Q9" s="281" t="str">
        <f t="shared" si="2"/>
        <v/>
      </c>
      <c r="R9" s="282">
        <f t="shared" si="3"/>
        <v>356.76</v>
      </c>
      <c r="S9" s="268" t="s">
        <v>18</v>
      </c>
      <c r="T9" s="283">
        <f t="shared" si="41"/>
        <v>25</v>
      </c>
      <c r="U9" s="284">
        <f>IF(M9=0,0,IF(G9="Annulation","",IF(assurance="ALPTIS",M9*12*T9/100*'1802 Data'!$K$4,IF(assurance="APRIL",M9*12*T9/100*'1802 Data'!$F$4,IF(assurance="ASAF",M9*12*T9/100*'1802 Data'!$I$4,IF(assurance="NEOLIANE",('1802 Data'!$G$5+M9*12*'1802 Data'!$G$4)*T9/100,IF(assurance="NEOLIANE Prev",('1802 Data'!$H$5+M9*12*'1802 Data'!$H$4)*T9/100,IF(assurance="SWISSLIFE",M9*12*T9/100*'1802 Data'!$J$4,IF(assurance="AVIVA",M9*12*T9/100*'1802 Data'!$L$4,IF(assurance="CIPRES",M9*12*T9/100*'1802 Data'!$M$4,IF(assurance="CEGEMA",M9*12*T9/100*'1802 Data'!$N$4,IF(assurance=0,0))))))))))))</f>
        <v>9.7038719999999987</v>
      </c>
      <c r="V9" s="298">
        <f t="shared" si="4"/>
        <v>81.99</v>
      </c>
      <c r="W9" s="298">
        <f t="shared" si="5"/>
        <v>0</v>
      </c>
      <c r="X9" s="299">
        <f t="shared" si="40"/>
        <v>72.286127999999991</v>
      </c>
      <c r="Y9" s="368">
        <f t="shared" si="6"/>
        <v>0</v>
      </c>
      <c r="Z9" s="314">
        <v>43233</v>
      </c>
      <c r="AA9" s="313">
        <f t="shared" si="7"/>
        <v>97</v>
      </c>
      <c r="AB9" s="268" t="s">
        <v>35</v>
      </c>
      <c r="AC9" s="277" t="s">
        <v>43</v>
      </c>
      <c r="AD9" s="309" t="s">
        <v>79</v>
      </c>
      <c r="AE9" s="286" t="str">
        <f t="shared" si="8"/>
        <v/>
      </c>
      <c r="AF9" s="277" t="s">
        <v>1157</v>
      </c>
      <c r="AG9" s="275">
        <f t="shared" si="9"/>
        <v>43466</v>
      </c>
      <c r="AH9" s="287">
        <f t="shared" ca="1" si="10"/>
        <v>7.1232876712328766E-2</v>
      </c>
      <c r="AI9" s="373">
        <f t="shared" ca="1" si="11"/>
        <v>43466</v>
      </c>
      <c r="AJ9" s="275">
        <f t="shared" ca="1" si="12"/>
        <v>43404</v>
      </c>
      <c r="AK9" s="296">
        <f t="shared" ca="1" si="13"/>
        <v>43374</v>
      </c>
      <c r="AL9" s="287">
        <f t="shared" ca="1" si="14"/>
        <v>0.63835616438356169</v>
      </c>
      <c r="AM9" s="279">
        <f t="shared" si="15"/>
        <v>0</v>
      </c>
      <c r="AN9" s="279">
        <f t="shared" si="16"/>
        <v>0</v>
      </c>
      <c r="AO9" s="288">
        <f t="shared" si="17"/>
        <v>0</v>
      </c>
      <c r="AP9" s="279">
        <f t="shared" si="18"/>
        <v>29.73</v>
      </c>
      <c r="AQ9" s="288">
        <f t="shared" si="19"/>
        <v>0</v>
      </c>
      <c r="AR9" s="289">
        <f t="shared" si="20"/>
        <v>0</v>
      </c>
      <c r="AS9" s="279">
        <f t="shared" si="21"/>
        <v>0</v>
      </c>
      <c r="AT9" s="288">
        <f t="shared" si="22"/>
        <v>-1</v>
      </c>
      <c r="AU9" s="289">
        <f t="shared" si="23"/>
        <v>0</v>
      </c>
      <c r="AV9" s="279">
        <f t="shared" si="24"/>
        <v>0</v>
      </c>
      <c r="AW9" s="288">
        <f t="shared" si="25"/>
        <v>0</v>
      </c>
      <c r="AX9" s="289">
        <f t="shared" si="26"/>
        <v>-1</v>
      </c>
      <c r="AY9" s="290" t="s">
        <v>278</v>
      </c>
      <c r="AZ9" s="291">
        <v>1831080</v>
      </c>
      <c r="BA9" s="292">
        <v>69360</v>
      </c>
      <c r="BB9" s="303" t="s">
        <v>1156</v>
      </c>
      <c r="BC9" s="293">
        <v>606947444</v>
      </c>
      <c r="BD9" s="293"/>
      <c r="BE9" s="304" t="s">
        <v>1209</v>
      </c>
      <c r="BF9" s="274" t="s">
        <v>1202</v>
      </c>
      <c r="BG9" s="270"/>
      <c r="BH9" s="268">
        <v>1</v>
      </c>
      <c r="BI9" s="273">
        <v>0</v>
      </c>
      <c r="BJ9" s="276">
        <v>34025</v>
      </c>
      <c r="BK9" s="294" t="s">
        <v>202</v>
      </c>
      <c r="BL9" s="269">
        <f t="shared" ca="1" si="27"/>
        <v>25</v>
      </c>
      <c r="BM9" s="270"/>
      <c r="BN9" s="271"/>
      <c r="BO9" s="272" t="str">
        <f t="shared" ca="1" si="28"/>
        <v/>
      </c>
      <c r="BP9" s="270"/>
      <c r="BQ9" s="271"/>
      <c r="BR9" s="272" t="str">
        <f t="shared" ca="1" si="29"/>
        <v/>
      </c>
      <c r="BS9" s="270"/>
      <c r="BT9" s="271"/>
      <c r="BU9" s="272" t="str">
        <f t="shared" ca="1" si="30"/>
        <v/>
      </c>
      <c r="BV9" s="270"/>
      <c r="BW9" s="271"/>
      <c r="BX9" s="272" t="str">
        <f t="shared" ca="1" si="31"/>
        <v/>
      </c>
      <c r="BY9" s="270"/>
      <c r="BZ9" s="271"/>
      <c r="CA9" s="272" t="str">
        <f t="shared" ca="1" si="32"/>
        <v/>
      </c>
      <c r="CB9" s="270"/>
      <c r="CC9" s="271"/>
      <c r="CD9" s="272" t="str">
        <f t="shared" ca="1" si="33"/>
        <v/>
      </c>
      <c r="CE9" s="270"/>
      <c r="CF9" s="271"/>
      <c r="CG9" s="272" t="str">
        <f t="shared" ca="1" si="34"/>
        <v/>
      </c>
      <c r="CH9" s="270"/>
      <c r="CI9" s="271"/>
      <c r="CJ9" s="272" t="str">
        <f t="shared" ca="1" si="35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36"/>
        <v/>
      </c>
      <c r="CU9" s="264"/>
      <c r="CV9" s="265"/>
      <c r="CW9" s="264"/>
      <c r="CX9" s="264"/>
      <c r="CY9" s="264" t="s">
        <v>1287</v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37"/>
        <v>0</v>
      </c>
      <c r="DN9" s="295" t="str">
        <f t="shared" si="38"/>
        <v>OK</v>
      </c>
    </row>
    <row r="10" spans="1:118" x14ac:dyDescent="0.25">
      <c r="A10" s="599" t="str">
        <f t="shared" si="39"/>
        <v>MAGNANON Angélique - ASAF - Santé Individuelle</v>
      </c>
      <c r="B10" s="306"/>
      <c r="C10" s="305" t="s">
        <v>44</v>
      </c>
      <c r="D10" s="301" t="s">
        <v>1163</v>
      </c>
      <c r="E10" s="276">
        <v>43136</v>
      </c>
      <c r="F10" s="278" t="s">
        <v>546</v>
      </c>
      <c r="G10" s="311" t="s">
        <v>172</v>
      </c>
      <c r="H10" s="276">
        <v>43131</v>
      </c>
      <c r="I10" s="313">
        <f t="shared" si="1"/>
        <v>5</v>
      </c>
      <c r="J10" s="312" t="s">
        <v>20</v>
      </c>
      <c r="K10" s="268" t="s">
        <v>43</v>
      </c>
      <c r="L10" s="277" t="s">
        <v>45</v>
      </c>
      <c r="M10" s="279">
        <v>32.049999999999997</v>
      </c>
      <c r="N10" s="280">
        <v>32.049999999999997</v>
      </c>
      <c r="O10" s="280">
        <v>0</v>
      </c>
      <c r="P10" s="285" t="s">
        <v>57</v>
      </c>
      <c r="Q10" s="281" t="str">
        <f t="shared" si="2"/>
        <v/>
      </c>
      <c r="R10" s="282">
        <f t="shared" si="3"/>
        <v>384.59999999999997</v>
      </c>
      <c r="S10" s="268" t="s">
        <v>18</v>
      </c>
      <c r="T10" s="283">
        <f t="shared" si="41"/>
        <v>17.5</v>
      </c>
      <c r="U10" s="284">
        <f>IF(M10=0,0,IF(G10="Annulation","",IF(assurance="ALPTIS",M10*12*T10/100*'1802 Data'!$K$4,IF(assurance="APRIL",M10*12*T10/100*'1802 Data'!$F$4,IF(assurance="ASAF",M10*12*T10/100*'1802 Data'!$I$4,IF(assurance="NEOLIANE",('1802 Data'!$G$5+M10*12*'1802 Data'!$G$4)*T10/100,IF(assurance="NEOLIANE Prev",('1802 Data'!$H$5+M10*12*'1802 Data'!$H$4)*T10/100,IF(assurance="SWISSLIFE",M10*12*T10/100*'1802 Data'!$J$4,IF(assurance="AVIVA",M10*12*T10/100*'1802 Data'!$L$4,IF(assurance="CIPRES",M10*12*T10/100*'1802 Data'!$M$4,IF(assurance="CEGEMA",M10*12*T10/100*'1802 Data'!$N$4,IF(assurance=0,0))))))))))))</f>
        <v>9.8265299999999982</v>
      </c>
      <c r="V10" s="298">
        <f t="shared" si="4"/>
        <v>67.304999999999993</v>
      </c>
      <c r="W10" s="298">
        <f t="shared" si="5"/>
        <v>0</v>
      </c>
      <c r="X10" s="299">
        <f t="shared" si="40"/>
        <v>57.478469999999994</v>
      </c>
      <c r="Y10" s="368">
        <f t="shared" si="6"/>
        <v>0</v>
      </c>
      <c r="Z10" s="314">
        <v>43137</v>
      </c>
      <c r="AA10" s="313">
        <f t="shared" si="7"/>
        <v>1</v>
      </c>
      <c r="AB10" s="268" t="s">
        <v>13</v>
      </c>
      <c r="AC10" s="277"/>
      <c r="AD10" s="309" t="str">
        <f>IF(Z10=43466,"Programmée","")</f>
        <v/>
      </c>
      <c r="AE10" s="286" t="str">
        <f t="shared" si="8"/>
        <v/>
      </c>
      <c r="AF10" s="277"/>
      <c r="AG10" s="275">
        <f t="shared" si="9"/>
        <v>43466</v>
      </c>
      <c r="AH10" s="287">
        <f t="shared" ca="1" si="10"/>
        <v>0.33424657534246577</v>
      </c>
      <c r="AI10" s="373">
        <f t="shared" ca="1" si="11"/>
        <v>43466</v>
      </c>
      <c r="AJ10" s="275">
        <f t="shared" ca="1" si="12"/>
        <v>43404</v>
      </c>
      <c r="AK10" s="296">
        <f t="shared" ca="1" si="13"/>
        <v>43374</v>
      </c>
      <c r="AL10" s="287">
        <f t="shared" ca="1" si="14"/>
        <v>0.90136986301369859</v>
      </c>
      <c r="AM10" s="279">
        <f t="shared" si="15"/>
        <v>0</v>
      </c>
      <c r="AN10" s="279">
        <f t="shared" si="16"/>
        <v>0</v>
      </c>
      <c r="AO10" s="288">
        <f t="shared" si="17"/>
        <v>0</v>
      </c>
      <c r="AP10" s="279">
        <f t="shared" si="18"/>
        <v>32.049999999999997</v>
      </c>
      <c r="AQ10" s="288">
        <f t="shared" si="19"/>
        <v>0</v>
      </c>
      <c r="AR10" s="289">
        <f t="shared" si="20"/>
        <v>0</v>
      </c>
      <c r="AS10" s="279">
        <f t="shared" si="21"/>
        <v>0</v>
      </c>
      <c r="AT10" s="288">
        <f t="shared" si="22"/>
        <v>-1</v>
      </c>
      <c r="AU10" s="289">
        <f t="shared" si="23"/>
        <v>0</v>
      </c>
      <c r="AV10" s="279">
        <f t="shared" si="24"/>
        <v>0</v>
      </c>
      <c r="AW10" s="288">
        <f t="shared" si="25"/>
        <v>0</v>
      </c>
      <c r="AX10" s="289">
        <f t="shared" si="26"/>
        <v>-1</v>
      </c>
      <c r="AY10" s="290" t="s">
        <v>278</v>
      </c>
      <c r="AZ10" s="291" t="s">
        <v>1158</v>
      </c>
      <c r="BA10" s="292">
        <v>16710</v>
      </c>
      <c r="BB10" s="303" t="s">
        <v>1160</v>
      </c>
      <c r="BC10" s="293" t="s">
        <v>1161</v>
      </c>
      <c r="BD10" s="293"/>
      <c r="BE10" s="304" t="s">
        <v>1212</v>
      </c>
      <c r="BF10" s="274" t="s">
        <v>1290</v>
      </c>
      <c r="BG10" s="270"/>
      <c r="BH10" s="268">
        <v>1</v>
      </c>
      <c r="BI10" s="273">
        <v>0</v>
      </c>
      <c r="BJ10" s="276">
        <v>29843</v>
      </c>
      <c r="BK10" s="294" t="s">
        <v>202</v>
      </c>
      <c r="BL10" s="269">
        <f t="shared" ca="1" si="27"/>
        <v>36</v>
      </c>
      <c r="BM10" s="270"/>
      <c r="BN10" s="271"/>
      <c r="BO10" s="272" t="str">
        <f t="shared" ca="1" si="28"/>
        <v/>
      </c>
      <c r="BP10" s="270"/>
      <c r="BQ10" s="271"/>
      <c r="BR10" s="272" t="str">
        <f t="shared" ca="1" si="29"/>
        <v/>
      </c>
      <c r="BS10" s="270"/>
      <c r="BT10" s="271"/>
      <c r="BU10" s="272" t="str">
        <f t="shared" ca="1" si="30"/>
        <v/>
      </c>
      <c r="BV10" s="270"/>
      <c r="BW10" s="271"/>
      <c r="BX10" s="272" t="str">
        <f t="shared" ca="1" si="31"/>
        <v/>
      </c>
      <c r="BY10" s="270"/>
      <c r="BZ10" s="271"/>
      <c r="CA10" s="272" t="str">
        <f t="shared" ca="1" si="32"/>
        <v/>
      </c>
      <c r="CB10" s="270"/>
      <c r="CC10" s="271"/>
      <c r="CD10" s="272" t="str">
        <f t="shared" ca="1" si="33"/>
        <v/>
      </c>
      <c r="CE10" s="270"/>
      <c r="CF10" s="271"/>
      <c r="CG10" s="272" t="str">
        <f t="shared" ca="1" si="34"/>
        <v/>
      </c>
      <c r="CH10" s="270"/>
      <c r="CI10" s="271"/>
      <c r="CJ10" s="272" t="str">
        <f t="shared" ca="1" si="35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36"/>
        <v/>
      </c>
      <c r="CU10" s="264"/>
      <c r="CV10" s="265"/>
      <c r="CW10" s="264"/>
      <c r="CX10" s="264"/>
      <c r="CY10" s="264" t="s">
        <v>1287</v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37"/>
        <v>0</v>
      </c>
      <c r="DN10" s="295" t="str">
        <f t="shared" si="38"/>
        <v>OK</v>
      </c>
    </row>
    <row r="11" spans="1:118" x14ac:dyDescent="0.25">
      <c r="A11" s="599" t="str">
        <f t="shared" si="39"/>
        <v>MAGNANON Angélique - SWISSLIFE - Prev. Pro</v>
      </c>
      <c r="B11" s="306"/>
      <c r="C11" s="305" t="s">
        <v>44</v>
      </c>
      <c r="D11" s="301" t="s">
        <v>1163</v>
      </c>
      <c r="E11" s="276">
        <v>43136</v>
      </c>
      <c r="F11" s="278" t="s">
        <v>546</v>
      </c>
      <c r="G11" s="311" t="s">
        <v>170</v>
      </c>
      <c r="H11" s="276">
        <v>43131</v>
      </c>
      <c r="I11" s="313">
        <f t="shared" si="1"/>
        <v>5</v>
      </c>
      <c r="J11" s="312" t="s">
        <v>16</v>
      </c>
      <c r="K11" s="268" t="s">
        <v>12</v>
      </c>
      <c r="L11" s="277" t="s">
        <v>26</v>
      </c>
      <c r="M11" s="279">
        <v>18.09</v>
      </c>
      <c r="N11" s="280">
        <v>18.09</v>
      </c>
      <c r="O11" s="280">
        <v>0</v>
      </c>
      <c r="P11" s="285" t="s">
        <v>57</v>
      </c>
      <c r="Q11" s="281" t="str">
        <f t="shared" si="2"/>
        <v/>
      </c>
      <c r="R11" s="282">
        <f t="shared" si="3"/>
        <v>217.07999999999998</v>
      </c>
      <c r="S11" s="268" t="s">
        <v>18</v>
      </c>
      <c r="T11" s="283">
        <f t="shared" si="41"/>
        <v>25</v>
      </c>
      <c r="U11" s="284">
        <f>IF(M11=0,0,IF(G11="Annulation","",IF(assurance="ALPTIS",M11*12*T11/100*'1802 Data'!$K$4,IF(assurance="APRIL",M11*12*T11/100*'1802 Data'!$F$4,IF(assurance="ASAF",M11*12*T11/100*'1802 Data'!$I$4,IF(assurance="NEOLIANE",('1802 Data'!$G$5+M11*12*'1802 Data'!$G$4)*T11/100,IF(assurance="NEOLIANE Prev",('1802 Data'!$H$5+M11*12*'1802 Data'!$H$4)*T11/100,IF(assurance="SWISSLIFE",M11*12*T11/100*'1802 Data'!$J$4,IF(assurance="AVIVA",M11*12*T11/100*'1802 Data'!$L$4,IF(assurance="CIPRES",M11*12*T11/100*'1802 Data'!$M$4,IF(assurance="CEGEMA",M11*12*T11/100*'1802 Data'!$N$4,IF(assurance=0,0))))))))))))</f>
        <v>5.6440799999999998</v>
      </c>
      <c r="V11" s="298">
        <f t="shared" si="4"/>
        <v>54.269999999999996</v>
      </c>
      <c r="W11" s="298">
        <f t="shared" si="5"/>
        <v>0</v>
      </c>
      <c r="X11" s="299">
        <f t="shared" si="40"/>
        <v>48.625919999999994</v>
      </c>
      <c r="Y11" s="368">
        <f t="shared" si="6"/>
        <v>0</v>
      </c>
      <c r="Z11" s="314">
        <v>43143</v>
      </c>
      <c r="AA11" s="313">
        <f t="shared" si="7"/>
        <v>7</v>
      </c>
      <c r="AB11" s="268" t="s">
        <v>13</v>
      </c>
      <c r="AC11" s="277"/>
      <c r="AD11" s="309" t="str">
        <f>IF(Z11=43466,"Programmée","")</f>
        <v/>
      </c>
      <c r="AE11" s="286" t="str">
        <f t="shared" si="8"/>
        <v/>
      </c>
      <c r="AF11" s="277"/>
      <c r="AG11" s="275">
        <f t="shared" si="9"/>
        <v>43508</v>
      </c>
      <c r="AH11" s="287">
        <f t="shared" ca="1" si="10"/>
        <v>0.31780821917808222</v>
      </c>
      <c r="AI11" s="373">
        <f t="shared" ca="1" si="11"/>
        <v>43508</v>
      </c>
      <c r="AJ11" s="275">
        <f t="shared" ca="1" si="12"/>
        <v>43446</v>
      </c>
      <c r="AK11" s="296">
        <f t="shared" ca="1" si="13"/>
        <v>43416</v>
      </c>
      <c r="AL11" s="287">
        <f t="shared" ca="1" si="14"/>
        <v>1</v>
      </c>
      <c r="AM11" s="279">
        <f t="shared" si="15"/>
        <v>0</v>
      </c>
      <c r="AN11" s="279">
        <f t="shared" si="16"/>
        <v>0</v>
      </c>
      <c r="AO11" s="288">
        <f t="shared" si="17"/>
        <v>0</v>
      </c>
      <c r="AP11" s="279">
        <f t="shared" si="18"/>
        <v>18.09</v>
      </c>
      <c r="AQ11" s="288">
        <f t="shared" si="19"/>
        <v>0</v>
      </c>
      <c r="AR11" s="289">
        <f t="shared" si="20"/>
        <v>0</v>
      </c>
      <c r="AS11" s="279">
        <f t="shared" si="21"/>
        <v>0</v>
      </c>
      <c r="AT11" s="288">
        <f t="shared" si="22"/>
        <v>-1</v>
      </c>
      <c r="AU11" s="289">
        <f t="shared" si="23"/>
        <v>0</v>
      </c>
      <c r="AV11" s="279">
        <f t="shared" si="24"/>
        <v>0</v>
      </c>
      <c r="AW11" s="288">
        <f t="shared" si="25"/>
        <v>0</v>
      </c>
      <c r="AX11" s="289">
        <f t="shared" si="26"/>
        <v>-1</v>
      </c>
      <c r="AY11" s="290" t="s">
        <v>278</v>
      </c>
      <c r="AZ11" s="291" t="s">
        <v>1159</v>
      </c>
      <c r="BA11" s="292">
        <v>16710</v>
      </c>
      <c r="BB11" s="303" t="s">
        <v>1160</v>
      </c>
      <c r="BC11" s="293" t="s">
        <v>1161</v>
      </c>
      <c r="BD11" s="293"/>
      <c r="BE11" s="304" t="s">
        <v>1212</v>
      </c>
      <c r="BF11" s="274"/>
      <c r="BG11" s="270"/>
      <c r="BH11" s="268">
        <v>1</v>
      </c>
      <c r="BI11" s="273"/>
      <c r="BJ11" s="276">
        <v>29843</v>
      </c>
      <c r="BK11" s="294" t="s">
        <v>202</v>
      </c>
      <c r="BL11" s="269">
        <f t="shared" ca="1" si="27"/>
        <v>36</v>
      </c>
      <c r="BM11" s="270"/>
      <c r="BN11" s="271"/>
      <c r="BO11" s="272" t="str">
        <f t="shared" ca="1" si="28"/>
        <v/>
      </c>
      <c r="BP11" s="270"/>
      <c r="BQ11" s="271"/>
      <c r="BR11" s="272" t="str">
        <f t="shared" ca="1" si="29"/>
        <v/>
      </c>
      <c r="BS11" s="270"/>
      <c r="BT11" s="271"/>
      <c r="BU11" s="272" t="str">
        <f t="shared" ca="1" si="30"/>
        <v/>
      </c>
      <c r="BV11" s="270"/>
      <c r="BW11" s="271"/>
      <c r="BX11" s="272" t="str">
        <f t="shared" ca="1" si="31"/>
        <v/>
      </c>
      <c r="BY11" s="270"/>
      <c r="BZ11" s="271"/>
      <c r="CA11" s="272" t="str">
        <f t="shared" ca="1" si="32"/>
        <v/>
      </c>
      <c r="CB11" s="270"/>
      <c r="CC11" s="271"/>
      <c r="CD11" s="272" t="str">
        <f t="shared" ca="1" si="33"/>
        <v/>
      </c>
      <c r="CE11" s="270"/>
      <c r="CF11" s="271"/>
      <c r="CG11" s="272" t="str">
        <f t="shared" ca="1" si="34"/>
        <v/>
      </c>
      <c r="CH11" s="270"/>
      <c r="CI11" s="271"/>
      <c r="CJ11" s="272" t="str">
        <f t="shared" ca="1" si="35"/>
        <v/>
      </c>
      <c r="CK11" s="262"/>
      <c r="CL11" s="264"/>
      <c r="CM11" s="264"/>
      <c r="CN11" s="264"/>
      <c r="CO11" s="264"/>
      <c r="CP11" s="264"/>
      <c r="CQ11" s="264"/>
      <c r="CR11" s="262" t="s">
        <v>1162</v>
      </c>
      <c r="CS11" s="263" t="s">
        <v>524</v>
      </c>
      <c r="CT11" s="297">
        <f t="shared" ca="1" si="36"/>
        <v>36</v>
      </c>
      <c r="CU11" s="264" t="s">
        <v>108</v>
      </c>
      <c r="CV11" s="265">
        <v>43160</v>
      </c>
      <c r="CW11" s="264" t="s">
        <v>351</v>
      </c>
      <c r="CX11" s="264" t="s">
        <v>483</v>
      </c>
      <c r="CY11" s="264" t="s">
        <v>351</v>
      </c>
      <c r="CZ11" s="264" t="s">
        <v>356</v>
      </c>
      <c r="DA11" s="264" t="s">
        <v>384</v>
      </c>
      <c r="DB11" s="266">
        <v>1300</v>
      </c>
      <c r="DC11" s="264" t="s">
        <v>343</v>
      </c>
      <c r="DD11" s="264" t="s">
        <v>362</v>
      </c>
      <c r="DE11" s="266">
        <v>0</v>
      </c>
      <c r="DF11" s="266">
        <v>0</v>
      </c>
      <c r="DG11" s="264" t="s">
        <v>35</v>
      </c>
      <c r="DH11" s="266">
        <v>0</v>
      </c>
      <c r="DI11" s="266">
        <v>0</v>
      </c>
      <c r="DJ11" s="264" t="s">
        <v>351</v>
      </c>
      <c r="DK11" s="264" t="s">
        <v>351</v>
      </c>
      <c r="DL11" s="267"/>
      <c r="DM11" s="261">
        <f t="shared" si="37"/>
        <v>0</v>
      </c>
      <c r="DN11" s="295" t="str">
        <f t="shared" si="38"/>
        <v>OK</v>
      </c>
    </row>
    <row r="12" spans="1:118" x14ac:dyDescent="0.25">
      <c r="A12" s="599" t="str">
        <f t="shared" si="39"/>
        <v>BOULDI Christian - SWISSLIFE - Prev. Pro</v>
      </c>
      <c r="B12" s="306"/>
      <c r="C12" s="305" t="s">
        <v>46</v>
      </c>
      <c r="D12" s="301" t="s">
        <v>241</v>
      </c>
      <c r="E12" s="276">
        <v>43138</v>
      </c>
      <c r="F12" s="278" t="s">
        <v>546</v>
      </c>
      <c r="G12" s="311" t="s">
        <v>166</v>
      </c>
      <c r="H12" s="276">
        <v>43128</v>
      </c>
      <c r="I12" s="313">
        <f t="shared" si="1"/>
        <v>10</v>
      </c>
      <c r="J12" s="312" t="s">
        <v>16</v>
      </c>
      <c r="K12" s="268" t="s">
        <v>12</v>
      </c>
      <c r="L12" s="277" t="s">
        <v>47</v>
      </c>
      <c r="M12" s="279">
        <v>75.66</v>
      </c>
      <c r="N12" s="280">
        <v>75.66</v>
      </c>
      <c r="O12" s="280">
        <v>0</v>
      </c>
      <c r="P12" s="285" t="s">
        <v>57</v>
      </c>
      <c r="Q12" s="281" t="str">
        <f t="shared" si="2"/>
        <v/>
      </c>
      <c r="R12" s="282">
        <f t="shared" si="3"/>
        <v>907.92</v>
      </c>
      <c r="S12" s="268" t="s">
        <v>18</v>
      </c>
      <c r="T12" s="283">
        <f t="shared" si="41"/>
        <v>25</v>
      </c>
      <c r="U12" s="284">
        <f>IF(M12=0,0,IF(G12="Annulation","",IF(assurance="ALPTIS",M12*12*T12/100*'1802 Data'!$K$4,IF(assurance="APRIL",M12*12*T12/100*'1802 Data'!$F$4,IF(assurance="ASAF",M12*12*T12/100*'1802 Data'!$I$4,IF(assurance="NEOLIANE",('1802 Data'!$G$5+M12*12*'1802 Data'!$G$4)*T12/100,IF(assurance="NEOLIANE Prev",('1802 Data'!$H$5+M12*12*'1802 Data'!$H$4)*T12/100,IF(assurance="SWISSLIFE",M12*12*T12/100*'1802 Data'!$J$4,IF(assurance="AVIVA",M12*12*T12/100*'1802 Data'!$L$4,IF(assurance="CIPRES",M12*12*T12/100*'1802 Data'!$M$4,IF(assurance="CEGEMA",M12*12*T12/100*'1802 Data'!$N$4,IF(assurance=0,0))))))))))))</f>
        <v>23.605919999999998</v>
      </c>
      <c r="V12" s="298">
        <f t="shared" si="4"/>
        <v>226.98</v>
      </c>
      <c r="W12" s="298">
        <f t="shared" si="5"/>
        <v>0</v>
      </c>
      <c r="X12" s="299">
        <f t="shared" si="40"/>
        <v>203.37407999999999</v>
      </c>
      <c r="Y12" s="368">
        <f t="shared" si="6"/>
        <v>0</v>
      </c>
      <c r="Z12" s="314">
        <v>43160</v>
      </c>
      <c r="AA12" s="313">
        <f t="shared" si="7"/>
        <v>22</v>
      </c>
      <c r="AB12" s="268" t="s">
        <v>13</v>
      </c>
      <c r="AC12" s="277"/>
      <c r="AD12" s="309" t="str">
        <f>IF(Z12=43466,"Programmée","")</f>
        <v/>
      </c>
      <c r="AE12" s="286" t="str">
        <f t="shared" si="8"/>
        <v/>
      </c>
      <c r="AF12" s="277"/>
      <c r="AG12" s="275">
        <f t="shared" si="9"/>
        <v>43525</v>
      </c>
      <c r="AH12" s="287">
        <f t="shared" ca="1" si="10"/>
        <v>0.27123287671232876</v>
      </c>
      <c r="AI12" s="373">
        <f t="shared" ca="1" si="11"/>
        <v>43525</v>
      </c>
      <c r="AJ12" s="275">
        <f t="shared" ca="1" si="12"/>
        <v>43463</v>
      </c>
      <c r="AK12" s="296">
        <f t="shared" ca="1" si="13"/>
        <v>43433</v>
      </c>
      <c r="AL12" s="287">
        <f t="shared" ca="1" si="14"/>
        <v>1</v>
      </c>
      <c r="AM12" s="279">
        <f t="shared" si="15"/>
        <v>0</v>
      </c>
      <c r="AN12" s="279">
        <f t="shared" si="16"/>
        <v>0</v>
      </c>
      <c r="AO12" s="288">
        <f t="shared" si="17"/>
        <v>0</v>
      </c>
      <c r="AP12" s="279">
        <f t="shared" si="18"/>
        <v>75.66</v>
      </c>
      <c r="AQ12" s="288">
        <f t="shared" si="19"/>
        <v>0</v>
      </c>
      <c r="AR12" s="289">
        <f t="shared" si="20"/>
        <v>0</v>
      </c>
      <c r="AS12" s="279">
        <f t="shared" si="21"/>
        <v>0</v>
      </c>
      <c r="AT12" s="288">
        <f t="shared" si="22"/>
        <v>-1</v>
      </c>
      <c r="AU12" s="289">
        <f t="shared" si="23"/>
        <v>0</v>
      </c>
      <c r="AV12" s="279">
        <f t="shared" si="24"/>
        <v>0</v>
      </c>
      <c r="AW12" s="288">
        <f t="shared" si="25"/>
        <v>0</v>
      </c>
      <c r="AX12" s="289">
        <f t="shared" si="26"/>
        <v>-1</v>
      </c>
      <c r="AY12" s="290" t="s">
        <v>278</v>
      </c>
      <c r="AZ12" s="291" t="s">
        <v>1165</v>
      </c>
      <c r="BA12" s="292">
        <v>94310</v>
      </c>
      <c r="BB12" s="303" t="s">
        <v>1166</v>
      </c>
      <c r="BC12" s="293">
        <v>642398824</v>
      </c>
      <c r="BD12" s="293"/>
      <c r="BE12" s="304" t="s">
        <v>1213</v>
      </c>
      <c r="BF12" s="274"/>
      <c r="BG12" s="270"/>
      <c r="BH12" s="268">
        <v>1</v>
      </c>
      <c r="BI12" s="273"/>
      <c r="BJ12" s="276">
        <v>24850</v>
      </c>
      <c r="BK12" s="294" t="s">
        <v>200</v>
      </c>
      <c r="BL12" s="269">
        <f t="shared" ca="1" si="27"/>
        <v>50</v>
      </c>
      <c r="BM12" s="270"/>
      <c r="BN12" s="271"/>
      <c r="BO12" s="272" t="str">
        <f t="shared" ca="1" si="28"/>
        <v/>
      </c>
      <c r="BP12" s="270"/>
      <c r="BQ12" s="271"/>
      <c r="BR12" s="272" t="str">
        <f t="shared" ca="1" si="29"/>
        <v/>
      </c>
      <c r="BS12" s="270"/>
      <c r="BT12" s="271"/>
      <c r="BU12" s="272" t="str">
        <f t="shared" ca="1" si="30"/>
        <v/>
      </c>
      <c r="BV12" s="270"/>
      <c r="BW12" s="271"/>
      <c r="BX12" s="272" t="str">
        <f t="shared" ca="1" si="31"/>
        <v/>
      </c>
      <c r="BY12" s="270"/>
      <c r="BZ12" s="271"/>
      <c r="CA12" s="272" t="str">
        <f t="shared" ca="1" si="32"/>
        <v/>
      </c>
      <c r="CB12" s="270"/>
      <c r="CC12" s="271"/>
      <c r="CD12" s="272" t="str">
        <f t="shared" ca="1" si="33"/>
        <v/>
      </c>
      <c r="CE12" s="270"/>
      <c r="CF12" s="271"/>
      <c r="CG12" s="272" t="str">
        <f t="shared" ca="1" si="34"/>
        <v/>
      </c>
      <c r="CH12" s="270"/>
      <c r="CI12" s="271"/>
      <c r="CJ12" s="272" t="str">
        <f t="shared" ca="1" si="35"/>
        <v/>
      </c>
      <c r="CK12" s="262"/>
      <c r="CL12" s="264"/>
      <c r="CM12" s="264"/>
      <c r="CN12" s="264"/>
      <c r="CO12" s="264"/>
      <c r="CP12" s="264"/>
      <c r="CQ12" s="264"/>
      <c r="CR12" s="262" t="s">
        <v>1164</v>
      </c>
      <c r="CS12" s="263" t="s">
        <v>13</v>
      </c>
      <c r="CT12" s="297">
        <f t="shared" ca="1" si="36"/>
        <v>50</v>
      </c>
      <c r="CU12" s="264" t="s">
        <v>309</v>
      </c>
      <c r="CV12" s="265" t="s">
        <v>13</v>
      </c>
      <c r="CW12" s="264" t="s">
        <v>350</v>
      </c>
      <c r="CX12" s="264" t="s">
        <v>483</v>
      </c>
      <c r="CY12" s="264" t="s">
        <v>351</v>
      </c>
      <c r="CZ12" s="264" t="s">
        <v>359</v>
      </c>
      <c r="DA12" s="264" t="s">
        <v>351</v>
      </c>
      <c r="DB12" s="266">
        <v>642</v>
      </c>
      <c r="DC12" s="264" t="s">
        <v>365</v>
      </c>
      <c r="DD12" s="264" t="s">
        <v>363</v>
      </c>
      <c r="DE12" s="266">
        <v>0</v>
      </c>
      <c r="DF12" s="266">
        <v>15000</v>
      </c>
      <c r="DG12" s="264" t="s">
        <v>35</v>
      </c>
      <c r="DH12" s="266">
        <v>0</v>
      </c>
      <c r="DI12" s="266">
        <v>0</v>
      </c>
      <c r="DJ12" s="264" t="s">
        <v>351</v>
      </c>
      <c r="DK12" s="264" t="s">
        <v>351</v>
      </c>
      <c r="DL12" s="267"/>
      <c r="DM12" s="261">
        <f t="shared" si="37"/>
        <v>0</v>
      </c>
      <c r="DN12" s="295" t="str">
        <f t="shared" si="38"/>
        <v>OK</v>
      </c>
    </row>
    <row r="13" spans="1:118" x14ac:dyDescent="0.25">
      <c r="A13" s="599" t="str">
        <f t="shared" si="39"/>
        <v>SAMSON Hans - SWISSLIFE - Prev. Pro</v>
      </c>
      <c r="B13" s="306"/>
      <c r="C13" s="305" t="s">
        <v>50</v>
      </c>
      <c r="D13" s="301" t="s">
        <v>1173</v>
      </c>
      <c r="E13" s="276">
        <v>43145</v>
      </c>
      <c r="F13" s="278" t="s">
        <v>546</v>
      </c>
      <c r="G13" s="311" t="s">
        <v>170</v>
      </c>
      <c r="H13" s="276">
        <v>43140</v>
      </c>
      <c r="I13" s="313">
        <f t="shared" si="1"/>
        <v>5</v>
      </c>
      <c r="J13" s="312" t="s">
        <v>16</v>
      </c>
      <c r="K13" s="268" t="s">
        <v>12</v>
      </c>
      <c r="L13" s="277" t="s">
        <v>26</v>
      </c>
      <c r="M13" s="279">
        <v>35.11</v>
      </c>
      <c r="N13" s="280">
        <v>35.11</v>
      </c>
      <c r="O13" s="280">
        <v>0</v>
      </c>
      <c r="P13" s="285" t="s">
        <v>57</v>
      </c>
      <c r="Q13" s="281" t="str">
        <f t="shared" si="2"/>
        <v/>
      </c>
      <c r="R13" s="282">
        <f t="shared" si="3"/>
        <v>421.32</v>
      </c>
      <c r="S13" s="268" t="s">
        <v>18</v>
      </c>
      <c r="T13" s="283">
        <f t="shared" si="41"/>
        <v>25</v>
      </c>
      <c r="U13" s="284">
        <f>IF(M13=0,0,IF(G13="Annulation","",IF(assurance="ALPTIS",M13*12*T13/100*'1802 Data'!$K$4,IF(assurance="APRIL",M13*12*T13/100*'1802 Data'!$F$4,IF(assurance="ASAF",M13*12*T13/100*'1802 Data'!$I$4,IF(assurance="NEOLIANE",('1802 Data'!$G$5+M13*12*'1802 Data'!$G$4)*T13/100,IF(assurance="NEOLIANE Prev",('1802 Data'!$H$5+M13*12*'1802 Data'!$H$4)*T13/100,IF(assurance="SWISSLIFE",M13*12*T13/100*'1802 Data'!$J$4,IF(assurance="AVIVA",M13*12*T13/100*'1802 Data'!$L$4,IF(assurance="CIPRES",M13*12*T13/100*'1802 Data'!$M$4,IF(assurance="CEGEMA",M13*12*T13/100*'1802 Data'!$N$4,IF(assurance=0,0))))))))))))</f>
        <v>10.954319999999999</v>
      </c>
      <c r="V13" s="298">
        <f t="shared" si="4"/>
        <v>105.33</v>
      </c>
      <c r="W13" s="298">
        <f t="shared" si="5"/>
        <v>0</v>
      </c>
      <c r="X13" s="299">
        <f t="shared" si="40"/>
        <v>94.375680000000003</v>
      </c>
      <c r="Y13" s="368">
        <f t="shared" si="6"/>
        <v>0</v>
      </c>
      <c r="Z13" s="314">
        <v>43191</v>
      </c>
      <c r="AA13" s="313">
        <f t="shared" si="7"/>
        <v>46</v>
      </c>
      <c r="AB13" s="268" t="s">
        <v>13</v>
      </c>
      <c r="AC13" s="277"/>
      <c r="AD13" s="309" t="str">
        <f>IF(Z13=43466,"Programmée","")</f>
        <v/>
      </c>
      <c r="AE13" s="286" t="str">
        <f t="shared" si="8"/>
        <v/>
      </c>
      <c r="AF13" s="277"/>
      <c r="AG13" s="275">
        <f t="shared" si="9"/>
        <v>43556</v>
      </c>
      <c r="AH13" s="287">
        <f t="shared" ca="1" si="10"/>
        <v>0.18630136986301371</v>
      </c>
      <c r="AI13" s="373">
        <f t="shared" ca="1" si="11"/>
        <v>43556</v>
      </c>
      <c r="AJ13" s="275">
        <f t="shared" ca="1" si="12"/>
        <v>43494</v>
      </c>
      <c r="AK13" s="296">
        <f t="shared" ca="1" si="13"/>
        <v>43464</v>
      </c>
      <c r="AL13" s="287">
        <f t="shared" ca="1" si="14"/>
        <v>1</v>
      </c>
      <c r="AM13" s="279">
        <f t="shared" si="15"/>
        <v>0</v>
      </c>
      <c r="AN13" s="279">
        <f t="shared" si="16"/>
        <v>0</v>
      </c>
      <c r="AO13" s="288">
        <f t="shared" si="17"/>
        <v>0</v>
      </c>
      <c r="AP13" s="279">
        <f t="shared" si="18"/>
        <v>35.11</v>
      </c>
      <c r="AQ13" s="288">
        <f t="shared" si="19"/>
        <v>0</v>
      </c>
      <c r="AR13" s="289">
        <f t="shared" si="20"/>
        <v>0</v>
      </c>
      <c r="AS13" s="279">
        <f t="shared" si="21"/>
        <v>0</v>
      </c>
      <c r="AT13" s="288">
        <f t="shared" si="22"/>
        <v>-1</v>
      </c>
      <c r="AU13" s="289">
        <f t="shared" si="23"/>
        <v>0</v>
      </c>
      <c r="AV13" s="279">
        <f t="shared" si="24"/>
        <v>0</v>
      </c>
      <c r="AW13" s="288">
        <f t="shared" si="25"/>
        <v>0</v>
      </c>
      <c r="AX13" s="289">
        <f t="shared" si="26"/>
        <v>-1</v>
      </c>
      <c r="AY13" s="290" t="s">
        <v>273</v>
      </c>
      <c r="AZ13" s="291" t="s">
        <v>1174</v>
      </c>
      <c r="BA13" s="292">
        <v>93240</v>
      </c>
      <c r="BB13" s="303" t="s">
        <v>1175</v>
      </c>
      <c r="BC13" s="293">
        <v>621199156</v>
      </c>
      <c r="BD13" s="293"/>
      <c r="BE13" s="304" t="s">
        <v>1214</v>
      </c>
      <c r="BF13" s="274" t="s">
        <v>1176</v>
      </c>
      <c r="BG13" s="270"/>
      <c r="BH13" s="268">
        <v>1</v>
      </c>
      <c r="BI13" s="273"/>
      <c r="BJ13" s="276">
        <v>29075</v>
      </c>
      <c r="BK13" s="294" t="s">
        <v>202</v>
      </c>
      <c r="BL13" s="269">
        <f t="shared" ca="1" si="27"/>
        <v>38</v>
      </c>
      <c r="BM13" s="270"/>
      <c r="BN13" s="271"/>
      <c r="BO13" s="272" t="str">
        <f t="shared" ca="1" si="28"/>
        <v/>
      </c>
      <c r="BP13" s="270"/>
      <c r="BQ13" s="271"/>
      <c r="BR13" s="272" t="str">
        <f t="shared" ca="1" si="29"/>
        <v/>
      </c>
      <c r="BS13" s="270"/>
      <c r="BT13" s="271"/>
      <c r="BU13" s="272" t="str">
        <f t="shared" ca="1" si="30"/>
        <v/>
      </c>
      <c r="BV13" s="270"/>
      <c r="BW13" s="271"/>
      <c r="BX13" s="272" t="str">
        <f t="shared" ca="1" si="31"/>
        <v/>
      </c>
      <c r="BY13" s="270"/>
      <c r="BZ13" s="271"/>
      <c r="CA13" s="272" t="str">
        <f t="shared" ca="1" si="32"/>
        <v/>
      </c>
      <c r="CB13" s="270"/>
      <c r="CC13" s="271"/>
      <c r="CD13" s="272" t="str">
        <f t="shared" ca="1" si="33"/>
        <v/>
      </c>
      <c r="CE13" s="270"/>
      <c r="CF13" s="271"/>
      <c r="CG13" s="272" t="str">
        <f t="shared" ca="1" si="34"/>
        <v/>
      </c>
      <c r="CH13" s="270"/>
      <c r="CI13" s="271"/>
      <c r="CJ13" s="272" t="str">
        <f t="shared" ca="1" si="35"/>
        <v/>
      </c>
      <c r="CK13" s="262"/>
      <c r="CL13" s="264"/>
      <c r="CM13" s="264"/>
      <c r="CN13" s="264"/>
      <c r="CO13" s="264"/>
      <c r="CP13" s="264"/>
      <c r="CQ13" s="264"/>
      <c r="CR13" s="262" t="s">
        <v>1172</v>
      </c>
      <c r="CS13" s="263" t="s">
        <v>532</v>
      </c>
      <c r="CT13" s="297">
        <f t="shared" ca="1" si="36"/>
        <v>38</v>
      </c>
      <c r="CU13" s="264" t="s">
        <v>308</v>
      </c>
      <c r="CV13" s="265">
        <v>43145</v>
      </c>
      <c r="CW13" s="264" t="s">
        <v>351</v>
      </c>
      <c r="CX13" s="264" t="s">
        <v>483</v>
      </c>
      <c r="CY13" s="264" t="s">
        <v>351</v>
      </c>
      <c r="CZ13" s="264" t="s">
        <v>359</v>
      </c>
      <c r="DA13" s="264" t="s">
        <v>384</v>
      </c>
      <c r="DB13" s="266">
        <v>3000</v>
      </c>
      <c r="DC13" s="264" t="s">
        <v>365</v>
      </c>
      <c r="DD13" s="264" t="s">
        <v>362</v>
      </c>
      <c r="DE13" s="266">
        <v>0</v>
      </c>
      <c r="DF13" s="266">
        <v>100000</v>
      </c>
      <c r="DG13" s="264" t="s">
        <v>35</v>
      </c>
      <c r="DH13" s="266">
        <v>0</v>
      </c>
      <c r="DI13" s="266">
        <v>0</v>
      </c>
      <c r="DJ13" s="264" t="s">
        <v>351</v>
      </c>
      <c r="DK13" s="264" t="s">
        <v>351</v>
      </c>
      <c r="DL13" s="267"/>
      <c r="DM13" s="261">
        <f t="shared" si="37"/>
        <v>0</v>
      </c>
      <c r="DN13" s="295" t="str">
        <f t="shared" si="38"/>
        <v>OK</v>
      </c>
    </row>
    <row r="14" spans="1:118" x14ac:dyDescent="0.25">
      <c r="A14" s="599" t="str">
        <f t="shared" si="39"/>
        <v>TECHER Marie - NEOLIANE - Santé Individuelle</v>
      </c>
      <c r="B14" s="306"/>
      <c r="C14" s="305" t="s">
        <v>52</v>
      </c>
      <c r="D14" s="301" t="s">
        <v>247</v>
      </c>
      <c r="E14" s="276">
        <v>43148</v>
      </c>
      <c r="F14" s="278" t="s">
        <v>547</v>
      </c>
      <c r="G14" s="311" t="s">
        <v>170</v>
      </c>
      <c r="H14" s="276">
        <v>43139</v>
      </c>
      <c r="I14" s="313">
        <f t="shared" si="1"/>
        <v>9</v>
      </c>
      <c r="J14" s="312" t="s">
        <v>20</v>
      </c>
      <c r="K14" s="268" t="s">
        <v>21</v>
      </c>
      <c r="L14" s="277" t="s">
        <v>131</v>
      </c>
      <c r="M14" s="279">
        <v>68.010000000000005</v>
      </c>
      <c r="N14" s="280">
        <v>68.010000000000005</v>
      </c>
      <c r="O14" s="280">
        <v>0</v>
      </c>
      <c r="P14" s="285" t="s">
        <v>57</v>
      </c>
      <c r="Q14" s="281" t="str">
        <f t="shared" si="2"/>
        <v/>
      </c>
      <c r="R14" s="282">
        <f t="shared" si="3"/>
        <v>816.12000000000012</v>
      </c>
      <c r="S14" s="268" t="s">
        <v>18</v>
      </c>
      <c r="T14" s="300">
        <v>20</v>
      </c>
      <c r="U14" s="284">
        <f>IF(M14=0,0,IF(G14="Annulation","",IF(assurance="ALPTIS",M14*12*T14/100*'1802 Data'!$K$4,IF(assurance="APRIL",M14*12*T14/100*'1802 Data'!$F$4,IF(assurance="ASAF",M14*12*T14/100*'1802 Data'!$I$4,IF(assurance="NEOLIANE",('1802 Data'!$G$5+M14*12*'1802 Data'!$G$4)*T14/100,IF(assurance="NEOLIANE Prev",('1802 Data'!$H$5+M14*12*'1802 Data'!$H$4)*T14/100,IF(assurance="SWISSLIFE",M14*12*T14/100*'1802 Data'!$J$4,IF(assurance="AVIVA",M14*12*T14/100*'1802 Data'!$L$4,IF(assurance="CIPRES",M14*12*T14/100*'1802 Data'!$M$4,IF(assurance="CEGEMA",M14*12*T14/100*'1802 Data'!$N$4,IF(assurance=0,0))))))))))))</f>
        <v>23.954640000000005</v>
      </c>
      <c r="V14" s="298">
        <f t="shared" si="4"/>
        <v>163.22399999999999</v>
      </c>
      <c r="W14" s="298">
        <f t="shared" si="5"/>
        <v>0</v>
      </c>
      <c r="X14" s="299">
        <f t="shared" si="40"/>
        <v>139.26935999999998</v>
      </c>
      <c r="Y14" s="368">
        <f t="shared" si="6"/>
        <v>0</v>
      </c>
      <c r="Z14" s="314">
        <v>43466</v>
      </c>
      <c r="AA14" s="313">
        <f t="shared" si="7"/>
        <v>318</v>
      </c>
      <c r="AB14" s="268" t="s">
        <v>75</v>
      </c>
      <c r="AC14" s="277" t="s">
        <v>17</v>
      </c>
      <c r="AD14" s="309" t="s">
        <v>97</v>
      </c>
      <c r="AE14" s="286">
        <f t="shared" si="8"/>
        <v>43404</v>
      </c>
      <c r="AF14" s="277" t="s">
        <v>1286</v>
      </c>
      <c r="AG14" s="275">
        <f t="shared" si="9"/>
        <v>43831</v>
      </c>
      <c r="AH14" s="287">
        <f t="shared" ca="1" si="10"/>
        <v>-0.56712328767123288</v>
      </c>
      <c r="AI14" s="373">
        <f t="shared" ca="1" si="11"/>
        <v>43831</v>
      </c>
      <c r="AJ14" s="275">
        <f t="shared" ca="1" si="12"/>
        <v>43769</v>
      </c>
      <c r="AK14" s="296">
        <f t="shared" ca="1" si="13"/>
        <v>43739</v>
      </c>
      <c r="AL14" s="287">
        <f t="shared" ca="1" si="14"/>
        <v>1</v>
      </c>
      <c r="AM14" s="279">
        <f t="shared" si="15"/>
        <v>0</v>
      </c>
      <c r="AN14" s="279">
        <f t="shared" si="16"/>
        <v>0</v>
      </c>
      <c r="AO14" s="288">
        <f t="shared" si="17"/>
        <v>0</v>
      </c>
      <c r="AP14" s="279">
        <f t="shared" si="18"/>
        <v>0</v>
      </c>
      <c r="AQ14" s="288">
        <f t="shared" si="19"/>
        <v>0</v>
      </c>
      <c r="AR14" s="289">
        <f t="shared" si="20"/>
        <v>0</v>
      </c>
      <c r="AS14" s="279">
        <f t="shared" si="21"/>
        <v>68.010000000000005</v>
      </c>
      <c r="AT14" s="288">
        <f t="shared" si="22"/>
        <v>0</v>
      </c>
      <c r="AU14" s="289">
        <f t="shared" si="23"/>
        <v>0</v>
      </c>
      <c r="AV14" s="279">
        <f t="shared" si="24"/>
        <v>0</v>
      </c>
      <c r="AW14" s="288">
        <f t="shared" si="25"/>
        <v>-1</v>
      </c>
      <c r="AX14" s="289">
        <f t="shared" si="26"/>
        <v>-1</v>
      </c>
      <c r="AY14" s="290" t="s">
        <v>277</v>
      </c>
      <c r="AZ14" s="291">
        <v>24051</v>
      </c>
      <c r="BA14" s="292">
        <v>93160</v>
      </c>
      <c r="BB14" s="303" t="s">
        <v>1177</v>
      </c>
      <c r="BC14" s="293" t="s">
        <v>1178</v>
      </c>
      <c r="BD14" s="293"/>
      <c r="BE14" s="304" t="s">
        <v>1215</v>
      </c>
      <c r="BF14" s="274" t="s">
        <v>1179</v>
      </c>
      <c r="BG14" s="270"/>
      <c r="BH14" s="268">
        <v>1</v>
      </c>
      <c r="BI14" s="273">
        <v>0</v>
      </c>
      <c r="BJ14" s="276">
        <v>21883</v>
      </c>
      <c r="BK14" s="294" t="s">
        <v>200</v>
      </c>
      <c r="BL14" s="269">
        <f t="shared" ca="1" si="27"/>
        <v>58</v>
      </c>
      <c r="BM14" s="270"/>
      <c r="BN14" s="271"/>
      <c r="BO14" s="272" t="str">
        <f t="shared" ca="1" si="28"/>
        <v/>
      </c>
      <c r="BP14" s="270"/>
      <c r="BQ14" s="271"/>
      <c r="BR14" s="272" t="str">
        <f t="shared" ca="1" si="29"/>
        <v/>
      </c>
      <c r="BS14" s="270"/>
      <c r="BT14" s="271"/>
      <c r="BU14" s="272" t="str">
        <f t="shared" ca="1" si="30"/>
        <v/>
      </c>
      <c r="BV14" s="270"/>
      <c r="BW14" s="271"/>
      <c r="BX14" s="272" t="str">
        <f t="shared" ca="1" si="31"/>
        <v/>
      </c>
      <c r="BY14" s="270"/>
      <c r="BZ14" s="271"/>
      <c r="CA14" s="272" t="str">
        <f t="shared" ca="1" si="32"/>
        <v/>
      </c>
      <c r="CB14" s="270"/>
      <c r="CC14" s="271"/>
      <c r="CD14" s="272" t="str">
        <f t="shared" ca="1" si="33"/>
        <v/>
      </c>
      <c r="CE14" s="270"/>
      <c r="CF14" s="271"/>
      <c r="CG14" s="272" t="str">
        <f t="shared" ca="1" si="34"/>
        <v/>
      </c>
      <c r="CH14" s="270"/>
      <c r="CI14" s="271"/>
      <c r="CJ14" s="272" t="str">
        <f t="shared" ca="1" si="35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36"/>
        <v/>
      </c>
      <c r="CU14" s="264"/>
      <c r="CV14" s="265"/>
      <c r="CW14" s="264"/>
      <c r="CX14" s="264"/>
      <c r="CY14" s="264" t="s">
        <v>1287</v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37"/>
        <v>0</v>
      </c>
      <c r="DN14" s="295" t="str">
        <f t="shared" si="38"/>
        <v>OK</v>
      </c>
    </row>
    <row r="15" spans="1:118" x14ac:dyDescent="0.25">
      <c r="A15" s="599" t="str">
        <f t="shared" si="39"/>
        <v>BEN NASR Mohsen - ASAF - Santé Individuelle</v>
      </c>
      <c r="B15" s="306"/>
      <c r="C15" s="305" t="s">
        <v>54</v>
      </c>
      <c r="D15" s="301" t="s">
        <v>1180</v>
      </c>
      <c r="E15" s="276">
        <v>43151</v>
      </c>
      <c r="F15" s="278" t="s">
        <v>546</v>
      </c>
      <c r="G15" s="311" t="s">
        <v>167</v>
      </c>
      <c r="H15" s="276">
        <v>43011</v>
      </c>
      <c r="I15" s="313">
        <f t="shared" si="1"/>
        <v>140</v>
      </c>
      <c r="J15" s="312" t="s">
        <v>20</v>
      </c>
      <c r="K15" s="268" t="s">
        <v>43</v>
      </c>
      <c r="L15" s="277" t="s">
        <v>130</v>
      </c>
      <c r="M15" s="279">
        <v>136.12</v>
      </c>
      <c r="N15" s="280">
        <v>136.12</v>
      </c>
      <c r="O15" s="280">
        <v>0</v>
      </c>
      <c r="P15" s="285" t="s">
        <v>57</v>
      </c>
      <c r="Q15" s="281" t="str">
        <f t="shared" si="2"/>
        <v/>
      </c>
      <c r="R15" s="282">
        <f t="shared" si="3"/>
        <v>1633.44</v>
      </c>
      <c r="S15" s="268" t="s">
        <v>18</v>
      </c>
      <c r="T15" s="283">
        <f>IF(G15="Annulation","",IF(assurance="ALPTIS",25,IF(assurance="APRIL",25,IF(assurance="ASAF",17.5,IF(assurance="NEOLIANE",25,IF(assurance="NEOLIANE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17.5</v>
      </c>
      <c r="U15" s="284">
        <f>IF(M15=0,0,IF(G15="Annulation","",IF(assurance="ALPTIS",M15*12*T15/100*'1802 Data'!$K$4,IF(assurance="APRIL",M15*12*T15/100*'1802 Data'!$F$4,IF(assurance="ASAF",M15*12*T15/100*'1802 Data'!$I$4,IF(assurance="NEOLIANE",('1802 Data'!$G$5+M15*12*'1802 Data'!$G$4)*T15/100,IF(assurance="NEOLIANE Prev",('1802 Data'!$H$5+M15*12*'1802 Data'!$H$4)*T15/100,IF(assurance="SWISSLIFE",M15*12*T15/100*'1802 Data'!$J$4,IF(assurance="AVIVA",M15*12*T15/100*'1802 Data'!$L$4,IF(assurance="CIPRES",M15*12*T15/100*'1802 Data'!$M$4,IF(assurance="CEGEMA",M15*12*T15/100*'1802 Data'!$N$4,IF(assurance=0,0))))))))))))</f>
        <v>41.734392</v>
      </c>
      <c r="V15" s="298">
        <f t="shared" si="4"/>
        <v>285.85199999999998</v>
      </c>
      <c r="W15" s="298">
        <f t="shared" si="5"/>
        <v>0</v>
      </c>
      <c r="X15" s="299">
        <f t="shared" si="40"/>
        <v>244.11760799999996</v>
      </c>
      <c r="Y15" s="368">
        <f t="shared" si="6"/>
        <v>0</v>
      </c>
      <c r="Z15" s="314">
        <v>43160</v>
      </c>
      <c r="AA15" s="313">
        <f t="shared" si="7"/>
        <v>9</v>
      </c>
      <c r="AB15" s="268" t="s">
        <v>13</v>
      </c>
      <c r="AC15" s="277"/>
      <c r="AD15" s="309" t="str">
        <f>IF(Z15=43466,"Programmée","")</f>
        <v/>
      </c>
      <c r="AE15" s="286" t="str">
        <f t="shared" si="8"/>
        <v/>
      </c>
      <c r="AF15" s="277" t="s">
        <v>1185</v>
      </c>
      <c r="AG15" s="275">
        <f t="shared" si="9"/>
        <v>43466</v>
      </c>
      <c r="AH15" s="287">
        <f t="shared" ca="1" si="10"/>
        <v>0.27123287671232876</v>
      </c>
      <c r="AI15" s="373">
        <f t="shared" ca="1" si="11"/>
        <v>43466</v>
      </c>
      <c r="AJ15" s="275">
        <f t="shared" ca="1" si="12"/>
        <v>43404</v>
      </c>
      <c r="AK15" s="296">
        <f t="shared" ca="1" si="13"/>
        <v>43374</v>
      </c>
      <c r="AL15" s="287">
        <f t="shared" ca="1" si="14"/>
        <v>0.83835616438356164</v>
      </c>
      <c r="AM15" s="279">
        <f t="shared" si="15"/>
        <v>0</v>
      </c>
      <c r="AN15" s="279">
        <f t="shared" si="16"/>
        <v>0</v>
      </c>
      <c r="AO15" s="288">
        <f t="shared" si="17"/>
        <v>0</v>
      </c>
      <c r="AP15" s="279">
        <f t="shared" si="18"/>
        <v>136.12</v>
      </c>
      <c r="AQ15" s="288">
        <f t="shared" si="19"/>
        <v>0</v>
      </c>
      <c r="AR15" s="289">
        <f t="shared" si="20"/>
        <v>0</v>
      </c>
      <c r="AS15" s="279">
        <f t="shared" si="21"/>
        <v>0</v>
      </c>
      <c r="AT15" s="288">
        <f t="shared" si="22"/>
        <v>-1</v>
      </c>
      <c r="AU15" s="289">
        <f t="shared" si="23"/>
        <v>0</v>
      </c>
      <c r="AV15" s="279">
        <f t="shared" si="24"/>
        <v>0</v>
      </c>
      <c r="AW15" s="288">
        <f t="shared" si="25"/>
        <v>0</v>
      </c>
      <c r="AX15" s="289">
        <f t="shared" si="26"/>
        <v>-1</v>
      </c>
      <c r="AY15" s="290" t="s">
        <v>278</v>
      </c>
      <c r="AZ15" s="291" t="s">
        <v>1182</v>
      </c>
      <c r="BA15" s="292">
        <v>92110</v>
      </c>
      <c r="BB15" s="303" t="s">
        <v>1183</v>
      </c>
      <c r="BC15" s="293" t="s">
        <v>1184</v>
      </c>
      <c r="BD15" s="293"/>
      <c r="BE15" s="304" t="s">
        <v>1216</v>
      </c>
      <c r="BF15" s="274" t="s">
        <v>1201</v>
      </c>
      <c r="BG15" s="270" t="s">
        <v>1288</v>
      </c>
      <c r="BH15" s="268">
        <v>2</v>
      </c>
      <c r="BI15" s="273">
        <v>2</v>
      </c>
      <c r="BJ15" s="276">
        <v>28924</v>
      </c>
      <c r="BK15" s="294" t="s">
        <v>202</v>
      </c>
      <c r="BL15" s="269">
        <f t="shared" ca="1" si="27"/>
        <v>39</v>
      </c>
      <c r="BM15" s="270">
        <v>30214</v>
      </c>
      <c r="BN15" s="271" t="s">
        <v>200</v>
      </c>
      <c r="BO15" s="272">
        <f t="shared" ca="1" si="28"/>
        <v>35</v>
      </c>
      <c r="BP15" s="270">
        <v>40543</v>
      </c>
      <c r="BQ15" s="271" t="s">
        <v>202</v>
      </c>
      <c r="BR15" s="272">
        <f t="shared" ca="1" si="29"/>
        <v>7</v>
      </c>
      <c r="BS15" s="270">
        <v>42642</v>
      </c>
      <c r="BT15" s="271" t="s">
        <v>202</v>
      </c>
      <c r="BU15" s="272">
        <f t="shared" ca="1" si="30"/>
        <v>1</v>
      </c>
      <c r="BV15" s="270"/>
      <c r="BW15" s="271"/>
      <c r="BX15" s="272" t="str">
        <f t="shared" ca="1" si="31"/>
        <v/>
      </c>
      <c r="BY15" s="270"/>
      <c r="BZ15" s="271"/>
      <c r="CA15" s="272" t="str">
        <f t="shared" ca="1" si="32"/>
        <v/>
      </c>
      <c r="CB15" s="270"/>
      <c r="CC15" s="271"/>
      <c r="CD15" s="272" t="str">
        <f t="shared" ca="1" si="33"/>
        <v/>
      </c>
      <c r="CE15" s="270"/>
      <c r="CF15" s="271"/>
      <c r="CG15" s="272" t="str">
        <f t="shared" ca="1" si="34"/>
        <v/>
      </c>
      <c r="CH15" s="270"/>
      <c r="CI15" s="271"/>
      <c r="CJ15" s="272" t="str">
        <f t="shared" ca="1" si="35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36"/>
        <v/>
      </c>
      <c r="CU15" s="264"/>
      <c r="CV15" s="265"/>
      <c r="CW15" s="264"/>
      <c r="CX15" s="264"/>
      <c r="CY15" s="264" t="s">
        <v>1287</v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37"/>
        <v>0</v>
      </c>
      <c r="DN15" s="295" t="str">
        <f t="shared" si="38"/>
        <v>OK</v>
      </c>
    </row>
    <row r="16" spans="1:118" x14ac:dyDescent="0.25">
      <c r="A16" s="599" t="str">
        <f t="shared" si="39"/>
        <v>TEMMINE Larbi - SWISSLIFE - Prev. Pro</v>
      </c>
      <c r="B16" s="306"/>
      <c r="C16" s="305" t="s">
        <v>19</v>
      </c>
      <c r="D16" s="301" t="s">
        <v>1181</v>
      </c>
      <c r="E16" s="276">
        <v>43152</v>
      </c>
      <c r="F16" s="278" t="s">
        <v>546</v>
      </c>
      <c r="G16" s="311" t="s">
        <v>171</v>
      </c>
      <c r="H16" s="276">
        <v>43079</v>
      </c>
      <c r="I16" s="313">
        <f t="shared" si="1"/>
        <v>73</v>
      </c>
      <c r="J16" s="312" t="s">
        <v>16</v>
      </c>
      <c r="K16" s="268" t="s">
        <v>12</v>
      </c>
      <c r="L16" s="277" t="s">
        <v>133</v>
      </c>
      <c r="M16" s="279">
        <v>27.72</v>
      </c>
      <c r="N16" s="280">
        <v>27.72</v>
      </c>
      <c r="O16" s="280">
        <v>0</v>
      </c>
      <c r="P16" s="285" t="s">
        <v>57</v>
      </c>
      <c r="Q16" s="281" t="str">
        <f t="shared" si="2"/>
        <v/>
      </c>
      <c r="R16" s="282">
        <f t="shared" si="3"/>
        <v>332.64</v>
      </c>
      <c r="S16" s="268" t="s">
        <v>18</v>
      </c>
      <c r="T16" s="283">
        <f>IF(G16="Annulation","",IF(assurance="ALPTIS",25,IF(assurance="APRIL",25,IF(assurance="ASAF",17.5,IF(assurance="NEOLIANE",25,IF(assurance="NEOLIANE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6" s="284">
        <f>IF(M16=0,0,IF(G16="Annulation","",IF(assurance="ALPTIS",M16*12*T16/100*'1802 Data'!$K$4,IF(assurance="APRIL",M16*12*T16/100*'1802 Data'!$F$4,IF(assurance="ASAF",M16*12*T16/100*'1802 Data'!$I$4,IF(assurance="NEOLIANE",('1802 Data'!$G$5+M16*12*'1802 Data'!$G$4)*T16/100,IF(assurance="NEOLIANE Prev",('1802 Data'!$H$5+M16*12*'1802 Data'!$H$4)*T16/100,IF(assurance="SWISSLIFE",M16*12*T16/100*'1802 Data'!$J$4,IF(assurance="AVIVA",M16*12*T16/100*'1802 Data'!$L$4,IF(assurance="CIPRES",M16*12*T16/100*'1802 Data'!$M$4,IF(assurance="CEGEMA",M16*12*T16/100*'1802 Data'!$N$4,IF(assurance=0,0))))))))))))</f>
        <v>8.6486399999999986</v>
      </c>
      <c r="V16" s="298">
        <f t="shared" si="4"/>
        <v>83.16</v>
      </c>
      <c r="W16" s="298">
        <f t="shared" si="5"/>
        <v>0</v>
      </c>
      <c r="X16" s="299">
        <f t="shared" si="40"/>
        <v>74.511359999999996</v>
      </c>
      <c r="Y16" s="368">
        <f t="shared" si="6"/>
        <v>0</v>
      </c>
      <c r="Z16" s="314">
        <v>43160</v>
      </c>
      <c r="AA16" s="313">
        <f t="shared" si="7"/>
        <v>8</v>
      </c>
      <c r="AB16" s="268" t="s">
        <v>13</v>
      </c>
      <c r="AC16" s="277"/>
      <c r="AD16" s="309" t="str">
        <f>IF(Z16=43466,"Programmée","")</f>
        <v/>
      </c>
      <c r="AE16" s="286" t="str">
        <f t="shared" si="8"/>
        <v/>
      </c>
      <c r="AF16" s="277"/>
      <c r="AG16" s="275">
        <f t="shared" si="9"/>
        <v>43525</v>
      </c>
      <c r="AH16" s="287">
        <f t="shared" ca="1" si="10"/>
        <v>0.27123287671232876</v>
      </c>
      <c r="AI16" s="373">
        <f t="shared" ca="1" si="11"/>
        <v>43525</v>
      </c>
      <c r="AJ16" s="275">
        <f t="shared" ca="1" si="12"/>
        <v>43463</v>
      </c>
      <c r="AK16" s="296">
        <f t="shared" ca="1" si="13"/>
        <v>43433</v>
      </c>
      <c r="AL16" s="287">
        <f t="shared" ca="1" si="14"/>
        <v>1</v>
      </c>
      <c r="AM16" s="279">
        <f t="shared" si="15"/>
        <v>0</v>
      </c>
      <c r="AN16" s="279">
        <f t="shared" si="16"/>
        <v>0</v>
      </c>
      <c r="AO16" s="288">
        <f t="shared" si="17"/>
        <v>0</v>
      </c>
      <c r="AP16" s="279">
        <f t="shared" si="18"/>
        <v>27.72</v>
      </c>
      <c r="AQ16" s="288">
        <f t="shared" si="19"/>
        <v>0</v>
      </c>
      <c r="AR16" s="289">
        <f t="shared" si="20"/>
        <v>0</v>
      </c>
      <c r="AS16" s="279">
        <f t="shared" si="21"/>
        <v>0</v>
      </c>
      <c r="AT16" s="288">
        <f t="shared" si="22"/>
        <v>-1</v>
      </c>
      <c r="AU16" s="289">
        <f t="shared" si="23"/>
        <v>0</v>
      </c>
      <c r="AV16" s="279">
        <f t="shared" si="24"/>
        <v>0</v>
      </c>
      <c r="AW16" s="288">
        <f t="shared" si="25"/>
        <v>0</v>
      </c>
      <c r="AX16" s="289">
        <f t="shared" si="26"/>
        <v>-1</v>
      </c>
      <c r="AY16" s="290" t="s">
        <v>276</v>
      </c>
      <c r="AZ16" s="291" t="s">
        <v>1188</v>
      </c>
      <c r="BA16" s="292">
        <v>92500</v>
      </c>
      <c r="BB16" s="303" t="s">
        <v>1189</v>
      </c>
      <c r="BC16" s="293">
        <v>613856961</v>
      </c>
      <c r="BD16" s="293"/>
      <c r="BE16" s="304" t="s">
        <v>1217</v>
      </c>
      <c r="BF16" s="274"/>
      <c r="BG16" s="270"/>
      <c r="BH16" s="268">
        <v>1</v>
      </c>
      <c r="BI16" s="273"/>
      <c r="BJ16" s="276">
        <v>30869</v>
      </c>
      <c r="BK16" s="294" t="s">
        <v>202</v>
      </c>
      <c r="BL16" s="269">
        <f t="shared" ca="1" si="27"/>
        <v>33</v>
      </c>
      <c r="BM16" s="270"/>
      <c r="BN16" s="271"/>
      <c r="BO16" s="272" t="str">
        <f t="shared" ca="1" si="28"/>
        <v/>
      </c>
      <c r="BP16" s="270"/>
      <c r="BQ16" s="271"/>
      <c r="BR16" s="272" t="str">
        <f t="shared" ca="1" si="29"/>
        <v/>
      </c>
      <c r="BS16" s="270"/>
      <c r="BT16" s="271"/>
      <c r="BU16" s="272" t="str">
        <f t="shared" ca="1" si="30"/>
        <v/>
      </c>
      <c r="BV16" s="270"/>
      <c r="BW16" s="271"/>
      <c r="BX16" s="272" t="str">
        <f t="shared" ca="1" si="31"/>
        <v/>
      </c>
      <c r="BY16" s="270"/>
      <c r="BZ16" s="271"/>
      <c r="CA16" s="272" t="str">
        <f t="shared" ca="1" si="32"/>
        <v/>
      </c>
      <c r="CB16" s="270"/>
      <c r="CC16" s="271"/>
      <c r="CD16" s="272" t="str">
        <f t="shared" ca="1" si="33"/>
        <v/>
      </c>
      <c r="CE16" s="270"/>
      <c r="CF16" s="271"/>
      <c r="CG16" s="272" t="str">
        <f t="shared" ca="1" si="34"/>
        <v/>
      </c>
      <c r="CH16" s="270"/>
      <c r="CI16" s="271"/>
      <c r="CJ16" s="272" t="str">
        <f t="shared" ca="1" si="35"/>
        <v/>
      </c>
      <c r="CK16" s="262"/>
      <c r="CL16" s="264"/>
      <c r="CM16" s="264"/>
      <c r="CN16" s="264"/>
      <c r="CO16" s="264"/>
      <c r="CP16" s="264"/>
      <c r="CQ16" s="264"/>
      <c r="CR16" s="262" t="s">
        <v>1186</v>
      </c>
      <c r="CS16" s="263" t="s">
        <v>1187</v>
      </c>
      <c r="CT16" s="297">
        <f t="shared" ca="1" si="36"/>
        <v>33</v>
      </c>
      <c r="CU16" s="264" t="s">
        <v>308</v>
      </c>
      <c r="CV16" s="265">
        <v>42522</v>
      </c>
      <c r="CW16" s="264" t="s">
        <v>351</v>
      </c>
      <c r="CX16" s="264" t="s">
        <v>483</v>
      </c>
      <c r="CY16" s="264" t="s">
        <v>351</v>
      </c>
      <c r="CZ16" s="264" t="s">
        <v>359</v>
      </c>
      <c r="DA16" s="264" t="s">
        <v>384</v>
      </c>
      <c r="DB16" s="266">
        <v>3000</v>
      </c>
      <c r="DC16" s="264" t="s">
        <v>365</v>
      </c>
      <c r="DD16" s="264" t="s">
        <v>362</v>
      </c>
      <c r="DE16" s="266">
        <v>0</v>
      </c>
      <c r="DF16" s="266">
        <v>0</v>
      </c>
      <c r="DG16" s="264" t="s">
        <v>35</v>
      </c>
      <c r="DH16" s="266">
        <v>0</v>
      </c>
      <c r="DI16" s="266">
        <v>0</v>
      </c>
      <c r="DJ16" s="264" t="s">
        <v>351</v>
      </c>
      <c r="DK16" s="264" t="s">
        <v>351</v>
      </c>
      <c r="DL16" s="267"/>
      <c r="DM16" s="261">
        <f t="shared" si="37"/>
        <v>0</v>
      </c>
      <c r="DN16" s="295" t="str">
        <f t="shared" si="38"/>
        <v>OK</v>
      </c>
    </row>
    <row r="17" spans="1:118" x14ac:dyDescent="0.25">
      <c r="A17" s="599" t="str">
        <f t="shared" si="39"/>
        <v>BARRIER Marie-Christine - ALPTIS - Santé Individuelle</v>
      </c>
      <c r="B17" s="306"/>
      <c r="C17" s="305" t="s">
        <v>60</v>
      </c>
      <c r="D17" s="301" t="s">
        <v>1190</v>
      </c>
      <c r="E17" s="276">
        <v>43153</v>
      </c>
      <c r="F17" s="278" t="s">
        <v>547</v>
      </c>
      <c r="G17" s="311" t="s">
        <v>167</v>
      </c>
      <c r="H17" s="276">
        <v>43135</v>
      </c>
      <c r="I17" s="313">
        <f t="shared" si="1"/>
        <v>18</v>
      </c>
      <c r="J17" s="312" t="s">
        <v>20</v>
      </c>
      <c r="K17" s="268" t="s">
        <v>17</v>
      </c>
      <c r="L17" s="277" t="s">
        <v>59</v>
      </c>
      <c r="M17" s="279">
        <v>231.79</v>
      </c>
      <c r="N17" s="280">
        <v>231.79</v>
      </c>
      <c r="O17" s="280">
        <v>12</v>
      </c>
      <c r="P17" s="285" t="s">
        <v>57</v>
      </c>
      <c r="Q17" s="281" t="str">
        <f t="shared" si="2"/>
        <v/>
      </c>
      <c r="R17" s="282">
        <f t="shared" si="3"/>
        <v>2781.48</v>
      </c>
      <c r="S17" s="268" t="s">
        <v>18</v>
      </c>
      <c r="T17" s="283">
        <f>IF(G17="Annulation","",IF(assurance="ALPTIS",25,IF(assurance="APRIL",25,IF(assurance="ASAF",17.5,IF(assurance="NEOLIANE",25,IF(assurance="NEOLIANE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7" s="284">
        <f>IF(M17=0,0,IF(G17="Annulation","",IF(assurance="ALPTIS",M17*12*T17/100*'1802 Data'!$K$4,IF(assurance="APRIL",M17*12*T17/100*'1802 Data'!$F$4,IF(assurance="ASAF",M17*12*T17/100*'1802 Data'!$I$4,IF(assurance="NEOLIANE",('1802 Data'!$G$5+M17*12*'1802 Data'!$G$4)*T17/100,IF(assurance="NEOLIANE Prev",('1802 Data'!$H$5+M17*12*'1802 Data'!$H$4)*T17/100,IF(assurance="SWISSLIFE",M17*12*T17/100*'1802 Data'!$J$4,IF(assurance="AVIVA",M17*12*T17/100*'1802 Data'!$L$4,IF(assurance="CIPRES",M17*12*T17/100*'1802 Data'!$M$4,IF(assurance="CEGEMA",M17*12*T17/100*'1802 Data'!$N$4,IF(assurance=0,0))))))))))))</f>
        <v>75.656255999999999</v>
      </c>
      <c r="V17" s="298">
        <f t="shared" si="4"/>
        <v>680.97</v>
      </c>
      <c r="W17" s="298">
        <f t="shared" si="5"/>
        <v>0</v>
      </c>
      <c r="X17" s="299">
        <f t="shared" si="40"/>
        <v>605.31374400000004</v>
      </c>
      <c r="Y17" s="368">
        <f t="shared" si="6"/>
        <v>0</v>
      </c>
      <c r="Z17" s="314">
        <v>43313</v>
      </c>
      <c r="AA17" s="313">
        <f t="shared" si="7"/>
        <v>160</v>
      </c>
      <c r="AB17" s="268" t="s">
        <v>35</v>
      </c>
      <c r="AC17" s="277" t="s">
        <v>62</v>
      </c>
      <c r="AD17" s="309" t="s">
        <v>98</v>
      </c>
      <c r="AE17" s="286">
        <v>43227</v>
      </c>
      <c r="AF17" s="277" t="s">
        <v>1191</v>
      </c>
      <c r="AG17" s="275">
        <f t="shared" si="9"/>
        <v>43466</v>
      </c>
      <c r="AH17" s="287">
        <f t="shared" ca="1" si="10"/>
        <v>-0.14794520547945206</v>
      </c>
      <c r="AI17" s="373">
        <f t="shared" ca="1" si="11"/>
        <v>43831</v>
      </c>
      <c r="AJ17" s="275">
        <f t="shared" ca="1" si="12"/>
        <v>43769</v>
      </c>
      <c r="AK17" s="296">
        <f t="shared" ca="1" si="13"/>
        <v>43739</v>
      </c>
      <c r="AL17" s="287">
        <f t="shared" ca="1" si="14"/>
        <v>1.4191780821917808</v>
      </c>
      <c r="AM17" s="279">
        <f t="shared" si="15"/>
        <v>0</v>
      </c>
      <c r="AN17" s="279">
        <f t="shared" si="16"/>
        <v>0</v>
      </c>
      <c r="AO17" s="288">
        <f t="shared" si="17"/>
        <v>0</v>
      </c>
      <c r="AP17" s="279">
        <f t="shared" si="18"/>
        <v>231.79</v>
      </c>
      <c r="AQ17" s="288">
        <f t="shared" si="19"/>
        <v>0</v>
      </c>
      <c r="AR17" s="289">
        <f t="shared" si="20"/>
        <v>0</v>
      </c>
      <c r="AS17" s="279">
        <f t="shared" si="21"/>
        <v>0</v>
      </c>
      <c r="AT17" s="288">
        <f t="shared" si="22"/>
        <v>-1</v>
      </c>
      <c r="AU17" s="289">
        <f t="shared" si="23"/>
        <v>0</v>
      </c>
      <c r="AV17" s="279">
        <f t="shared" si="24"/>
        <v>0</v>
      </c>
      <c r="AW17" s="288">
        <f t="shared" si="25"/>
        <v>0</v>
      </c>
      <c r="AX17" s="289">
        <f t="shared" si="26"/>
        <v>-1</v>
      </c>
      <c r="AY17" s="290" t="s">
        <v>278</v>
      </c>
      <c r="AZ17" s="291">
        <v>1834599</v>
      </c>
      <c r="BA17" s="292">
        <v>75020</v>
      </c>
      <c r="BB17" s="303" t="s">
        <v>1192</v>
      </c>
      <c r="BC17" s="293">
        <v>672387987</v>
      </c>
      <c r="BD17" s="293"/>
      <c r="BE17" s="304" t="s">
        <v>1218</v>
      </c>
      <c r="BF17" s="274" t="s">
        <v>1200</v>
      </c>
      <c r="BG17" s="270" t="s">
        <v>1289</v>
      </c>
      <c r="BH17" s="268">
        <v>2</v>
      </c>
      <c r="BI17" s="273">
        <v>0</v>
      </c>
      <c r="BJ17" s="276">
        <v>24657</v>
      </c>
      <c r="BK17" s="294" t="s">
        <v>202</v>
      </c>
      <c r="BL17" s="269">
        <f t="shared" ca="1" si="27"/>
        <v>50</v>
      </c>
      <c r="BM17" s="270">
        <v>24959</v>
      </c>
      <c r="BN17" s="271" t="s">
        <v>202</v>
      </c>
      <c r="BO17" s="272">
        <f t="shared" ca="1" si="28"/>
        <v>50</v>
      </c>
      <c r="BP17" s="270"/>
      <c r="BQ17" s="271"/>
      <c r="BR17" s="272" t="str">
        <f t="shared" ca="1" si="29"/>
        <v/>
      </c>
      <c r="BS17" s="270"/>
      <c r="BT17" s="271"/>
      <c r="BU17" s="272" t="str">
        <f t="shared" ca="1" si="30"/>
        <v/>
      </c>
      <c r="BV17" s="270"/>
      <c r="BW17" s="271"/>
      <c r="BX17" s="272" t="str">
        <f t="shared" ca="1" si="31"/>
        <v/>
      </c>
      <c r="BY17" s="270"/>
      <c r="BZ17" s="271"/>
      <c r="CA17" s="272" t="str">
        <f t="shared" ca="1" si="32"/>
        <v/>
      </c>
      <c r="CB17" s="270"/>
      <c r="CC17" s="271"/>
      <c r="CD17" s="272" t="str">
        <f t="shared" ca="1" si="33"/>
        <v/>
      </c>
      <c r="CE17" s="270"/>
      <c r="CF17" s="271"/>
      <c r="CG17" s="272" t="str">
        <f t="shared" ca="1" si="34"/>
        <v/>
      </c>
      <c r="CH17" s="270"/>
      <c r="CI17" s="271"/>
      <c r="CJ17" s="272" t="str">
        <f t="shared" ca="1" si="35"/>
        <v/>
      </c>
      <c r="CK17" s="262">
        <v>7</v>
      </c>
      <c r="CL17" s="264">
        <v>7</v>
      </c>
      <c r="CM17" s="264">
        <v>5</v>
      </c>
      <c r="CN17" s="264">
        <v>10</v>
      </c>
      <c r="CO17" s="264">
        <v>10</v>
      </c>
      <c r="CP17" s="264" t="s">
        <v>307</v>
      </c>
      <c r="CQ17" s="264" t="s">
        <v>1193</v>
      </c>
      <c r="CR17" s="262"/>
      <c r="CS17" s="263"/>
      <c r="CT17" s="297" t="str">
        <f t="shared" si="36"/>
        <v/>
      </c>
      <c r="CU17" s="264"/>
      <c r="CV17" s="265"/>
      <c r="CW17" s="264"/>
      <c r="CX17" s="264"/>
      <c r="CY17" s="264" t="s">
        <v>1287</v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37"/>
        <v>0</v>
      </c>
      <c r="DN17" s="295" t="str">
        <f t="shared" si="38"/>
        <v>OK</v>
      </c>
    </row>
    <row r="18" spans="1:118" x14ac:dyDescent="0.25">
      <c r="A18" s="599" t="str">
        <f t="shared" si="39"/>
        <v>VOINOT Sandrine - APRIL - Santé Individuelle</v>
      </c>
      <c r="B18" s="306"/>
      <c r="C18" s="305" t="s">
        <v>61</v>
      </c>
      <c r="D18" s="301" t="s">
        <v>1196</v>
      </c>
      <c r="E18" s="276">
        <v>43153</v>
      </c>
      <c r="F18" s="278" t="s">
        <v>547</v>
      </c>
      <c r="G18" s="311" t="s">
        <v>172</v>
      </c>
      <c r="H18" s="276">
        <v>43129</v>
      </c>
      <c r="I18" s="313">
        <f t="shared" si="1"/>
        <v>24</v>
      </c>
      <c r="J18" s="312" t="s">
        <v>20</v>
      </c>
      <c r="K18" s="268" t="s">
        <v>33</v>
      </c>
      <c r="L18" s="277" t="s">
        <v>109</v>
      </c>
      <c r="M18" s="279">
        <v>71.87</v>
      </c>
      <c r="N18" s="280">
        <v>71.87</v>
      </c>
      <c r="O18" s="280">
        <v>0</v>
      </c>
      <c r="P18" s="285" t="s">
        <v>57</v>
      </c>
      <c r="Q18" s="281" t="str">
        <f t="shared" si="2"/>
        <v/>
      </c>
      <c r="R18" s="282">
        <f t="shared" si="3"/>
        <v>862.44</v>
      </c>
      <c r="S18" s="268" t="s">
        <v>18</v>
      </c>
      <c r="T18" s="283">
        <f>IF(G18="Annulation","",IF(assurance="ALPTIS",25,IF(assurance="APRIL",25,IF(assurance="ASAF",17.5,IF(assurance="NEOLIANE",25,IF(assurance="NEOLIANE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8" s="284">
        <f>IF(M18=0,0,IF(G18="Annulation","",IF(assurance="ALPTIS",M18*12*T18/100*'1802 Data'!$K$4,IF(assurance="APRIL",M18*12*T18/100*'1802 Data'!$F$4,IF(assurance="ASAF",M18*12*T18/100*'1802 Data'!$I$4,IF(assurance="NEOLIANE",('1802 Data'!$G$5+M18*12*'1802 Data'!$G$4)*T18/100,IF(assurance="NEOLIANE Prev",('1802 Data'!$H$5+M18*12*'1802 Data'!$H$4)*T18/100,IF(assurance="SWISSLIFE",M18*12*T18/100*'1802 Data'!$J$4,IF(assurance="AVIVA",M18*12*T18/100*'1802 Data'!$L$4,IF(assurance="CIPRES",M18*12*T18/100*'1802 Data'!$M$4,IF(assurance="CEGEMA",M18*12*T18/100*'1802 Data'!$N$4,IF(assurance=0,0))))))))))))</f>
        <v>23.717100000000002</v>
      </c>
      <c r="V18" s="298">
        <f t="shared" si="4"/>
        <v>215.61</v>
      </c>
      <c r="W18" s="298">
        <f t="shared" si="5"/>
        <v>0</v>
      </c>
      <c r="X18" s="299">
        <f t="shared" si="40"/>
        <v>191.8929</v>
      </c>
      <c r="Y18" s="368">
        <f t="shared" si="6"/>
        <v>0</v>
      </c>
      <c r="Z18" s="314">
        <v>43160</v>
      </c>
      <c r="AA18" s="313">
        <f t="shared" si="7"/>
        <v>7</v>
      </c>
      <c r="AB18" s="268" t="s">
        <v>13</v>
      </c>
      <c r="AC18" s="277"/>
      <c r="AD18" s="309" t="str">
        <f>IF(Z18=43466,"Programmée","")</f>
        <v/>
      </c>
      <c r="AE18" s="286" t="str">
        <f>IF(Z18=43466,43404,"")</f>
        <v/>
      </c>
      <c r="AF18" s="277"/>
      <c r="AG18" s="275">
        <f t="shared" si="9"/>
        <v>43466</v>
      </c>
      <c r="AH18" s="287">
        <f t="shared" ca="1" si="10"/>
        <v>0.27123287671232876</v>
      </c>
      <c r="AI18" s="373">
        <f t="shared" ca="1" si="11"/>
        <v>43466</v>
      </c>
      <c r="AJ18" s="275">
        <f t="shared" ca="1" si="12"/>
        <v>43404</v>
      </c>
      <c r="AK18" s="296">
        <f t="shared" ca="1" si="13"/>
        <v>43374</v>
      </c>
      <c r="AL18" s="287">
        <f t="shared" ca="1" si="14"/>
        <v>0.83835616438356164</v>
      </c>
      <c r="AM18" s="279">
        <f t="shared" si="15"/>
        <v>0</v>
      </c>
      <c r="AN18" s="279">
        <f t="shared" si="16"/>
        <v>0</v>
      </c>
      <c r="AO18" s="288">
        <f t="shared" si="17"/>
        <v>0</v>
      </c>
      <c r="AP18" s="279">
        <f t="shared" si="18"/>
        <v>71.87</v>
      </c>
      <c r="AQ18" s="288">
        <f t="shared" si="19"/>
        <v>0</v>
      </c>
      <c r="AR18" s="289">
        <f t="shared" si="20"/>
        <v>0</v>
      </c>
      <c r="AS18" s="279">
        <f t="shared" si="21"/>
        <v>0</v>
      </c>
      <c r="AT18" s="288">
        <f t="shared" si="22"/>
        <v>-1</v>
      </c>
      <c r="AU18" s="289">
        <f t="shared" si="23"/>
        <v>0</v>
      </c>
      <c r="AV18" s="279">
        <f t="shared" si="24"/>
        <v>0</v>
      </c>
      <c r="AW18" s="288">
        <f t="shared" si="25"/>
        <v>0</v>
      </c>
      <c r="AX18" s="289">
        <f t="shared" si="26"/>
        <v>-1</v>
      </c>
      <c r="AY18" s="290" t="s">
        <v>277</v>
      </c>
      <c r="AZ18" s="291">
        <v>679479200</v>
      </c>
      <c r="BA18" s="292">
        <v>54630</v>
      </c>
      <c r="BB18" s="303" t="s">
        <v>1195</v>
      </c>
      <c r="BC18" s="293" t="s">
        <v>1197</v>
      </c>
      <c r="BD18" s="293"/>
      <c r="BE18" s="304" t="s">
        <v>1198</v>
      </c>
      <c r="BF18" s="274" t="s">
        <v>1199</v>
      </c>
      <c r="BG18" s="270"/>
      <c r="BH18" s="268">
        <v>1</v>
      </c>
      <c r="BI18" s="273">
        <v>1</v>
      </c>
      <c r="BJ18" s="276">
        <v>28639</v>
      </c>
      <c r="BK18" s="294" t="s">
        <v>202</v>
      </c>
      <c r="BL18" s="269">
        <f t="shared" ca="1" si="27"/>
        <v>40</v>
      </c>
      <c r="BM18" s="270"/>
      <c r="BN18" s="271"/>
      <c r="BO18" s="272" t="str">
        <f t="shared" ca="1" si="28"/>
        <v/>
      </c>
      <c r="BP18" s="270">
        <v>41515</v>
      </c>
      <c r="BQ18" s="271" t="s">
        <v>202</v>
      </c>
      <c r="BR18" s="272">
        <f t="shared" ca="1" si="29"/>
        <v>4</v>
      </c>
      <c r="BS18" s="270"/>
      <c r="BT18" s="271"/>
      <c r="BU18" s="272" t="str">
        <f t="shared" ca="1" si="30"/>
        <v/>
      </c>
      <c r="BV18" s="270"/>
      <c r="BW18" s="271"/>
      <c r="BX18" s="272" t="str">
        <f t="shared" ca="1" si="31"/>
        <v/>
      </c>
      <c r="BY18" s="270"/>
      <c r="BZ18" s="271"/>
      <c r="CA18" s="272" t="str">
        <f t="shared" ca="1" si="32"/>
        <v/>
      </c>
      <c r="CB18" s="270"/>
      <c r="CC18" s="271"/>
      <c r="CD18" s="272" t="str">
        <f t="shared" ca="1" si="33"/>
        <v/>
      </c>
      <c r="CE18" s="270"/>
      <c r="CF18" s="271"/>
      <c r="CG18" s="272" t="str">
        <f t="shared" ca="1" si="34"/>
        <v/>
      </c>
      <c r="CH18" s="270"/>
      <c r="CI18" s="271"/>
      <c r="CJ18" s="272" t="str">
        <f t="shared" ca="1" si="35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36"/>
        <v/>
      </c>
      <c r="CU18" s="264"/>
      <c r="CV18" s="265"/>
      <c r="CW18" s="264"/>
      <c r="CX18" s="264"/>
      <c r="CY18" s="264" t="s">
        <v>1287</v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37"/>
        <v>0</v>
      </c>
      <c r="DN18" s="295" t="str">
        <f t="shared" si="38"/>
        <v>OK</v>
      </c>
    </row>
    <row r="19" spans="1:118" x14ac:dyDescent="0.25">
      <c r="A19" s="599" t="str">
        <f t="shared" si="39"/>
        <v>GUERNIER Michel - APRIL - Santé Individuelle</v>
      </c>
      <c r="B19" s="306"/>
      <c r="C19" s="305" t="s">
        <v>55</v>
      </c>
      <c r="D19" s="301" t="s">
        <v>538</v>
      </c>
      <c r="E19" s="276">
        <v>43157</v>
      </c>
      <c r="F19" s="278" t="s">
        <v>546</v>
      </c>
      <c r="G19" s="311" t="s">
        <v>170</v>
      </c>
      <c r="H19" s="276">
        <v>43137</v>
      </c>
      <c r="I19" s="313">
        <f t="shared" si="1"/>
        <v>20</v>
      </c>
      <c r="J19" s="312" t="s">
        <v>20</v>
      </c>
      <c r="K19" s="268" t="s">
        <v>33</v>
      </c>
      <c r="L19" s="277" t="s">
        <v>109</v>
      </c>
      <c r="M19" s="279">
        <v>69.63</v>
      </c>
      <c r="N19" s="280">
        <v>69.63</v>
      </c>
      <c r="O19" s="280">
        <v>0</v>
      </c>
      <c r="P19" s="285" t="s">
        <v>57</v>
      </c>
      <c r="Q19" s="281" t="str">
        <f t="shared" si="2"/>
        <v/>
      </c>
      <c r="R19" s="282">
        <f t="shared" si="3"/>
        <v>835.56</v>
      </c>
      <c r="S19" s="268" t="s">
        <v>18</v>
      </c>
      <c r="T19" s="283">
        <f>IF(G19="Annulation","",IF(assurance="ALPTIS",25,IF(assurance="APRIL",25,IF(assurance="ASAF",17.5,IF(assurance="NEOLIANE",25,IF(assurance="NEOLIANE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19" s="284">
        <f>IF(M19=0,0,IF(G19="Annulation","",IF(assurance="ALPTIS",M19*12*T19/100*'1802 Data'!$K$4,IF(assurance="APRIL",M19*12*T19/100*'1802 Data'!$F$4,IF(assurance="ASAF",M19*12*T19/100*'1802 Data'!$I$4,IF(assurance="NEOLIANE",('1802 Data'!$G$5+M19*12*'1802 Data'!$G$4)*T19/100,IF(assurance="NEOLIANE Prev",('1802 Data'!$H$5+M19*12*'1802 Data'!$H$4)*T19/100,IF(assurance="SWISSLIFE",M19*12*T19/100*'1802 Data'!$J$4,IF(assurance="AVIVA",M19*12*T19/100*'1802 Data'!$L$4,IF(assurance="CIPRES",M19*12*T19/100*'1802 Data'!$M$4,IF(assurance="CEGEMA",M19*12*T19/100*'1802 Data'!$N$4,IF(assurance=0,0))))))))))))</f>
        <v>22.977899999999998</v>
      </c>
      <c r="V19" s="298">
        <f t="shared" si="4"/>
        <v>208.89</v>
      </c>
      <c r="W19" s="298">
        <f t="shared" si="5"/>
        <v>0</v>
      </c>
      <c r="X19" s="299">
        <f t="shared" si="40"/>
        <v>185.91209999999998</v>
      </c>
      <c r="Y19" s="368">
        <f t="shared" si="6"/>
        <v>0</v>
      </c>
      <c r="Z19" s="314">
        <v>43282</v>
      </c>
      <c r="AA19" s="313">
        <f t="shared" si="7"/>
        <v>125</v>
      </c>
      <c r="AB19" s="268" t="s">
        <v>35</v>
      </c>
      <c r="AC19" s="277" t="s">
        <v>56</v>
      </c>
      <c r="AD19" s="309" t="s">
        <v>98</v>
      </c>
      <c r="AE19" s="286">
        <v>43199</v>
      </c>
      <c r="AF19" s="277"/>
      <c r="AG19" s="275">
        <f t="shared" si="9"/>
        <v>43466</v>
      </c>
      <c r="AH19" s="287">
        <f t="shared" ca="1" si="10"/>
        <v>-6.3013698630136991E-2</v>
      </c>
      <c r="AI19" s="373">
        <f t="shared" ca="1" si="11"/>
        <v>43831</v>
      </c>
      <c r="AJ19" s="275">
        <f t="shared" ca="1" si="12"/>
        <v>43769</v>
      </c>
      <c r="AK19" s="296">
        <f t="shared" ca="1" si="13"/>
        <v>43739</v>
      </c>
      <c r="AL19" s="287">
        <f t="shared" ca="1" si="14"/>
        <v>1.5041095890410958</v>
      </c>
      <c r="AM19" s="279">
        <f t="shared" si="15"/>
        <v>0</v>
      </c>
      <c r="AN19" s="279">
        <f t="shared" si="16"/>
        <v>0</v>
      </c>
      <c r="AO19" s="288">
        <f t="shared" si="17"/>
        <v>0</v>
      </c>
      <c r="AP19" s="279">
        <f t="shared" si="18"/>
        <v>69.63</v>
      </c>
      <c r="AQ19" s="288">
        <f t="shared" si="19"/>
        <v>0</v>
      </c>
      <c r="AR19" s="289">
        <f t="shared" si="20"/>
        <v>0</v>
      </c>
      <c r="AS19" s="279">
        <f t="shared" si="21"/>
        <v>0</v>
      </c>
      <c r="AT19" s="288">
        <f t="shared" si="22"/>
        <v>-1</v>
      </c>
      <c r="AU19" s="289">
        <f t="shared" si="23"/>
        <v>0</v>
      </c>
      <c r="AV19" s="279">
        <f t="shared" si="24"/>
        <v>0</v>
      </c>
      <c r="AW19" s="288">
        <f t="shared" si="25"/>
        <v>0</v>
      </c>
      <c r="AX19" s="289">
        <f t="shared" si="26"/>
        <v>-1</v>
      </c>
      <c r="AY19" s="290" t="s">
        <v>277</v>
      </c>
      <c r="AZ19" s="291">
        <v>679542300</v>
      </c>
      <c r="BA19" s="292">
        <v>54800</v>
      </c>
      <c r="BB19" s="303" t="s">
        <v>1220</v>
      </c>
      <c r="BC19" s="293">
        <v>682841770</v>
      </c>
      <c r="BD19" s="293"/>
      <c r="BE19" s="304" t="s">
        <v>1219</v>
      </c>
      <c r="BF19" s="274" t="s">
        <v>1207</v>
      </c>
      <c r="BG19" s="270"/>
      <c r="BH19" s="268">
        <v>1</v>
      </c>
      <c r="BI19" s="273"/>
      <c r="BJ19" s="276">
        <v>23789</v>
      </c>
      <c r="BK19" s="294" t="s">
        <v>202</v>
      </c>
      <c r="BL19" s="269">
        <f t="shared" ca="1" si="27"/>
        <v>53</v>
      </c>
      <c r="BM19" s="270"/>
      <c r="BN19" s="271"/>
      <c r="BO19" s="272" t="str">
        <f t="shared" ca="1" si="28"/>
        <v/>
      </c>
      <c r="BP19" s="270"/>
      <c r="BQ19" s="271"/>
      <c r="BR19" s="272" t="str">
        <f t="shared" ca="1" si="29"/>
        <v/>
      </c>
      <c r="BS19" s="270"/>
      <c r="BT19" s="271"/>
      <c r="BU19" s="272" t="str">
        <f t="shared" ca="1" si="30"/>
        <v/>
      </c>
      <c r="BV19" s="270"/>
      <c r="BW19" s="271"/>
      <c r="BX19" s="272" t="str">
        <f t="shared" ca="1" si="31"/>
        <v/>
      </c>
      <c r="BY19" s="270"/>
      <c r="BZ19" s="271"/>
      <c r="CA19" s="272" t="str">
        <f t="shared" ca="1" si="32"/>
        <v/>
      </c>
      <c r="CB19" s="270"/>
      <c r="CC19" s="271"/>
      <c r="CD19" s="272" t="str">
        <f t="shared" ca="1" si="33"/>
        <v/>
      </c>
      <c r="CE19" s="270"/>
      <c r="CF19" s="271"/>
      <c r="CG19" s="272" t="str">
        <f t="shared" ca="1" si="34"/>
        <v/>
      </c>
      <c r="CH19" s="270"/>
      <c r="CI19" s="271"/>
      <c r="CJ19" s="272" t="str">
        <f t="shared" ca="1" si="35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36"/>
        <v/>
      </c>
      <c r="CU19" s="264"/>
      <c r="CV19" s="265"/>
      <c r="CW19" s="264"/>
      <c r="CX19" s="264"/>
      <c r="CY19" s="264" t="s">
        <v>1287</v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37"/>
        <v>0</v>
      </c>
      <c r="DN19" s="295" t="str">
        <f t="shared" si="38"/>
        <v>OK</v>
      </c>
    </row>
  </sheetData>
  <sortState ref="C2:DO19">
    <sortCondition ref="E1"/>
  </sortState>
  <mergeCells count="1">
    <mergeCell ref="A1:B1"/>
  </mergeCells>
  <conditionalFormatting sqref="BG2:BG19 CH2:CH19 CE2:CE19 CB2:CB19 BY2:BY19 BV2:BV19 BP2:BP19 BM2:BM19 BS1:BS19">
    <cfRule type="expression" dxfId="1098" priority="592">
      <formula>$J1="Santé Individuelle"</formula>
    </cfRule>
  </conditionalFormatting>
  <conditionalFormatting sqref="BO2:BO19 BR2:BR19 BX2:BX19 CA2:CA19 CD2:CD19 CG2:CG19 CJ2:CJ19 BU1:BU19">
    <cfRule type="expression" dxfId="1097" priority="593">
      <formula>$J1="Santé Individuelle"</formula>
    </cfRule>
  </conditionalFormatting>
  <conditionalFormatting sqref="BV1">
    <cfRule type="expression" dxfId="1096" priority="588">
      <formula>$J1="Santé Individuelle"</formula>
    </cfRule>
  </conditionalFormatting>
  <conditionalFormatting sqref="BX1">
    <cfRule type="expression" dxfId="1095" priority="589">
      <formula>$J1="Santé Individuelle"</formula>
    </cfRule>
  </conditionalFormatting>
  <conditionalFormatting sqref="BY1">
    <cfRule type="expression" dxfId="1094" priority="584">
      <formula>$J1="Santé Individuelle"</formula>
    </cfRule>
  </conditionalFormatting>
  <conditionalFormatting sqref="CA1">
    <cfRule type="expression" dxfId="1093" priority="585">
      <formula>$J1="Santé Individuelle"</formula>
    </cfRule>
  </conditionalFormatting>
  <conditionalFormatting sqref="CB1">
    <cfRule type="expression" dxfId="1092" priority="580">
      <formula>$J1="Santé Individuelle"</formula>
    </cfRule>
  </conditionalFormatting>
  <conditionalFormatting sqref="CD1">
    <cfRule type="expression" dxfId="1091" priority="581">
      <formula>$J1="Santé Individuelle"</formula>
    </cfRule>
  </conditionalFormatting>
  <conditionalFormatting sqref="CE1">
    <cfRule type="expression" dxfId="1090" priority="576">
      <formula>$J1="Santé Individuelle"</formula>
    </cfRule>
  </conditionalFormatting>
  <conditionalFormatting sqref="CG1">
    <cfRule type="expression" dxfId="1089" priority="577">
      <formula>$J1="Santé Individuelle"</formula>
    </cfRule>
  </conditionalFormatting>
  <conditionalFormatting sqref="CH1">
    <cfRule type="expression" dxfId="1088" priority="572">
      <formula>$J1="Santé Individuelle"</formula>
    </cfRule>
  </conditionalFormatting>
  <conditionalFormatting sqref="CJ1">
    <cfRule type="expression" dxfId="1087" priority="573">
      <formula>$J1="Santé Individuelle"</formula>
    </cfRule>
  </conditionalFormatting>
  <conditionalFormatting sqref="BM1">
    <cfRule type="expression" dxfId="1086" priority="598">
      <formula>$BH1=1</formula>
    </cfRule>
  </conditionalFormatting>
  <conditionalFormatting sqref="BO1">
    <cfRule type="expression" dxfId="1085" priority="599">
      <formula>$BH1=1</formula>
    </cfRule>
  </conditionalFormatting>
  <conditionalFormatting sqref="BP1">
    <cfRule type="expression" dxfId="1084" priority="596">
      <formula>$J1="Santé Individuelle"</formula>
    </cfRule>
  </conditionalFormatting>
  <conditionalFormatting sqref="BR1">
    <cfRule type="expression" dxfId="1083" priority="597">
      <formula>$J1="Santé Individuelle"</formula>
    </cfRule>
  </conditionalFormatting>
  <conditionalFormatting sqref="BP1">
    <cfRule type="expression" dxfId="1082" priority="595">
      <formula>$BI1=0</formula>
    </cfRule>
  </conditionalFormatting>
  <conditionalFormatting sqref="BR1">
    <cfRule type="expression" dxfId="1081" priority="594">
      <formula>$BI1=0</formula>
    </cfRule>
  </conditionalFormatting>
  <conditionalFormatting sqref="BS1">
    <cfRule type="expression" dxfId="1080" priority="591">
      <formula>$BI1&lt;2</formula>
    </cfRule>
  </conditionalFormatting>
  <conditionalFormatting sqref="BU1">
    <cfRule type="expression" dxfId="1079" priority="590">
      <formula>$BI1&lt;2</formula>
    </cfRule>
  </conditionalFormatting>
  <conditionalFormatting sqref="BV1">
    <cfRule type="expression" dxfId="1078" priority="587">
      <formula>$BI1&lt;3</formula>
    </cfRule>
  </conditionalFormatting>
  <conditionalFormatting sqref="BX1">
    <cfRule type="expression" dxfId="1077" priority="586">
      <formula>$BI1&lt;3</formula>
    </cfRule>
  </conditionalFormatting>
  <conditionalFormatting sqref="BY1">
    <cfRule type="expression" dxfId="1076" priority="583">
      <formula>$BI1&lt;4</formula>
    </cfRule>
  </conditionalFormatting>
  <conditionalFormatting sqref="CA1">
    <cfRule type="expression" dxfId="1075" priority="582">
      <formula>$BI1&lt;4</formula>
    </cfRule>
  </conditionalFormatting>
  <conditionalFormatting sqref="CB1">
    <cfRule type="expression" dxfId="1074" priority="579">
      <formula>$BI1&lt;5</formula>
    </cfRule>
  </conditionalFormatting>
  <conditionalFormatting sqref="CD1">
    <cfRule type="expression" dxfId="1073" priority="578">
      <formula>$BI1&lt;5</formula>
    </cfRule>
  </conditionalFormatting>
  <conditionalFormatting sqref="CE1">
    <cfRule type="expression" dxfId="1072" priority="575">
      <formula>$BI1&lt;6</formula>
    </cfRule>
  </conditionalFormatting>
  <conditionalFormatting sqref="CG1">
    <cfRule type="expression" dxfId="1071" priority="574">
      <formula>$BI1&lt;6</formula>
    </cfRule>
  </conditionalFormatting>
  <conditionalFormatting sqref="CH1">
    <cfRule type="expression" dxfId="1070" priority="571">
      <formula>$BI1&lt;7</formula>
    </cfRule>
  </conditionalFormatting>
  <conditionalFormatting sqref="CJ1">
    <cfRule type="expression" dxfId="1069" priority="570">
      <formula>$BI1&lt;7</formula>
    </cfRule>
  </conditionalFormatting>
  <conditionalFormatting sqref="C1:H1 AY1:DL1 J1:X1">
    <cfRule type="notContainsBlanks" dxfId="1068" priority="569">
      <formula>LEN(TRIM(C1))&gt;0</formula>
    </cfRule>
  </conditionalFormatting>
  <conditionalFormatting sqref="A1">
    <cfRule type="containsText" dxfId="1067" priority="565" operator="containsText" text="Trans.">
      <formula>NOT(ISERROR(SEARCH("Trans.",A1)))</formula>
    </cfRule>
    <cfRule type="containsText" dxfId="1066" priority="566" operator="containsText" text="Inter.">
      <formula>NOT(ISERROR(SEARCH("Inter.",A1)))</formula>
    </cfRule>
    <cfRule type="containsText" dxfId="1065" priority="567" operator="containsText" text="Tout">
      <formula>NOT(ISERROR(SEARCH("Tout",A1)))</formula>
    </cfRule>
    <cfRule type="containsText" dxfId="1064" priority="568" operator="containsText" text="Mini">
      <formula>NOT(ISERROR(SEARCH("Mini",A1)))</formula>
    </cfRule>
  </conditionalFormatting>
  <conditionalFormatting sqref="A1">
    <cfRule type="notContainsBlanks" dxfId="1063" priority="564">
      <formula>LEN(TRIM(A1))&gt;0</formula>
    </cfRule>
  </conditionalFormatting>
  <conditionalFormatting sqref="AB1:AC1">
    <cfRule type="notContainsBlanks" dxfId="1062" priority="563">
      <formula>LEN(TRIM(AB1))&gt;0</formula>
    </cfRule>
  </conditionalFormatting>
  <conditionalFormatting sqref="AD1">
    <cfRule type="notContainsBlanks" dxfId="1061" priority="562">
      <formula>LEN(TRIM(AD1))&gt;0</formula>
    </cfRule>
  </conditionalFormatting>
  <conditionalFormatting sqref="BH2:BH19 BJ2:BL19 T2:X19 AH2:AH19 AB6:AD6 G2:H19 AB2:AB5 AB8:AD9 AB7 AB14:AD14 AB10:AB13 AB17:AE17 AB15:AB16 AB19:AE19 AB18">
    <cfRule type="containsBlanks" dxfId="1060" priority="474">
      <formula>LEN(TRIM(G2))=0</formula>
    </cfRule>
    <cfRule type="cellIs" dxfId="1059" priority="559" operator="equal">
      <formula>0</formula>
    </cfRule>
  </conditionalFormatting>
  <conditionalFormatting sqref="O2:W19 H2:I19 AA6:AD6 M2:M19 AG2:AH19 AA2:AB5 AA8:AD9 AA7:AB7 AA14:AD14 AA10:AB13 AA17:AE17 AA15:AB16 AA19:AE19 AA18:AB18 AC15:AD15 AE2:AE16 AJ2:DL19">
    <cfRule type="expression" dxfId="1058" priority="357">
      <formula>$G2="Annulation"</formula>
    </cfRule>
  </conditionalFormatting>
  <conditionalFormatting sqref="BJ2:BL19 AZ2:BE19 DM2:DM19 BH2:BH19 AB6:AD6 C2:H19 J2:L19 N2:N19 U2:Z19 AG2:AH19 AJ2:AX19 AB2:AB5 AB8:AD9 AB7 AB14:AD14 AB10:AB13 AB17:AE17 AB15:AB16 AB19:AE19 AB18 AC15:AD15 AE2:AE16">
    <cfRule type="expression" dxfId="1057" priority="354">
      <formula>$G2&lt;&gt;"Annulation"</formula>
    </cfRule>
  </conditionalFormatting>
  <conditionalFormatting sqref="U2:U19">
    <cfRule type="expression" dxfId="1056" priority="414">
      <formula>$DM2="Trans."</formula>
    </cfRule>
  </conditionalFormatting>
  <conditionalFormatting sqref="P2:P19">
    <cfRule type="cellIs" dxfId="1055" priority="532" operator="equal">
      <formula>"Refus Médical"</formula>
    </cfRule>
    <cfRule type="cellIs" dxfId="1054" priority="533" operator="equal">
      <formula>"Annulé"</formula>
    </cfRule>
    <cfRule type="cellIs" dxfId="1053" priority="534" operator="equal">
      <formula>"Déjà Signé"</formula>
    </cfRule>
    <cfRule type="cellIs" dxfId="1052" priority="535" operator="equal">
      <formula>"Sans Suite"</formula>
    </cfRule>
    <cfRule type="cellIs" dxfId="1051" priority="536" operator="equal">
      <formula>"Refus"</formula>
    </cfRule>
    <cfRule type="cellIs" dxfId="1050" priority="537" operator="equal">
      <formula>"Report + Médical"</formula>
    </cfRule>
    <cfRule type="cellIs" dxfId="1049" priority="538" operator="equal">
      <formula>"Report"</formula>
    </cfRule>
    <cfRule type="cellIs" dxfId="1048" priority="539" operator="equal">
      <formula>"Signature"</formula>
    </cfRule>
    <cfRule type="cellIs" dxfId="1047" priority="540" operator="equal">
      <formula>"Contrat Papier + Mécical"</formula>
    </cfRule>
    <cfRule type="cellIs" dxfId="1046" priority="541" operator="equal">
      <formula>"Validation Médicale"</formula>
    </cfRule>
    <cfRule type="cellIs" dxfId="1045" priority="542" operator="equal">
      <formula>"Contrat Papier"</formula>
    </cfRule>
    <cfRule type="cellIs" dxfId="1044" priority="543" operator="equal">
      <formula>"Validation Compagnie"</formula>
    </cfRule>
    <cfRule type="cellIs" dxfId="1043" priority="544" operator="equal">
      <formula>"V"</formula>
    </cfRule>
  </conditionalFormatting>
  <conditionalFormatting sqref="AE17 AE19">
    <cfRule type="cellIs" dxfId="1042" priority="465" operator="equal">
      <formula>43404</formula>
    </cfRule>
  </conditionalFormatting>
  <conditionalFormatting sqref="AD6 AD8:AD9 AD14 AD17 AD19">
    <cfRule type="cellIs" dxfId="1041" priority="466" operator="equal">
      <formula>"KO"</formula>
    </cfRule>
    <cfRule type="cellIs" dxfId="1040" priority="467" operator="equal">
      <formula>"A faire"</formula>
    </cfRule>
    <cfRule type="cellIs" dxfId="1039" priority="468" operator="equal">
      <formula>"Report"</formula>
    </cfRule>
    <cfRule type="cellIs" dxfId="1038" priority="469" operator="equal">
      <formula>"Retour"</formula>
    </cfRule>
    <cfRule type="cellIs" dxfId="1037" priority="470" operator="equal">
      <formula>"Envoyée"</formula>
    </cfRule>
    <cfRule type="cellIs" dxfId="1036" priority="471" operator="equal">
      <formula>"Programmée"</formula>
    </cfRule>
    <cfRule type="cellIs" dxfId="1035" priority="472" operator="equal">
      <formula>"Reçue"</formula>
    </cfRule>
    <cfRule type="cellIs" dxfId="1034" priority="473" operator="equal">
      <formula>"OK"</formula>
    </cfRule>
  </conditionalFormatting>
  <conditionalFormatting sqref="J2:J19">
    <cfRule type="containsText" dxfId="1033" priority="545" operator="containsText" text="Autre">
      <formula>NOT(ISERROR(SEARCH("Autre",J2)))</formula>
    </cfRule>
    <cfRule type="containsText" dxfId="1032" priority="554" operator="containsText" text="Prev. Part">
      <formula>NOT(ISERROR(SEARCH("Prev. Part",J2)))</formula>
    </cfRule>
    <cfRule type="containsText" dxfId="1031" priority="555" operator="containsText" text="Santé Collective">
      <formula>NOT(ISERROR(SEARCH("Santé Collective",J2)))</formula>
    </cfRule>
    <cfRule type="containsText" dxfId="1030" priority="556" operator="containsText" text="Santé Individuelle">
      <formula>NOT(ISERROR(SEARCH("Santé Individuelle",J2)))</formula>
    </cfRule>
    <cfRule type="containsText" dxfId="1029" priority="557" operator="containsText" text="Prev. Pro">
      <formula>NOT(ISERROR(SEARCH("Prev. Pro",J2)))</formula>
    </cfRule>
  </conditionalFormatting>
  <conditionalFormatting sqref="K2:K19">
    <cfRule type="containsText" dxfId="1028" priority="546" operator="containsText" text="CEGEMA">
      <formula>NOT(ISERROR(SEARCH("CEGEMA",K2)))</formula>
    </cfRule>
    <cfRule type="containsText" dxfId="1027" priority="547" operator="containsText" text="ASAF">
      <formula>NOT(ISERROR(SEARCH("ASAF",K2)))</formula>
    </cfRule>
    <cfRule type="containsText" dxfId="1026" priority="548" operator="containsText" text="AVIVA">
      <formula>NOT(ISERROR(SEARCH("AVIVA",K2)))</formula>
    </cfRule>
    <cfRule type="containsText" dxfId="1025" priority="549" operator="containsText" text="CIPRES">
      <formula>NOT(ISERROR(SEARCH("CIPRES",K2)))</formula>
    </cfRule>
    <cfRule type="containsText" dxfId="1024" priority="550" operator="containsText" text="ALPTIS">
      <formula>NOT(ISERROR(SEARCH("ALPTIS",K2)))</formula>
    </cfRule>
    <cfRule type="containsText" dxfId="1023" priority="551" operator="containsText" text="NEOLIANE">
      <formula>NOT(ISERROR(SEARCH("NEOLIANE",K2)))</formula>
    </cfRule>
    <cfRule type="containsText" dxfId="1022" priority="552" operator="containsText" text="SWISSLIFE">
      <formula>NOT(ISERROR(SEARCH("SWISSLIFE",K2)))</formula>
    </cfRule>
    <cfRule type="containsText" dxfId="1021" priority="553" operator="containsText" text="APRIL">
      <formula>NOT(ISERROR(SEARCH("APRIL",K2)))</formula>
    </cfRule>
  </conditionalFormatting>
  <conditionalFormatting sqref="P2:P19">
    <cfRule type="containsText" dxfId="1020" priority="526" operator="containsText" text="Impayé">
      <formula>NOT(ISERROR(SEARCH("Impayé",P2)))</formula>
    </cfRule>
    <cfRule type="containsText" dxfId="1019" priority="527" operator="containsText" text="Résilié">
      <formula>NOT(ISERROR(SEARCH("Résilié",P2)))</formula>
    </cfRule>
    <cfRule type="containsText" dxfId="1018" priority="528" operator="containsText" text="Radié">
      <formula>NOT(ISERROR(SEARCH("Radié",P2)))</formula>
    </cfRule>
    <cfRule type="containsText" dxfId="1017" priority="529" operator="containsText" text="Pas Trouvé">
      <formula>NOT(ISERROR(SEARCH("Pas Trouvé",P2)))</formula>
    </cfRule>
    <cfRule type="containsText" dxfId="1016" priority="530" operator="containsText" text="A Jour">
      <formula>NOT(ISERROR(SEARCH("A Jour",P2)))</formula>
    </cfRule>
    <cfRule type="containsText" dxfId="1015" priority="531" operator="containsText" text="A Trouver">
      <formula>NOT(ISERROR(SEARCH("A Trouver",P2)))</formula>
    </cfRule>
  </conditionalFormatting>
  <conditionalFormatting sqref="AY2:AY19">
    <cfRule type="containsText" dxfId="1014" priority="520" operator="containsText" text="Sympathie">
      <formula>NOT(ISERROR(SEARCH("Sympathie",AY2)))</formula>
    </cfRule>
  </conditionalFormatting>
  <conditionalFormatting sqref="AY2:AY19">
    <cfRule type="containsText" dxfId="1013" priority="521" operator="containsText" text="Argent">
      <formula>NOT(ISERROR(SEARCH("Argent",AY2)))</formula>
    </cfRule>
    <cfRule type="containsText" dxfId="1012" priority="522" operator="containsText" text="Confort">
      <formula>NOT(ISERROR(SEARCH("Confort",AY2)))</formula>
    </cfRule>
    <cfRule type="containsText" dxfId="1011" priority="523" operator="containsText" text="Nouveauté">
      <formula>NOT(ISERROR(SEARCH("Nouveauté",AY2)))</formula>
    </cfRule>
    <cfRule type="containsText" dxfId="1010" priority="524" operator="containsText" text="Orgueil">
      <formula>NOT(ISERROR(SEARCH("Orgueil",AY2)))</formula>
    </cfRule>
    <cfRule type="containsText" dxfId="1009" priority="525" operator="containsText" text="Sécurité">
      <formula>NOT(ISERROR(SEARCH("Sécurité",AY2)))</formula>
    </cfRule>
  </conditionalFormatting>
  <conditionalFormatting sqref="DM2:DM19">
    <cfRule type="containsText" dxfId="1008" priority="518" operator="containsText" text="Tout">
      <formula>NOT(ISERROR(SEARCH("Tout",DM2)))</formula>
    </cfRule>
    <cfRule type="containsText" dxfId="1007" priority="519" operator="containsText" text="Mini">
      <formula>NOT(ISERROR(SEARCH("Mini",DM2)))</formula>
    </cfRule>
  </conditionalFormatting>
  <conditionalFormatting sqref="DM2:DM19">
    <cfRule type="containsText" dxfId="1006" priority="517" operator="containsText" text="Inter.">
      <formula>NOT(ISERROR(SEARCH("Inter.",DM2)))</formula>
    </cfRule>
  </conditionalFormatting>
  <conditionalFormatting sqref="DM2:DM19">
    <cfRule type="containsText" dxfId="1005" priority="463" operator="containsText" text="Trans.">
      <formula>NOT(ISERROR(SEARCH("Trans.",DM2)))</formula>
    </cfRule>
  </conditionalFormatting>
  <conditionalFormatting sqref="F2:F19 N2:O19 AY2:BE19 Q2:S19">
    <cfRule type="cellIs" dxfId="1004" priority="516" operator="equal">
      <formula>0</formula>
    </cfRule>
    <cfRule type="containsBlanks" dxfId="1003" priority="558">
      <formula>LEN(TRIM(F2))=0</formula>
    </cfRule>
  </conditionalFormatting>
  <conditionalFormatting sqref="BL2:BL19 Q2:R19 BO2:BO19 BR2:BR19 BU2:BU19 BX2:BX19 CA2:CA19 CD2:CD19 CG2:CG19 CJ2:CJ19 V2:W19 AA2:AA19 I2:I19 AQ2:AR19 AO2:AO19 AT2:AU19 AW2:AX19 AL2:AL19 AG2:AH19 AJ2:AJ19">
    <cfRule type="expression" dxfId="1002" priority="359">
      <formula>$DM2="Trans."</formula>
    </cfRule>
  </conditionalFormatting>
  <conditionalFormatting sqref="CR2:CS19 CV2:CV19 DB2:DB19 DE2:DF19 DH2:DI19 DL2:DL19">
    <cfRule type="expression" dxfId="1001" priority="515">
      <formula>$J2="Prev. Pro"</formula>
    </cfRule>
  </conditionalFormatting>
  <conditionalFormatting sqref="CY2:CY19">
    <cfRule type="expression" dxfId="1000" priority="514">
      <formula>$J2="Prev. Pro"</formula>
    </cfRule>
  </conditionalFormatting>
  <conditionalFormatting sqref="DJ2:DK19 DG2:DG19 DC2:DD19 CZ2:DA19 CW2:CX19 CU2:CU19">
    <cfRule type="expression" dxfId="999" priority="513">
      <formula>$J2="Prev. Pro"</formula>
    </cfRule>
  </conditionalFormatting>
  <conditionalFormatting sqref="CK2:CQ19">
    <cfRule type="expression" dxfId="998" priority="512" stopIfTrue="1">
      <formula>$J2="Santé Individuelle"</formula>
    </cfRule>
  </conditionalFormatting>
  <conditionalFormatting sqref="CT2:CT19">
    <cfRule type="expression" dxfId="997" priority="511">
      <formula>$J2="Prev. Pro"</formula>
    </cfRule>
  </conditionalFormatting>
  <conditionalFormatting sqref="CT2:CT19">
    <cfRule type="expression" dxfId="996" priority="426">
      <formula>$DM2="Trans."</formula>
    </cfRule>
  </conditionalFormatting>
  <conditionalFormatting sqref="C2:E19">
    <cfRule type="expression" dxfId="995" priority="502">
      <formula>$G2="Annulation"</formula>
    </cfRule>
  </conditionalFormatting>
  <conditionalFormatting sqref="C2:E19">
    <cfRule type="expression" dxfId="994" priority="503">
      <formula>$J2="Prev. Pro"</formula>
    </cfRule>
    <cfRule type="expression" dxfId="993" priority="504">
      <formula>$J2&lt;&gt;"Santé Individuelle"</formula>
    </cfRule>
  </conditionalFormatting>
  <conditionalFormatting sqref="X2:Y19">
    <cfRule type="expression" dxfId="992" priority="501">
      <formula>$P2="Annulé"</formula>
    </cfRule>
  </conditionalFormatting>
  <conditionalFormatting sqref="CI2:CI19 CF2:CF19 CC2:CC19 BZ2:BZ19 BW2:BW19 BT2:BT19 BQ2:BQ19 BI2:BI19 BN2:BN19">
    <cfRule type="expression" dxfId="991" priority="509">
      <formula>$J2="Santé Individuelle"</formula>
    </cfRule>
  </conditionalFormatting>
  <conditionalFormatting sqref="BQ2:BQ19">
    <cfRule type="expression" dxfId="990" priority="500">
      <formula>$BI2=0</formula>
    </cfRule>
  </conditionalFormatting>
  <conditionalFormatting sqref="BP2:BP19 BR2:BR19">
    <cfRule type="expression" dxfId="989" priority="499">
      <formula>$BI2=0</formula>
    </cfRule>
  </conditionalFormatting>
  <conditionalFormatting sqref="BT2:BT19">
    <cfRule type="expression" dxfId="988" priority="497">
      <formula>$BI2&lt;2</formula>
    </cfRule>
  </conditionalFormatting>
  <conditionalFormatting sqref="BS2:BS19 BU2:BU19">
    <cfRule type="expression" dxfId="987" priority="498">
      <formula>$BI2&lt;2</formula>
    </cfRule>
  </conditionalFormatting>
  <conditionalFormatting sqref="BW2:BW19">
    <cfRule type="expression" dxfId="986" priority="495">
      <formula>$BI2&lt;3</formula>
    </cfRule>
  </conditionalFormatting>
  <conditionalFormatting sqref="BV2:BV19 BX2:BX19">
    <cfRule type="expression" dxfId="985" priority="496">
      <formula>$BI2&lt;3</formula>
    </cfRule>
  </conditionalFormatting>
  <conditionalFormatting sqref="BZ2:BZ19">
    <cfRule type="expression" dxfId="984" priority="493">
      <formula>$BI2&lt;4</formula>
    </cfRule>
  </conditionalFormatting>
  <conditionalFormatting sqref="BY2:BY19 CA2:CA19">
    <cfRule type="expression" dxfId="983" priority="494">
      <formula>$BI2&lt;4</formula>
    </cfRule>
  </conditionalFormatting>
  <conditionalFormatting sqref="CC2:CC19">
    <cfRule type="expression" dxfId="982" priority="491">
      <formula>$BI2&lt;5</formula>
    </cfRule>
  </conditionalFormatting>
  <conditionalFormatting sqref="CB2:CB19 CD2:CD19">
    <cfRule type="expression" dxfId="981" priority="492">
      <formula>$BI2&lt;5</formula>
    </cfRule>
  </conditionalFormatting>
  <conditionalFormatting sqref="CF2:CF19">
    <cfRule type="expression" dxfId="980" priority="489">
      <formula>$BI2&lt;6</formula>
    </cfRule>
  </conditionalFormatting>
  <conditionalFormatting sqref="CE2:CE19 CG2:CG19">
    <cfRule type="expression" dxfId="979" priority="490">
      <formula>$BI2&lt;6</formula>
    </cfRule>
  </conditionalFormatting>
  <conditionalFormatting sqref="CI2:CI19">
    <cfRule type="expression" dxfId="978" priority="487">
      <formula>$BI2&lt;7</formula>
    </cfRule>
  </conditionalFormatting>
  <conditionalFormatting sqref="CH2:CH19 CJ2:CJ19">
    <cfRule type="expression" dxfId="977" priority="488">
      <formula>$BI2&lt;7</formula>
    </cfRule>
  </conditionalFormatting>
  <conditionalFormatting sqref="BJ2:BK19">
    <cfRule type="containsBlanks" dxfId="976" priority="486">
      <formula>LEN(TRIM(BJ2))=0</formula>
    </cfRule>
  </conditionalFormatting>
  <conditionalFormatting sqref="BF2:BF19">
    <cfRule type="expression" dxfId="975" priority="485">
      <formula>$J2="Santé Individuelle"</formula>
    </cfRule>
  </conditionalFormatting>
  <conditionalFormatting sqref="BG2:BG19">
    <cfRule type="expression" dxfId="974" priority="484">
      <formula>$BH2=1</formula>
    </cfRule>
  </conditionalFormatting>
  <conditionalFormatting sqref="CQ2:CQ19">
    <cfRule type="expression" dxfId="973" priority="483">
      <formula>$J2="Santé Individuelle"</formula>
    </cfRule>
  </conditionalFormatting>
  <conditionalFormatting sqref="J2:J19 DM2:DM19 X2:X19 AF2:AF19 G2:G19 L2:N19">
    <cfRule type="expression" dxfId="972" priority="482">
      <formula>$G2="Annulation"</formula>
    </cfRule>
  </conditionalFormatting>
  <conditionalFormatting sqref="BM2:BM19">
    <cfRule type="expression" dxfId="971" priority="481">
      <formula>$BH2&lt;=1</formula>
    </cfRule>
  </conditionalFormatting>
  <conditionalFormatting sqref="BN2:BN19">
    <cfRule type="expression" dxfId="970" priority="480">
      <formula>$BH2&lt;=1</formula>
    </cfRule>
  </conditionalFormatting>
  <conditionalFormatting sqref="BO2:BO19">
    <cfRule type="expression" dxfId="969" priority="479">
      <formula>$BH2&lt;=1</formula>
    </cfRule>
  </conditionalFormatting>
  <conditionalFormatting sqref="DN2:DN19">
    <cfRule type="containsText" dxfId="968" priority="478" operator="containsText" text="OK">
      <formula>NOT(ISERROR(SEARCH("OK",DN2)))</formula>
    </cfRule>
  </conditionalFormatting>
  <conditionalFormatting sqref="DN2:DN19">
    <cfRule type="containsText" dxfId="967" priority="477" operator="containsText" text="Mini">
      <formula>NOT(ISERROR(SEARCH("Mini",DN2)))</formula>
    </cfRule>
  </conditionalFormatting>
  <conditionalFormatting sqref="DN2:DN19">
    <cfRule type="containsText" dxfId="966" priority="476" operator="containsText" text="KO">
      <formula>NOT(ISERROR(SEARCH("KO",DN2)))</formula>
    </cfRule>
  </conditionalFormatting>
  <conditionalFormatting sqref="AC6:AD6 AC8:AD9 AC17:AE17 AC19:AE19 AC14:AD15 AE2:AE16">
    <cfRule type="expression" dxfId="965" priority="415">
      <formula>$AB2="X"</formula>
    </cfRule>
  </conditionalFormatting>
  <conditionalFormatting sqref="AE17 AE19">
    <cfRule type="expression" dxfId="964" priority="412">
      <formula>$AD17&lt;&gt;"Programmée"</formula>
    </cfRule>
  </conditionalFormatting>
  <conditionalFormatting sqref="AY2:AY19 R2:S19 AA2:AA19 I2:I19 M2:M19">
    <cfRule type="expression" dxfId="963" priority="450">
      <formula>$G2&lt;&gt;"Annulation"</formula>
    </cfRule>
  </conditionalFormatting>
  <conditionalFormatting sqref="O2:T19">
    <cfRule type="expression" dxfId="962" priority="510">
      <formula>$G2&lt;&gt;"Annulation"</formula>
    </cfRule>
  </conditionalFormatting>
  <conditionalFormatting sqref="DM1:DN1">
    <cfRule type="notContainsBlanks" dxfId="961" priority="454">
      <formula>LEN(TRIM(DM1))&gt;0</formula>
    </cfRule>
  </conditionalFormatting>
  <conditionalFormatting sqref="Z2:Z19">
    <cfRule type="expression" dxfId="960" priority="453">
      <formula>$AA2&lt;31</formula>
    </cfRule>
  </conditionalFormatting>
  <conditionalFormatting sqref="Z2:Z19">
    <cfRule type="expression" dxfId="959" priority="452">
      <formula>$AA2&gt;122</formula>
    </cfRule>
  </conditionalFormatting>
  <conditionalFormatting sqref="AA2:AA19 I2:I19">
    <cfRule type="containsBlanks" dxfId="958" priority="451">
      <formula>LEN(TRIM(I2))=0</formula>
    </cfRule>
    <cfRule type="cellIs" dxfId="957" priority="461" operator="lessThan">
      <formula>31</formula>
    </cfRule>
  </conditionalFormatting>
  <conditionalFormatting sqref="AA2:AA19 I2:I19">
    <cfRule type="expression" dxfId="956" priority="462">
      <formula>$AA2&gt;122</formula>
    </cfRule>
  </conditionalFormatting>
  <conditionalFormatting sqref="Y1:Z1">
    <cfRule type="notContainsBlanks" dxfId="955" priority="448">
      <formula>LEN(TRIM(Y1))&gt;0</formula>
    </cfRule>
  </conditionalFormatting>
  <conditionalFormatting sqref="I1">
    <cfRule type="expression" dxfId="954" priority="441">
      <formula>$G1&lt;&gt;"Annulation"</formula>
    </cfRule>
  </conditionalFormatting>
  <conditionalFormatting sqref="I1">
    <cfRule type="expression" dxfId="953" priority="442">
      <formula>$G1="Annulation"</formula>
    </cfRule>
  </conditionalFormatting>
  <conditionalFormatting sqref="I1">
    <cfRule type="containsBlanks" dxfId="952" priority="443">
      <formula>LEN(TRIM(I1))=0</formula>
    </cfRule>
    <cfRule type="cellIs" dxfId="951" priority="444" operator="lessThan">
      <formula>31</formula>
    </cfRule>
  </conditionalFormatting>
  <conditionalFormatting sqref="I1">
    <cfRule type="expression" dxfId="950" priority="445">
      <formula>$AA1&gt;122</formula>
    </cfRule>
  </conditionalFormatting>
  <conditionalFormatting sqref="AN1:AX1">
    <cfRule type="notContainsBlanks" dxfId="949" priority="459">
      <formula>LEN(TRIM(AN1))&gt;0</formula>
    </cfRule>
  </conditionalFormatting>
  <conditionalFormatting sqref="AM1">
    <cfRule type="notContainsBlanks" dxfId="948" priority="433">
      <formula>LEN(TRIM(AM1))&gt;0</formula>
    </cfRule>
  </conditionalFormatting>
  <conditionalFormatting sqref="AE1">
    <cfRule type="notContainsBlanks" dxfId="947" priority="431">
      <formula>LEN(TRIM(AE1))&gt;0</formula>
    </cfRule>
  </conditionalFormatting>
  <conditionalFormatting sqref="AG1">
    <cfRule type="notContainsBlanks" dxfId="946" priority="429">
      <formula>LEN(TRIM(AG1))&gt;0</formula>
    </cfRule>
  </conditionalFormatting>
  <conditionalFormatting sqref="AK1">
    <cfRule type="notContainsBlanks" dxfId="945" priority="428">
      <formula>LEN(TRIM(AK1))&gt;0</formula>
    </cfRule>
  </conditionalFormatting>
  <conditionalFormatting sqref="AF1">
    <cfRule type="notContainsBlanks" dxfId="944" priority="427">
      <formula>LEN(TRIM(AF1))&gt;0</formula>
    </cfRule>
  </conditionalFormatting>
  <conditionalFormatting sqref="AF2:AF19">
    <cfRule type="containsBlanks" dxfId="943" priority="423">
      <formula>LEN(TRIM(AF2))=0</formula>
    </cfRule>
    <cfRule type="cellIs" dxfId="942" priority="424" operator="equal">
      <formula>0</formula>
    </cfRule>
  </conditionalFormatting>
  <conditionalFormatting sqref="AF2:AF19">
    <cfRule type="expression" dxfId="941" priority="425">
      <formula>$AB2="X"</formula>
    </cfRule>
  </conditionalFormatting>
  <conditionalFormatting sqref="AF2:AF19">
    <cfRule type="expression" dxfId="940" priority="422">
      <formula>$AE2&lt;&gt;"Programmée"</formula>
    </cfRule>
  </conditionalFormatting>
  <conditionalFormatting sqref="AI1">
    <cfRule type="notContainsBlanks" dxfId="939" priority="419">
      <formula>LEN(TRIM(AI1))&gt;0</formula>
    </cfRule>
  </conditionalFormatting>
  <conditionalFormatting sqref="AJ1">
    <cfRule type="notContainsBlanks" dxfId="938" priority="417">
      <formula>LEN(TRIM(AJ1))&gt;0</formula>
    </cfRule>
  </conditionalFormatting>
  <conditionalFormatting sqref="AG2:AG19">
    <cfRule type="containsBlanks" dxfId="937" priority="449">
      <formula>LEN(TRIM(AG2))=0</formula>
    </cfRule>
    <cfRule type="cellIs" dxfId="936" priority="460" operator="equal">
      <formula>0</formula>
    </cfRule>
  </conditionalFormatting>
  <conditionalFormatting sqref="AH2:AH19">
    <cfRule type="cellIs" dxfId="935" priority="464" operator="greaterThanOrEqual">
      <formula>2</formula>
    </cfRule>
    <cfRule type="cellIs" dxfId="934" priority="560" operator="between">
      <formula>1</formula>
      <formula>1.99999999999999</formula>
    </cfRule>
    <cfRule type="cellIs" dxfId="933" priority="561" operator="lessThan">
      <formula>1</formula>
    </cfRule>
  </conditionalFormatting>
  <conditionalFormatting sqref="AH1">
    <cfRule type="notContainsBlanks" dxfId="932" priority="411">
      <formula>LEN(TRIM(AH1))&gt;0</formula>
    </cfRule>
  </conditionalFormatting>
  <conditionalFormatting sqref="AL1">
    <cfRule type="notContainsBlanks" dxfId="931" priority="409">
      <formula>LEN(TRIM(AL1))&gt;0</formula>
    </cfRule>
  </conditionalFormatting>
  <conditionalFormatting sqref="AA1">
    <cfRule type="notContainsBlanks" dxfId="930" priority="407">
      <formula>LEN(TRIM(AA1))&gt;0</formula>
    </cfRule>
  </conditionalFormatting>
  <conditionalFormatting sqref="AL2:AL19">
    <cfRule type="containsBlanks" dxfId="929" priority="402">
      <formula>LEN(TRIM(AL2))=0</formula>
    </cfRule>
    <cfRule type="cellIs" dxfId="928" priority="403" operator="equal">
      <formula>0</formula>
    </cfRule>
  </conditionalFormatting>
  <conditionalFormatting sqref="AM2:AM19 AO2:AO19">
    <cfRule type="expression" dxfId="927" priority="397">
      <formula>$Z2&gt;=42736</formula>
    </cfRule>
  </conditionalFormatting>
  <conditionalFormatting sqref="AQ2:AR19 AN2:AO19">
    <cfRule type="expression" dxfId="926" priority="348">
      <formula>$Z2&gt;=(42736+365)</formula>
    </cfRule>
  </conditionalFormatting>
  <conditionalFormatting sqref="AT2:AU19 AP2:AP19">
    <cfRule type="expression" dxfId="925" priority="349">
      <formula>$Z2&gt;=(42736+365+365)</formula>
    </cfRule>
  </conditionalFormatting>
  <conditionalFormatting sqref="AW2:AX19 AS2:AS19">
    <cfRule type="expression" dxfId="924" priority="345">
      <formula>$Z2&gt;=(42736+365+365+365)</formula>
    </cfRule>
  </conditionalFormatting>
  <conditionalFormatting sqref="AO2:AO19">
    <cfRule type="cellIs" dxfId="923" priority="391" operator="greaterThan">
      <formula>0</formula>
    </cfRule>
    <cfRule type="cellIs" dxfId="922" priority="392" operator="lessThan">
      <formula>0</formula>
    </cfRule>
  </conditionalFormatting>
  <conditionalFormatting sqref="AO2:AO19">
    <cfRule type="cellIs" dxfId="921" priority="390" operator="equal">
      <formula>-1</formula>
    </cfRule>
  </conditionalFormatting>
  <conditionalFormatting sqref="AQ2:AQ19">
    <cfRule type="cellIs" dxfId="920" priority="388" operator="greaterThan">
      <formula>0</formula>
    </cfRule>
    <cfRule type="cellIs" dxfId="919" priority="389" operator="lessThan">
      <formula>0</formula>
    </cfRule>
  </conditionalFormatting>
  <conditionalFormatting sqref="AQ2:AQ19">
    <cfRule type="cellIs" dxfId="918" priority="387" operator="equal">
      <formula>-1</formula>
    </cfRule>
  </conditionalFormatting>
  <conditionalFormatting sqref="AR2:AR19">
    <cfRule type="cellIs" dxfId="917" priority="381" operator="equal">
      <formula>-1</formula>
    </cfRule>
    <cfRule type="cellIs" dxfId="916" priority="382" operator="greaterThan">
      <formula>0.5</formula>
    </cfRule>
    <cfRule type="cellIs" dxfId="915" priority="383" operator="between">
      <formula>0.25</formula>
      <formula>0.5</formula>
    </cfRule>
    <cfRule type="cellIs" dxfId="914" priority="384" operator="between">
      <formula>0.1</formula>
      <formula>0.25</formula>
    </cfRule>
    <cfRule type="cellIs" dxfId="913" priority="385" operator="lessThanOrEqual">
      <formula>0</formula>
    </cfRule>
    <cfRule type="cellIs" dxfId="912" priority="386" operator="between">
      <formula>0</formula>
      <formula>0.1</formula>
    </cfRule>
  </conditionalFormatting>
  <conditionalFormatting sqref="AT2:AT19">
    <cfRule type="cellIs" dxfId="911" priority="379" operator="greaterThan">
      <formula>0</formula>
    </cfRule>
    <cfRule type="cellIs" dxfId="910" priority="380" operator="lessThan">
      <formula>0</formula>
    </cfRule>
  </conditionalFormatting>
  <conditionalFormatting sqref="AT2:AT19">
    <cfRule type="cellIs" dxfId="909" priority="378" operator="equal">
      <formula>-1</formula>
    </cfRule>
  </conditionalFormatting>
  <conditionalFormatting sqref="AU2:AU19">
    <cfRule type="cellIs" dxfId="908" priority="372" operator="equal">
      <formula>-1</formula>
    </cfRule>
    <cfRule type="cellIs" dxfId="907" priority="373" operator="greaterThan">
      <formula>0.5</formula>
    </cfRule>
    <cfRule type="cellIs" dxfId="906" priority="374" operator="between">
      <formula>0.25</formula>
      <formula>0.5</formula>
    </cfRule>
    <cfRule type="cellIs" dxfId="905" priority="375" operator="between">
      <formula>0.1</formula>
      <formula>0.25</formula>
    </cfRule>
    <cfRule type="cellIs" dxfId="904" priority="376" operator="lessThanOrEqual">
      <formula>0</formula>
    </cfRule>
    <cfRule type="cellIs" dxfId="903" priority="377" operator="between">
      <formula>0</formula>
      <formula>0.1</formula>
    </cfRule>
  </conditionalFormatting>
  <conditionalFormatting sqref="AW2:AW19">
    <cfRule type="cellIs" dxfId="902" priority="370" operator="greaterThan">
      <formula>0</formula>
    </cfRule>
    <cfRule type="cellIs" dxfId="901" priority="371" operator="lessThan">
      <formula>0</formula>
    </cfRule>
  </conditionalFormatting>
  <conditionalFormatting sqref="AW2:AW19">
    <cfRule type="cellIs" dxfId="900" priority="369" operator="equal">
      <formula>-1</formula>
    </cfRule>
  </conditionalFormatting>
  <conditionalFormatting sqref="AX2:AX19">
    <cfRule type="cellIs" dxfId="899" priority="363" operator="equal">
      <formula>-1</formula>
    </cfRule>
    <cfRule type="cellIs" dxfId="898" priority="364" operator="greaterThan">
      <formula>0.5</formula>
    </cfRule>
    <cfRule type="cellIs" dxfId="897" priority="365" operator="between">
      <formula>0.25</formula>
      <formula>0.5</formula>
    </cfRule>
    <cfRule type="cellIs" dxfId="896" priority="366" operator="between">
      <formula>0.1</formula>
      <formula>0.25</formula>
    </cfRule>
    <cfRule type="cellIs" dxfId="895" priority="367" operator="lessThanOrEqual">
      <formula>0</formula>
    </cfRule>
    <cfRule type="cellIs" dxfId="894" priority="368" operator="between">
      <formula>0</formula>
      <formula>0.1</formula>
    </cfRule>
  </conditionalFormatting>
  <conditionalFormatting sqref="AN2:AX19">
    <cfRule type="containsBlanks" dxfId="893" priority="394">
      <formula>LEN(TRIM(AN2))=0</formula>
    </cfRule>
    <cfRule type="cellIs" dxfId="892" priority="395" operator="equal">
      <formula>0</formula>
    </cfRule>
  </conditionalFormatting>
  <conditionalFormatting sqref="AN2:AX19">
    <cfRule type="cellIs" dxfId="891" priority="393" operator="equal">
      <formula>0</formula>
    </cfRule>
    <cfRule type="containsBlanks" dxfId="890" priority="396">
      <formula>LEN(TRIM(AN2))=0</formula>
    </cfRule>
  </conditionalFormatting>
  <conditionalFormatting sqref="AT2:AU19 AQ2:AR19 AO2:AO19 AW2:AX19">
    <cfRule type="cellIs" dxfId="889" priority="360" operator="equal">
      <formula>0</formula>
    </cfRule>
    <cfRule type="containsBlanks" dxfId="888" priority="361">
      <formula>LEN(TRIM(AO2))=0</formula>
    </cfRule>
    <cfRule type="cellIs" dxfId="887" priority="362" operator="equal">
      <formula>-1</formula>
    </cfRule>
  </conditionalFormatting>
  <conditionalFormatting sqref="AM2:AM19">
    <cfRule type="containsBlanks" dxfId="886" priority="398">
      <formula>LEN(TRIM(AM2))=0</formula>
    </cfRule>
    <cfRule type="cellIs" dxfId="885" priority="399" operator="equal">
      <formula>0</formula>
    </cfRule>
  </conditionalFormatting>
  <conditionalFormatting sqref="AM2:AM19">
    <cfRule type="cellIs" dxfId="884" priority="400" operator="equal">
      <formula>0</formula>
    </cfRule>
    <cfRule type="containsBlanks" dxfId="883" priority="401">
      <formula>LEN(TRIM(AM2))=0</formula>
    </cfRule>
  </conditionalFormatting>
  <conditionalFormatting sqref="AK2:AK19">
    <cfRule type="expression" dxfId="882" priority="404">
      <formula>$AK2-TODAY()&lt;30</formula>
    </cfRule>
  </conditionalFormatting>
  <conditionalFormatting sqref="AK2:AK19">
    <cfRule type="containsBlanks" dxfId="881" priority="353">
      <formula>LEN(TRIM(AK2))=0</formula>
    </cfRule>
  </conditionalFormatting>
  <conditionalFormatting sqref="AJ2:AJ19">
    <cfRule type="containsBlanks" dxfId="880" priority="350">
      <formula>LEN(TRIM(AJ2))=0</formula>
    </cfRule>
    <cfRule type="cellIs" dxfId="879" priority="351" operator="equal">
      <formula>0</formula>
    </cfRule>
  </conditionalFormatting>
  <conditionalFormatting sqref="AL2:AL19">
    <cfRule type="cellIs" dxfId="878" priority="413" operator="greaterThanOrEqual">
      <formula>2</formula>
    </cfRule>
    <cfRule type="cellIs" dxfId="877" priority="437" operator="between">
      <formula>1</formula>
      <formula>1.99999999999999</formula>
    </cfRule>
    <cfRule type="cellIs" dxfId="876" priority="438" operator="lessThan">
      <formula>1</formula>
    </cfRule>
  </conditionalFormatting>
  <conditionalFormatting sqref="AJ2:AK19">
    <cfRule type="expression" dxfId="875" priority="347">
      <formula>$G2="Annulation"</formula>
    </cfRule>
  </conditionalFormatting>
  <conditionalFormatting sqref="M2:M19">
    <cfRule type="cellIs" dxfId="874" priority="343" operator="greaterThan">
      <formula>0</formula>
    </cfRule>
  </conditionalFormatting>
  <conditionalFormatting sqref="Y2:Y19">
    <cfRule type="containsBlanks" dxfId="873" priority="337">
      <formula>LEN(TRIM(Y2))=0</formula>
    </cfRule>
    <cfRule type="cellIs" dxfId="872" priority="338" operator="equal">
      <formula>0</formula>
    </cfRule>
  </conditionalFormatting>
  <conditionalFormatting sqref="AI2:AI19">
    <cfRule type="expression" dxfId="871" priority="106">
      <formula>$G2="Annulation"</formula>
    </cfRule>
  </conditionalFormatting>
  <conditionalFormatting sqref="AI2:AI19">
    <cfRule type="expression" dxfId="870" priority="107">
      <formula>$G2&lt;&gt;"Annulation"</formula>
    </cfRule>
  </conditionalFormatting>
  <conditionalFormatting sqref="AI2:AI19">
    <cfRule type="expression" dxfId="869" priority="102">
      <formula>$DM2="Trans."</formula>
    </cfRule>
  </conditionalFormatting>
  <conditionalFormatting sqref="AI2:AI19">
    <cfRule type="containsBlanks" dxfId="868" priority="104">
      <formula>LEN(TRIM(AI2))=0</formula>
    </cfRule>
    <cfRule type="cellIs" dxfId="867" priority="105" operator="equal">
      <formula>0</formula>
    </cfRule>
  </conditionalFormatting>
  <conditionalFormatting sqref="AI2:AI19">
    <cfRule type="expression" dxfId="866" priority="103">
      <formula>$G2="Annulation"</formula>
    </cfRule>
  </conditionalFormatting>
  <conditionalFormatting sqref="AD2:AD5">
    <cfRule type="cellIs" dxfId="865" priority="92" operator="equal">
      <formula>"KO"</formula>
    </cfRule>
    <cfRule type="cellIs" dxfId="864" priority="93" operator="equal">
      <formula>"A faire"</formula>
    </cfRule>
    <cfRule type="cellIs" dxfId="863" priority="94" operator="equal">
      <formula>"Report"</formula>
    </cfRule>
    <cfRule type="cellIs" dxfId="862" priority="95" operator="equal">
      <formula>"Retour"</formula>
    </cfRule>
    <cfRule type="cellIs" dxfId="861" priority="96" operator="equal">
      <formula>"Envoyée"</formula>
    </cfRule>
    <cfRule type="cellIs" dxfId="860" priority="97" operator="equal">
      <formula>"Programmée"</formula>
    </cfRule>
    <cfRule type="cellIs" dxfId="859" priority="98" operator="equal">
      <formula>"Reçue"</formula>
    </cfRule>
    <cfRule type="cellIs" dxfId="858" priority="99" operator="equal">
      <formula>"OK"</formula>
    </cfRule>
  </conditionalFormatting>
  <conditionalFormatting sqref="AC2:AD5">
    <cfRule type="containsBlanks" dxfId="857" priority="91">
      <formula>LEN(TRIM(AC2))=0</formula>
    </cfRule>
    <cfRule type="cellIs" dxfId="856" priority="101" operator="equal">
      <formula>0</formula>
    </cfRule>
  </conditionalFormatting>
  <conditionalFormatting sqref="AC2:AD5">
    <cfRule type="expression" dxfId="855" priority="89">
      <formula>$G2="Annulation"</formula>
    </cfRule>
  </conditionalFormatting>
  <conditionalFormatting sqref="AC2:AD5">
    <cfRule type="expression" dxfId="854" priority="88">
      <formula>$G2&lt;&gt;"Annulation"</formula>
    </cfRule>
  </conditionalFormatting>
  <conditionalFormatting sqref="AC2:AD5">
    <cfRule type="expression" dxfId="853" priority="87">
      <formula>$AB2="X"</formula>
    </cfRule>
  </conditionalFormatting>
  <conditionalFormatting sqref="AD7">
    <cfRule type="cellIs" dxfId="852" priority="77" operator="equal">
      <formula>"KO"</formula>
    </cfRule>
    <cfRule type="cellIs" dxfId="851" priority="78" operator="equal">
      <formula>"A faire"</formula>
    </cfRule>
    <cfRule type="cellIs" dxfId="850" priority="79" operator="equal">
      <formula>"Report"</formula>
    </cfRule>
    <cfRule type="cellIs" dxfId="849" priority="80" operator="equal">
      <formula>"Retour"</formula>
    </cfRule>
    <cfRule type="cellIs" dxfId="848" priority="81" operator="equal">
      <formula>"Envoyée"</formula>
    </cfRule>
    <cfRule type="cellIs" dxfId="847" priority="82" operator="equal">
      <formula>"Programmée"</formula>
    </cfRule>
    <cfRule type="cellIs" dxfId="846" priority="83" operator="equal">
      <formula>"Reçue"</formula>
    </cfRule>
    <cfRule type="cellIs" dxfId="845" priority="84" operator="equal">
      <formula>"OK"</formula>
    </cfRule>
  </conditionalFormatting>
  <conditionalFormatting sqref="AC7:AD7">
    <cfRule type="containsBlanks" dxfId="844" priority="76">
      <formula>LEN(TRIM(AC7))=0</formula>
    </cfRule>
    <cfRule type="cellIs" dxfId="843" priority="86" operator="equal">
      <formula>0</formula>
    </cfRule>
  </conditionalFormatting>
  <conditionalFormatting sqref="AC7:AD7">
    <cfRule type="expression" dxfId="842" priority="74">
      <formula>$G7="Annulation"</formula>
    </cfRule>
  </conditionalFormatting>
  <conditionalFormatting sqref="AC7:AD7">
    <cfRule type="expression" dxfId="841" priority="73">
      <formula>$G7&lt;&gt;"Annulation"</formula>
    </cfRule>
  </conditionalFormatting>
  <conditionalFormatting sqref="AC7:AD7">
    <cfRule type="expression" dxfId="840" priority="72">
      <formula>$AB7="X"</formula>
    </cfRule>
  </conditionalFormatting>
  <conditionalFormatting sqref="AD10:AD13">
    <cfRule type="cellIs" dxfId="839" priority="62" operator="equal">
      <formula>"KO"</formula>
    </cfRule>
    <cfRule type="cellIs" dxfId="838" priority="63" operator="equal">
      <formula>"A faire"</formula>
    </cfRule>
    <cfRule type="cellIs" dxfId="837" priority="64" operator="equal">
      <formula>"Report"</formula>
    </cfRule>
    <cfRule type="cellIs" dxfId="836" priority="65" operator="equal">
      <formula>"Retour"</formula>
    </cfRule>
    <cfRule type="cellIs" dxfId="835" priority="66" operator="equal">
      <formula>"Envoyée"</formula>
    </cfRule>
    <cfRule type="cellIs" dxfId="834" priority="67" operator="equal">
      <formula>"Programmée"</formula>
    </cfRule>
    <cfRule type="cellIs" dxfId="833" priority="68" operator="equal">
      <formula>"Reçue"</formula>
    </cfRule>
    <cfRule type="cellIs" dxfId="832" priority="69" operator="equal">
      <formula>"OK"</formula>
    </cfRule>
  </conditionalFormatting>
  <conditionalFormatting sqref="AC10:AD13">
    <cfRule type="containsBlanks" dxfId="831" priority="61">
      <formula>LEN(TRIM(AC10))=0</formula>
    </cfRule>
    <cfRule type="cellIs" dxfId="830" priority="71" operator="equal">
      <formula>0</formula>
    </cfRule>
  </conditionalFormatting>
  <conditionalFormatting sqref="AC10:AD13">
    <cfRule type="expression" dxfId="829" priority="59">
      <formula>$G10="Annulation"</formula>
    </cfRule>
  </conditionalFormatting>
  <conditionalFormatting sqref="AC10:AD13">
    <cfRule type="expression" dxfId="828" priority="58">
      <formula>$G10&lt;&gt;"Annulation"</formula>
    </cfRule>
  </conditionalFormatting>
  <conditionalFormatting sqref="AC10:AD13">
    <cfRule type="expression" dxfId="827" priority="57">
      <formula>$AB10="X"</formula>
    </cfRule>
  </conditionalFormatting>
  <conditionalFormatting sqref="AE2:AE16">
    <cfRule type="cellIs" dxfId="826" priority="55" operator="equal">
      <formula>43404</formula>
    </cfRule>
  </conditionalFormatting>
  <conditionalFormatting sqref="AD15:AD16">
    <cfRule type="cellIs" dxfId="825" priority="47" operator="equal">
      <formula>"KO"</formula>
    </cfRule>
    <cfRule type="cellIs" dxfId="824" priority="48" operator="equal">
      <formula>"A faire"</formula>
    </cfRule>
    <cfRule type="cellIs" dxfId="823" priority="49" operator="equal">
      <formula>"Report"</formula>
    </cfRule>
    <cfRule type="cellIs" dxfId="822" priority="50" operator="equal">
      <formula>"Retour"</formula>
    </cfRule>
    <cfRule type="cellIs" dxfId="821" priority="51" operator="equal">
      <formula>"Envoyée"</formula>
    </cfRule>
    <cfRule type="cellIs" dxfId="820" priority="52" operator="equal">
      <formula>"Programmée"</formula>
    </cfRule>
    <cfRule type="cellIs" dxfId="819" priority="53" operator="equal">
      <formula>"Reçue"</formula>
    </cfRule>
    <cfRule type="cellIs" dxfId="818" priority="54" operator="equal">
      <formula>"OK"</formula>
    </cfRule>
  </conditionalFormatting>
  <conditionalFormatting sqref="AC16:AE16 AC15:AD15 AE2:AE16">
    <cfRule type="containsBlanks" dxfId="817" priority="46">
      <formula>LEN(TRIM(AC2))=0</formula>
    </cfRule>
    <cfRule type="cellIs" dxfId="816" priority="56" operator="equal">
      <formula>0</formula>
    </cfRule>
  </conditionalFormatting>
  <conditionalFormatting sqref="AC16:AE16">
    <cfRule type="expression" dxfId="815" priority="45">
      <formula>$G16="Annulation"</formula>
    </cfRule>
  </conditionalFormatting>
  <conditionalFormatting sqref="AC16:AE16">
    <cfRule type="expression" dxfId="814" priority="44">
      <formula>$G16&lt;&gt;"Annulation"</formula>
    </cfRule>
  </conditionalFormatting>
  <conditionalFormatting sqref="AC16:AE16">
    <cfRule type="expression" dxfId="813" priority="43">
      <formula>$AB16="X"</formula>
    </cfRule>
  </conditionalFormatting>
  <conditionalFormatting sqref="AE2:AE16">
    <cfRule type="expression" dxfId="812" priority="42">
      <formula>$AD2&lt;&gt;"Programmée"</formula>
    </cfRule>
  </conditionalFormatting>
  <conditionalFormatting sqref="AE18">
    <cfRule type="cellIs" dxfId="811" priority="40" operator="equal">
      <formula>43404</formula>
    </cfRule>
  </conditionalFormatting>
  <conditionalFormatting sqref="AD18">
    <cfRule type="cellIs" dxfId="810" priority="32" operator="equal">
      <formula>"KO"</formula>
    </cfRule>
    <cfRule type="cellIs" dxfId="809" priority="33" operator="equal">
      <formula>"A faire"</formula>
    </cfRule>
    <cfRule type="cellIs" dxfId="808" priority="34" operator="equal">
      <formula>"Report"</formula>
    </cfRule>
    <cfRule type="cellIs" dxfId="807" priority="35" operator="equal">
      <formula>"Retour"</formula>
    </cfRule>
    <cfRule type="cellIs" dxfId="806" priority="36" operator="equal">
      <formula>"Envoyée"</formula>
    </cfRule>
    <cfRule type="cellIs" dxfId="805" priority="37" operator="equal">
      <formula>"Programmée"</formula>
    </cfRule>
    <cfRule type="cellIs" dxfId="804" priority="38" operator="equal">
      <formula>"Reçue"</formula>
    </cfRule>
    <cfRule type="cellIs" dxfId="803" priority="39" operator="equal">
      <formula>"OK"</formula>
    </cfRule>
  </conditionalFormatting>
  <conditionalFormatting sqref="AC18:AE18">
    <cfRule type="containsBlanks" dxfId="802" priority="31">
      <formula>LEN(TRIM(AC18))=0</formula>
    </cfRule>
    <cfRule type="cellIs" dxfId="801" priority="41" operator="equal">
      <formula>0</formula>
    </cfRule>
  </conditionalFormatting>
  <conditionalFormatting sqref="AC18:AE18">
    <cfRule type="expression" dxfId="800" priority="29">
      <formula>$G18="Annulation"</formula>
    </cfRule>
  </conditionalFormatting>
  <conditionalFormatting sqref="AC18:AE18">
    <cfRule type="expression" dxfId="799" priority="28">
      <formula>$G18&lt;&gt;"Annulation"</formula>
    </cfRule>
  </conditionalFormatting>
  <conditionalFormatting sqref="AC18:AE18">
    <cfRule type="expression" dxfId="798" priority="27">
      <formula>$AB18="X"</formula>
    </cfRule>
  </conditionalFormatting>
  <conditionalFormatting sqref="AE18">
    <cfRule type="expression" dxfId="797" priority="30">
      <formula>$AD18&lt;&gt;"Programmée"</formula>
    </cfRule>
  </conditionalFormatting>
  <conditionalFormatting sqref="AK2:AK19">
    <cfRule type="expression" dxfId="796" priority="8692">
      <formula>$DM2="Trans."</formula>
    </cfRule>
    <cfRule type="expression" dxfId="795" priority="8693">
      <formula>$AK2-TODAY()&gt;90</formula>
    </cfRule>
  </conditionalFormatting>
  <conditionalFormatting sqref="Q1:R1 U1:W1 BL1 BO1 BR1 BU1 BX1 CA1 CD1 CG1 CJ1 CT1 AQ1:AR1 AT1:AU1 AW1:AX1 AO1 AG1:AL1 AA1">
    <cfRule type="expression" dxfId="794" priority="9139">
      <formula>$A1="Trans."</formula>
    </cfRule>
  </conditionalFormatting>
  <conditionalFormatting sqref="C1:H1 J1:P1 S1 AY1:BK1 BM1:BN1 BP1:BQ1 BS1:BT1 BV1:BW1 BY1:BZ1 CB1:CC1 CE1:CF1 CH1:CI1 CK1:CS1 CU1:DL1 Z1 AB1:AF1">
    <cfRule type="expression" dxfId="793" priority="9155">
      <formula>$A1="Trans."</formula>
    </cfRule>
  </conditionalFormatting>
  <conditionalFormatting sqref="T1 CY1 AP1 AS1 AV1 X1:Y1 AM1:AN1">
    <cfRule type="expression" dxfId="792" priority="9170">
      <formula>$A1="Trans."</formula>
    </cfRule>
  </conditionalFormatting>
  <conditionalFormatting sqref="I1">
    <cfRule type="expression" dxfId="791" priority="9178">
      <formula>$A1="Trans."</formula>
    </cfRule>
  </conditionalFormatting>
  <conditionalFormatting sqref="B2:B19">
    <cfRule type="expression" dxfId="790" priority="8">
      <formula>$DM2="Trans."</formula>
    </cfRule>
  </conditionalFormatting>
  <conditionalFormatting sqref="B2:B19">
    <cfRule type="expression" dxfId="789" priority="10">
      <formula>$DN2=""</formula>
    </cfRule>
    <cfRule type="expression" dxfId="788" priority="14">
      <formula>$DN2="OK"</formula>
    </cfRule>
  </conditionalFormatting>
  <conditionalFormatting sqref="B2:B19">
    <cfRule type="expression" dxfId="787" priority="13">
      <formula>$DN2="Mini"</formula>
    </cfRule>
  </conditionalFormatting>
  <conditionalFormatting sqref="B2:B19">
    <cfRule type="expression" dxfId="786" priority="12">
      <formula>$DN2="KO"</formula>
    </cfRule>
  </conditionalFormatting>
  <conditionalFormatting sqref="B2:B19">
    <cfRule type="expression" dxfId="785" priority="9">
      <formula>$G2="Annulation"</formula>
    </cfRule>
  </conditionalFormatting>
  <conditionalFormatting sqref="B2:B19">
    <cfRule type="expression" dxfId="784" priority="11">
      <formula>$DN2="AJ"</formula>
    </cfRule>
  </conditionalFormatting>
  <conditionalFormatting sqref="A2:A19">
    <cfRule type="expression" dxfId="783" priority="1">
      <formula>$DM2="Trans."</formula>
    </cfRule>
  </conditionalFormatting>
  <conditionalFormatting sqref="A2:A19">
    <cfRule type="expression" dxfId="782" priority="3">
      <formula>$DN2=""</formula>
    </cfRule>
    <cfRule type="expression" dxfId="781" priority="7">
      <formula>$DN2="OK"</formula>
    </cfRule>
  </conditionalFormatting>
  <conditionalFormatting sqref="A2:A19">
    <cfRule type="expression" dxfId="780" priority="6">
      <formula>$DN2="Mini"</formula>
    </cfRule>
  </conditionalFormatting>
  <conditionalFormatting sqref="A2:A19">
    <cfRule type="expression" dxfId="779" priority="5">
      <formula>$DN2="KO"</formula>
    </cfRule>
  </conditionalFormatting>
  <conditionalFormatting sqref="A2:A19">
    <cfRule type="expression" dxfId="778" priority="2">
      <formula>$G2="Annulation"</formula>
    </cfRule>
  </conditionalFormatting>
  <conditionalFormatting sqref="A2:A19">
    <cfRule type="expression" dxfId="777" priority="4">
      <formula>$DN2="AJ"</formula>
    </cfRule>
  </conditionalFormatting>
  <dataValidations count="1">
    <dataValidation type="list" allowBlank="1" showInputMessage="1" showErrorMessage="1" sqref="DM2:DM19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DA2:DA19</xm:sqref>
        </x14:dataValidation>
        <x14:dataValidation type="list" allowBlank="1" showInputMessage="1" showErrorMessage="1">
          <x14:formula1>
            <xm:f>Matrice!$B$38:$I$38</xm:f>
          </x14:formula1>
          <xm:sqref>DK2:DK19</xm:sqref>
        </x14:dataValidation>
        <x14:dataValidation type="list" allowBlank="1" showInputMessage="1" showErrorMessage="1">
          <x14:formula1>
            <xm:f>Matrice!$B$37:$I$37</xm:f>
          </x14:formula1>
          <xm:sqref>DJ2:DJ19</xm:sqref>
        </x14:dataValidation>
        <x14:dataValidation type="list" allowBlank="1" showInputMessage="1" showErrorMessage="1">
          <x14:formula1>
            <xm:f>Matrice!$B$36:$O$36</xm:f>
          </x14:formula1>
          <xm:sqref>DG2:DG19</xm:sqref>
        </x14:dataValidation>
        <x14:dataValidation type="list" allowBlank="1" showInputMessage="1" showErrorMessage="1">
          <x14:formula1>
            <xm:f>Matrice!$B$28:$H$28</xm:f>
          </x14:formula1>
          <xm:sqref>DD2:DD19</xm:sqref>
        </x14:dataValidation>
        <x14:dataValidation type="list" allowBlank="1" showInputMessage="1" showErrorMessage="1">
          <x14:formula1>
            <xm:f>Matrice!$B$32:$F$32</xm:f>
          </x14:formula1>
          <xm:sqref>DC2:DC19</xm:sqref>
        </x14:dataValidation>
        <x14:dataValidation type="list" allowBlank="1" showInputMessage="1" showErrorMessage="1">
          <x14:formula1>
            <xm:f>Matrice!$B$33:$E$33</xm:f>
          </x14:formula1>
          <xm:sqref>CW2:CW19</xm:sqref>
        </x14:dataValidation>
        <x14:dataValidation type="list" allowBlank="1" showInputMessage="1" showErrorMessage="1">
          <x14:formula1>
            <xm:f>Matrice!$C$25:$N$25</xm:f>
          </x14:formula1>
          <xm:sqref>CK2:CP19</xm:sqref>
        </x14:dataValidation>
        <x14:dataValidation type="list" allowBlank="1" showInputMessage="1" showErrorMessage="1">
          <x14:formula1>
            <xm:f>Matrice!$B$23:$I$23</xm:f>
          </x14:formula1>
          <xm:sqref>AY2:AY19</xm:sqref>
        </x14:dataValidation>
        <x14:dataValidation type="list" allowBlank="1" showInputMessage="1" showErrorMessage="1">
          <x14:formula1>
            <xm:f>Matrice!$B$12:$M$12</xm:f>
          </x14:formula1>
          <xm:sqref>BH2:BI19</xm:sqref>
        </x14:dataValidation>
        <x14:dataValidation type="list" allowBlank="1" showInputMessage="1" showErrorMessage="1">
          <x14:formula1>
            <xm:f>Matrice!$B$11:$J$11</xm:f>
          </x14:formula1>
          <xm:sqref>BN2:BN19 BQ2:BQ19 CI2:CI19 CF2:CF19 CC2:CC19 BZ2:BZ19 BK2:BK19 BW2:BW19 BT2:BT19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AB2:AB19</xm:sqref>
        </x14:dataValidation>
        <x14:dataValidation type="list" allowBlank="1" showInputMessage="1" showErrorMessage="1">
          <x14:formula1>
            <xm:f>Matrice!$B$8:$K$8</xm:f>
          </x14:formula1>
          <xm:sqref>AD2:AD19</xm:sqref>
        </x14:dataValidation>
        <x14:dataValidation type="list" allowBlank="1" showInputMessage="1" showErrorMessage="1">
          <x14:formula1>
            <xm:f>Matrice!$B$2:$O$2</xm:f>
          </x14:formula1>
          <xm:sqref>K2:K19</xm:sqref>
        </x14:dataValidation>
        <x14:dataValidation type="list" allowBlank="1" showInputMessage="1" showErrorMessage="1">
          <x14:formula1>
            <xm:f>Matrice!$B$1:$J$1</xm:f>
          </x14:formula1>
          <xm:sqref>J2:J19</xm:sqref>
        </x14:dataValidation>
        <x14:dataValidation type="list" allowBlank="1" showInputMessage="1" showErrorMessage="1">
          <x14:formula1>
            <xm:f>Matrice!$B$9:$O$9</xm:f>
          </x14:formula1>
          <xm:sqref>G2:G19</xm:sqref>
        </x14:dataValidation>
        <x14:dataValidation type="list" allowBlank="1" showInputMessage="1" showErrorMessage="1">
          <x14:formula1>
            <xm:f>Matrice!$B$4:$J$4</xm:f>
          </x14:formula1>
          <xm:sqref>S2:S19</xm:sqref>
        </x14:dataValidation>
        <x14:dataValidation type="list" allowBlank="1" showInputMessage="1" showErrorMessage="1">
          <x14:formula1>
            <xm:f>Matrice!$B$49:$D$49</xm:f>
          </x14:formula1>
          <xm:sqref>F2:F19</xm:sqref>
        </x14:dataValidation>
        <x14:dataValidation type="list" allowBlank="1" showInputMessage="1" showErrorMessage="1">
          <x14:formula1>
            <xm:f>Matrice!$B$34:$I$34</xm:f>
          </x14:formula1>
          <xm:sqref>CX2:CX19</xm:sqref>
        </x14:dataValidation>
        <x14:dataValidation type="list" allowBlank="1" showInputMessage="1" showErrorMessage="1">
          <x14:formula1>
            <xm:f>Matrice!$B$35:$M$35</xm:f>
          </x14:formula1>
          <xm:sqref>CZ2:CZ19</xm:sqref>
        </x14:dataValidation>
        <x14:dataValidation type="list" allowBlank="1" showInputMessage="1" showErrorMessage="1">
          <x14:formula1>
            <xm:f>Matrice!$B$31:$V$31</xm:f>
          </x14:formula1>
          <xm:sqref>CU2:CU19</xm:sqref>
        </x14:dataValidation>
        <x14:dataValidation type="list" allowBlank="1" showInputMessage="1" showErrorMessage="1">
          <x14:formula1>
            <xm:f>Matrice!$B$3:$Y$3</xm:f>
          </x14:formula1>
          <xm:sqref>P2:P19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DN6"/>
  <sheetViews>
    <sheetView zoomScale="80" zoomScaleNormal="8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ColWidth="9.140625" defaultRowHeight="15" x14ac:dyDescent="0.25"/>
  <cols>
    <col min="1" max="1" width="2.42578125" style="600" customWidth="1"/>
    <col min="2" max="2" width="2.140625" style="228" customWidth="1"/>
    <col min="3" max="3" width="21.42578125" style="226" bestFit="1" customWidth="1"/>
    <col min="4" max="4" width="8.42578125" style="226" bestFit="1" customWidth="1"/>
    <col min="5" max="5" width="12.28515625" style="226" bestFit="1" customWidth="1"/>
    <col min="6" max="6" width="10.5703125" style="226" bestFit="1" customWidth="1"/>
    <col min="7" max="7" width="11.7109375" style="226" bestFit="1" customWidth="1"/>
    <col min="8" max="8" width="11.5703125" style="232" bestFit="1" customWidth="1"/>
    <col min="9" max="9" width="4.42578125" style="310" bestFit="1" customWidth="1"/>
    <col min="10" max="10" width="19.42578125" style="226" bestFit="1" customWidth="1"/>
    <col min="11" max="11" width="15" style="226" bestFit="1" customWidth="1"/>
    <col min="12" max="12" width="13.7109375" style="233" bestFit="1" customWidth="1"/>
    <col min="13" max="13" width="10.28515625" style="233" bestFit="1" customWidth="1"/>
    <col min="14" max="14" width="10.85546875" style="233" bestFit="1" customWidth="1"/>
    <col min="15" max="15" width="5.85546875" style="233" bestFit="1" customWidth="1"/>
    <col min="16" max="16" width="10.140625" style="234" bestFit="1" customWidth="1"/>
    <col min="17" max="17" width="2.42578125" style="233" bestFit="1" customWidth="1"/>
    <col min="18" max="18" width="8.140625" style="226" bestFit="1" customWidth="1"/>
    <col min="19" max="19" width="15" style="233" bestFit="1" customWidth="1"/>
    <col min="20" max="20" width="7.42578125" style="235" bestFit="1" customWidth="1"/>
    <col min="21" max="21" width="8.140625" style="231" bestFit="1" customWidth="1"/>
    <col min="22" max="22" width="10" style="236" bestFit="1" customWidth="1"/>
    <col min="23" max="23" width="8.85546875" style="231" bestFit="1" customWidth="1"/>
    <col min="24" max="24" width="9.28515625" style="231" bestFit="1" customWidth="1"/>
    <col min="25" max="25" width="8" style="231" bestFit="1" customWidth="1"/>
    <col min="26" max="26" width="12" style="231" bestFit="1" customWidth="1"/>
    <col min="27" max="27" width="3.42578125" style="233" bestFit="1" customWidth="1"/>
    <col min="28" max="28" width="10.28515625" style="226" bestFit="1" customWidth="1"/>
    <col min="29" max="29" width="10.7109375" style="226" bestFit="1" customWidth="1"/>
    <col min="30" max="30" width="5.5703125" style="226" bestFit="1" customWidth="1"/>
    <col min="31" max="31" width="15.5703125" style="226" bestFit="1" customWidth="1"/>
    <col min="32" max="32" width="18.42578125" style="226" bestFit="1" customWidth="1"/>
    <col min="33" max="33" width="11.5703125" style="226" bestFit="1" customWidth="1"/>
    <col min="34" max="34" width="8.5703125" style="226" bestFit="1" customWidth="1"/>
    <col min="35" max="35" width="11.5703125" style="226" bestFit="1" customWidth="1"/>
    <col min="36" max="36" width="12" style="226" bestFit="1" customWidth="1"/>
    <col min="37" max="37" width="12.28515625" style="226" bestFit="1" customWidth="1"/>
    <col min="38" max="38" width="7.85546875" style="226" bestFit="1" customWidth="1"/>
    <col min="39" max="40" width="8.5703125" style="226" bestFit="1" customWidth="1"/>
    <col min="41" max="41" width="8.42578125" style="226" bestFit="1" customWidth="1"/>
    <col min="42" max="42" width="8.7109375" style="226" bestFit="1" customWidth="1"/>
    <col min="43" max="43" width="8.42578125" style="226" bestFit="1" customWidth="1"/>
    <col min="44" max="44" width="12.42578125" style="229" bestFit="1" customWidth="1"/>
    <col min="45" max="45" width="8.5703125" style="226" bestFit="1" customWidth="1"/>
    <col min="46" max="46" width="8.42578125" style="226" bestFit="1" customWidth="1"/>
    <col min="47" max="47" width="12.42578125" style="229" bestFit="1" customWidth="1"/>
    <col min="48" max="48" width="8.5703125" style="226" bestFit="1" customWidth="1"/>
    <col min="49" max="49" width="8.42578125" style="226" bestFit="1" customWidth="1"/>
    <col min="50" max="50" width="12.42578125" style="229" bestFit="1" customWidth="1"/>
    <col min="51" max="51" width="8.140625" style="226" bestFit="1" customWidth="1"/>
    <col min="52" max="52" width="10.5703125" style="226" bestFit="1" customWidth="1"/>
    <col min="53" max="53" width="6.5703125" style="226" bestFit="1" customWidth="1"/>
    <col min="54" max="54" width="27.42578125" style="226" bestFit="1" customWidth="1"/>
    <col min="55" max="56" width="14.140625" style="226" bestFit="1" customWidth="1"/>
    <col min="57" max="57" width="34.28515625" style="226" bestFit="1" customWidth="1"/>
    <col min="58" max="59" width="18" style="226" bestFit="1" customWidth="1"/>
    <col min="60" max="60" width="2.7109375" style="226" bestFit="1" customWidth="1"/>
    <col min="61" max="61" width="2.28515625" style="226" bestFit="1" customWidth="1"/>
    <col min="62" max="62" width="11.5703125" style="226" bestFit="1" customWidth="1"/>
    <col min="63" max="63" width="5.7109375" style="226" bestFit="1" customWidth="1"/>
    <col min="64" max="64" width="5.85546875" style="226" bestFit="1" customWidth="1"/>
    <col min="65" max="65" width="11.5703125" style="226" bestFit="1" customWidth="1"/>
    <col min="66" max="66" width="5.7109375" style="226" bestFit="1" customWidth="1"/>
    <col min="67" max="67" width="5.85546875" style="226" bestFit="1" customWidth="1"/>
    <col min="68" max="68" width="11.5703125" style="226" bestFit="1" customWidth="1"/>
    <col min="69" max="69" width="7" style="226" bestFit="1" customWidth="1"/>
    <col min="70" max="70" width="7.140625" style="226" bestFit="1" customWidth="1"/>
    <col min="71" max="71" width="7.42578125" style="226" bestFit="1" customWidth="1"/>
    <col min="72" max="72" width="7" style="226" bestFit="1" customWidth="1"/>
    <col min="73" max="73" width="7.140625" style="226" bestFit="1" customWidth="1"/>
    <col min="74" max="74" width="7.42578125" style="226" bestFit="1" customWidth="1"/>
    <col min="75" max="75" width="7" style="226" bestFit="1" customWidth="1"/>
    <col min="76" max="76" width="7.140625" style="226" bestFit="1" customWidth="1"/>
    <col min="77" max="77" width="7.42578125" style="226" bestFit="1" customWidth="1"/>
    <col min="78" max="78" width="7" style="226" bestFit="1" customWidth="1"/>
    <col min="79" max="79" width="7.140625" style="226" bestFit="1" customWidth="1"/>
    <col min="80" max="80" width="7.42578125" style="226" bestFit="1" customWidth="1"/>
    <col min="81" max="81" width="7" style="226" bestFit="1" customWidth="1"/>
    <col min="82" max="82" width="7.140625" style="226" bestFit="1" customWidth="1"/>
    <col min="83" max="83" width="7.42578125" style="226" bestFit="1" customWidth="1"/>
    <col min="84" max="84" width="7" style="226" bestFit="1" customWidth="1"/>
    <col min="85" max="85" width="7.140625" style="226" bestFit="1" customWidth="1"/>
    <col min="86" max="86" width="7.42578125" style="226" bestFit="1" customWidth="1"/>
    <col min="87" max="87" width="7" style="226" bestFit="1" customWidth="1"/>
    <col min="88" max="88" width="7.140625" style="226" bestFit="1" customWidth="1"/>
    <col min="89" max="89" width="8.28515625" style="226" bestFit="1" customWidth="1"/>
    <col min="90" max="90" width="8.85546875" style="226" bestFit="1" customWidth="1"/>
    <col min="91" max="91" width="10" style="226" bestFit="1" customWidth="1"/>
    <col min="92" max="92" width="6.28515625" style="226" bestFit="1" customWidth="1"/>
    <col min="93" max="93" width="8.140625" style="226" bestFit="1" customWidth="1"/>
    <col min="94" max="94" width="7.7109375" style="226" bestFit="1" customWidth="1"/>
    <col min="95" max="95" width="6.42578125" style="226" bestFit="1" customWidth="1"/>
    <col min="96" max="96" width="7.7109375" style="226" bestFit="1" customWidth="1"/>
    <col min="97" max="97" width="5" style="226" bestFit="1" customWidth="1"/>
    <col min="98" max="98" width="4.5703125" style="226" bestFit="1" customWidth="1"/>
    <col min="99" max="99" width="4.28515625" style="226" bestFit="1" customWidth="1"/>
    <col min="100" max="100" width="13.42578125" style="226" bestFit="1" customWidth="1"/>
    <col min="101" max="101" width="8" style="226" bestFit="1" customWidth="1"/>
    <col min="102" max="102" width="8.140625" style="226" bestFit="1" customWidth="1"/>
    <col min="103" max="103" width="7.85546875" style="226" bestFit="1" customWidth="1"/>
    <col min="104" max="104" width="12.140625" style="226" bestFit="1" customWidth="1"/>
    <col min="105" max="105" width="10.140625" style="226" bestFit="1" customWidth="1"/>
    <col min="106" max="106" width="7.7109375" style="226" bestFit="1" customWidth="1"/>
    <col min="107" max="107" width="8.7109375" style="226" bestFit="1" customWidth="1"/>
    <col min="108" max="108" width="10.7109375" style="226" bestFit="1" customWidth="1"/>
    <col min="109" max="109" width="8.85546875" style="226" bestFit="1" customWidth="1"/>
    <col min="110" max="110" width="9.85546875" style="226" bestFit="1" customWidth="1"/>
    <col min="111" max="111" width="10.85546875" style="226" bestFit="1" customWidth="1"/>
    <col min="112" max="112" width="11.28515625" style="226" bestFit="1" customWidth="1"/>
    <col min="113" max="113" width="9.5703125" style="226" bestFit="1" customWidth="1"/>
    <col min="114" max="114" width="4.5703125" style="226" bestFit="1" customWidth="1"/>
    <col min="115" max="115" width="4.28515625" style="226" bestFit="1" customWidth="1"/>
    <col min="116" max="116" width="6.42578125" style="230" bestFit="1" customWidth="1"/>
    <col min="117" max="117" width="6.42578125" style="226" bestFit="1" customWidth="1"/>
    <col min="118" max="118" width="3.7109375" style="226" bestFit="1" customWidth="1"/>
    <col min="119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18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545</v>
      </c>
      <c r="G1" s="239" t="s">
        <v>165</v>
      </c>
      <c r="H1" s="238" t="s">
        <v>163</v>
      </c>
      <c r="I1" s="369">
        <f>IF(COUNT(I2:I6)=0,"+J",SUM(I2:I6)/COUNT(I2:I6))</f>
        <v>49.4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>
        <f>IF(COUNT(AA2:AA6)=0,"+J",SUM(AA2:AA6)/COUNT(AA2:AA6))</f>
        <v>17.8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185</v>
      </c>
      <c r="BD1" s="254" t="s">
        <v>186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238" t="s">
        <v>338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</row>
    <row r="2" spans="1:118" x14ac:dyDescent="0.25">
      <c r="A2" s="599" t="str">
        <f t="shared" ref="A2" si="0">CONCATENATE(C2," ",D2," - ",K2," - ",J2)</f>
        <v>BELMADANI Tewfik - ALPTIS - Prev. Pro</v>
      </c>
      <c r="B2" s="306"/>
      <c r="C2" s="305" t="s">
        <v>15</v>
      </c>
      <c r="D2" s="301" t="s">
        <v>1133</v>
      </c>
      <c r="E2" s="276">
        <v>43117</v>
      </c>
      <c r="F2" s="278" t="s">
        <v>546</v>
      </c>
      <c r="G2" s="311" t="s">
        <v>171</v>
      </c>
      <c r="H2" s="276">
        <v>42898</v>
      </c>
      <c r="I2" s="313">
        <f>IF(G2="Annulation","",IF(H2=0,"",E2-H2))</f>
        <v>219</v>
      </c>
      <c r="J2" s="312" t="s">
        <v>16</v>
      </c>
      <c r="K2" s="268" t="s">
        <v>17</v>
      </c>
      <c r="L2" s="277" t="s">
        <v>24</v>
      </c>
      <c r="M2" s="279">
        <v>227.18</v>
      </c>
      <c r="N2" s="280">
        <v>227.18</v>
      </c>
      <c r="O2" s="280"/>
      <c r="P2" s="285" t="s">
        <v>57</v>
      </c>
      <c r="Q2" s="281" t="str">
        <f>IF(COUNT(AD2)=0,"",AD2)</f>
        <v/>
      </c>
      <c r="R2" s="282">
        <f>SUM(M2*12)</f>
        <v>2726.16</v>
      </c>
      <c r="S2" s="268" t="s">
        <v>18</v>
      </c>
      <c r="T2" s="300">
        <v>20</v>
      </c>
      <c r="U2" s="284">
        <f>IF(M2=0,0,IF(G2="Annulation","",IF(assurance="ALPTIS",M2*12*T2/100*'1801 Data'!$K$4,IF(assurance="APRIL",M2*12*T2/100*'1801 Data'!$F$4,IF(assurance="ASAF",M2*12*T2/100*'1801 Data'!$I$4,IF(assurance="NEOLIANE",('1801 Data'!$G$5+M2*12*'1801 Data'!$G$4)*T2/100,IF(assurance="NEOLIANE Prev",('1801 Data'!$H$5+M2*12*'1801 Data'!$H$4)*T2/100,IF(assurance="SWISSLIFE",M2*12*T2/100*'1801 Data'!$J$4,IF(assurance="AVIVA",M2*12*T2/100*'1801 Data'!$L$4,IF(assurance="CIPRES",M2*12*T2/100*'1801 Data'!$M$4,IF(assurance="CEGEMA",M2*12*T2/100*'1801 Data'!$N$4,IF(assurance=0,0))))))))))))</f>
        <v>30.532992</v>
      </c>
      <c r="V2" s="298">
        <f>IF(M2="","",IF(G2="Annulation","",IF(typecomm="Précompte",SUM((M2-O2)*T2/100*12)+O2*12*0.15,IF(typecomm="Précompte 1",SUM((M2-O2)*T2/100*12)+O2*12*0.15,IF(typecomm="Linéaire",0,IF(typecomm=0,0))))))</f>
        <v>545.23200000000008</v>
      </c>
      <c r="W2" s="298">
        <f>IF(M2="","",IF(G2="Annulation","",IF(typecomm="Linéaire",SUM((M2-O2)*T2/100)+O2*0.15,IF(typecomm="Précompte 1",0,IF(typecomm="Précompte",0,IF(typecomm=0,0))))))</f>
        <v>0</v>
      </c>
      <c r="X2" s="299">
        <f>IF(G2="Annulation",0,IF(typecomm="Linéaire",0,IF(typecomm="Précompte 1",V2-U2,IF(mens=0,0,IF(typecomm="Précompte",V2-U2,IF(typecomm=0,0))))))</f>
        <v>514.69900800000005</v>
      </c>
      <c r="Y2" s="368">
        <f>IF(G2="Annulation",0,IF(M2="",0,IF(typecomm="Linéaire",SUM(W2-U2/12),IF(typecomm="Précompte 1",0,IF(typecomm="Précompte",0,IF(typecomm=0,0))))))</f>
        <v>0</v>
      </c>
      <c r="Z2" s="314">
        <v>43146</v>
      </c>
      <c r="AA2" s="313">
        <f>IF(Z2="","",IF(G2="Annulation","",IF(E2="",0,Z2-E2)))</f>
        <v>29</v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43466</v>
      </c>
      <c r="AH2" s="287">
        <f ca="1">(IF(COUNT(Z2)=0,"",IF(G2="Annulation","",IF(Z2&gt;0,(Z2-TODAY())/(-365),0))))</f>
        <v>0.30958904109589042</v>
      </c>
      <c r="AI2" s="373">
        <f ca="1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275">
        <f ca="1">IF(G2="Annulation","",IF(Z2="","",AI2-62))</f>
        <v>43404</v>
      </c>
      <c r="AK2" s="296">
        <f ca="1">IF(G2="Annulation","",IF(Z2="","",AI2-92))</f>
        <v>43374</v>
      </c>
      <c r="AL2" s="287">
        <f ca="1">(IF(COUNT(Z2)=0,"",IF(G2="Annulation","",IF(Z2&gt;0,(Z2-AI2)/(-365),0))))</f>
        <v>0.87671232876712324</v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227.18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-1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-1</v>
      </c>
      <c r="AY2" s="290" t="s">
        <v>276</v>
      </c>
      <c r="AZ2" s="291">
        <v>1827500</v>
      </c>
      <c r="BA2" s="292">
        <v>13012</v>
      </c>
      <c r="BB2" s="303" t="s">
        <v>1140</v>
      </c>
      <c r="BC2" s="293">
        <v>651108704</v>
      </c>
      <c r="BD2" s="293">
        <v>953381461</v>
      </c>
      <c r="BE2" s="304" t="s">
        <v>1210</v>
      </c>
      <c r="BF2" s="274"/>
      <c r="BG2" s="270"/>
      <c r="BH2" s="268">
        <v>1</v>
      </c>
      <c r="BI2" s="273">
        <v>2</v>
      </c>
      <c r="BJ2" s="276">
        <v>27847</v>
      </c>
      <c r="BK2" s="294" t="s">
        <v>202</v>
      </c>
      <c r="BL2" s="269">
        <f ca="1">IF(DATEDIF(BJ2,TODAY(),"Y")=118,"",DATEDIF(BJ2,TODAY(),"Y"))</f>
        <v>42</v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 t="s">
        <v>310</v>
      </c>
      <c r="CS2" s="263" t="s">
        <v>378</v>
      </c>
      <c r="CT2" s="297">
        <f ca="1">IF(J2="Prev. Pro",IF(BL2=118,"",BL2),"")</f>
        <v>42</v>
      </c>
      <c r="CU2" s="264" t="s">
        <v>108</v>
      </c>
      <c r="CV2" s="265">
        <v>37588</v>
      </c>
      <c r="CW2" s="264" t="s">
        <v>351</v>
      </c>
      <c r="CX2" s="264" t="s">
        <v>351</v>
      </c>
      <c r="CY2" s="264" t="s">
        <v>351</v>
      </c>
      <c r="CZ2" s="264" t="s">
        <v>353</v>
      </c>
      <c r="DA2" s="264" t="s">
        <v>351</v>
      </c>
      <c r="DB2" s="266">
        <v>9270</v>
      </c>
      <c r="DC2" s="264" t="s">
        <v>343</v>
      </c>
      <c r="DD2" s="264" t="s">
        <v>363</v>
      </c>
      <c r="DE2" s="266">
        <v>0</v>
      </c>
      <c r="DF2" s="266">
        <v>330000</v>
      </c>
      <c r="DG2" s="264" t="s">
        <v>35</v>
      </c>
      <c r="DH2" s="266">
        <v>0</v>
      </c>
      <c r="DI2" s="266">
        <v>0</v>
      </c>
      <c r="DJ2" s="264" t="s">
        <v>307</v>
      </c>
      <c r="DK2" s="264" t="s">
        <v>307</v>
      </c>
      <c r="DL2" s="267"/>
      <c r="DM2" s="261">
        <f>Infoman</f>
        <v>0</v>
      </c>
      <c r="DN2" s="295" t="str">
        <f>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</f>
        <v>OK</v>
      </c>
    </row>
    <row r="3" spans="1:118" x14ac:dyDescent="0.25">
      <c r="A3" s="599" t="str">
        <f t="shared" ref="A3:A6" si="1">CONCATENATE(C3," ",D3," - ",K3," - ",J3)</f>
        <v>PANAIVA MONTEGUT Valerie - NEOLIANE - Santé Individuelle</v>
      </c>
      <c r="B3" s="306"/>
      <c r="C3" s="305" t="s">
        <v>1138</v>
      </c>
      <c r="D3" s="301" t="s">
        <v>1139</v>
      </c>
      <c r="E3" s="276">
        <v>43117</v>
      </c>
      <c r="F3" s="278" t="s">
        <v>547</v>
      </c>
      <c r="G3" s="311" t="s">
        <v>167</v>
      </c>
      <c r="H3" s="276">
        <v>43110</v>
      </c>
      <c r="I3" s="313">
        <f>IF(G3="Annulation","",IF(H3=0,"",E3-H3))</f>
        <v>7</v>
      </c>
      <c r="J3" s="312" t="s">
        <v>20</v>
      </c>
      <c r="K3" s="268" t="s">
        <v>21</v>
      </c>
      <c r="L3" s="277" t="s">
        <v>40</v>
      </c>
      <c r="M3" s="279">
        <v>125.86</v>
      </c>
      <c r="N3" s="280">
        <v>125.86</v>
      </c>
      <c r="O3" s="280"/>
      <c r="P3" s="285" t="s">
        <v>268</v>
      </c>
      <c r="Q3" s="281" t="str">
        <f>IF(COUNT(AD3)=0,"",AD3)</f>
        <v/>
      </c>
      <c r="R3" s="282">
        <f>SUM(M3*12)</f>
        <v>1510.32</v>
      </c>
      <c r="S3" s="268" t="s">
        <v>18</v>
      </c>
      <c r="T3" s="283">
        <f>IF(G3="Annulation","",IF(assurance="ALPTIS",25,IF(assurance="APRIL",25,IF(assurance="ASAF",17.5,IF(assurance="NEOLIANE",25,IF(assurance="NEOLIANE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3" s="284">
        <f>IF(M3=0,0,IF(G3="Annulation","",IF(assurance="ALPTIS",M3*12*T3/100*'1801 Data'!$K$4,IF(assurance="APRIL",M3*12*T3/100*'1801 Data'!$F$4,IF(assurance="ASAF",M3*12*T3/100*'1801 Data'!$I$4,IF(assurance="NEOLIANE",('1801 Data'!$G$5+M3*12*'1801 Data'!$G$4)*T3/100,IF(assurance="NEOLIANE Prev",('1801 Data'!$H$5+M3*12*'1801 Data'!$H$4)*T3/100,IF(assurance="SWISSLIFE",M3*12*T3/100*'1801 Data'!$J$4,IF(assurance="AVIVA",M3*12*T3/100*'1801 Data'!$L$4,IF(assurance="CIPRES",M3*12*T3/100*'1801 Data'!$M$4,IF(assurance="CEGEMA",M3*12*T3/100*'1801 Data'!$N$4,IF(assurance=0,0))))))))))))</f>
        <v>50.921700000000001</v>
      </c>
      <c r="V3" s="298">
        <f>IF(M3="","",IF(G3="Annulation","",IF(typecomm="Précompte",SUM((M3-O3)*T3/100*12)+O3*12*0.15,IF(typecomm="Précompte 1",SUM((M3-O3)*T3/100*12)+O3*12*0.15,IF(typecomm="Linéaire",0,IF(typecomm=0,0))))))</f>
        <v>377.58</v>
      </c>
      <c r="W3" s="298">
        <f>IF(M3="","",IF(G3="Annulation","",IF(typecomm="Linéaire",SUM((M3-O3)*T3/100)+O3*0.15,IF(typecomm="Précompte 1",0,IF(typecomm="Précompte",0,IF(typecomm=0,0))))))</f>
        <v>0</v>
      </c>
      <c r="X3" s="299">
        <f>IF(G3="Annulation",0,IF(typecomm="Linéaire",0,IF(typecomm="Précompte 1",V3-U3,IF(mens=0,0,IF(typecomm="Précompte",V3-U3,IF(typecomm=0,0))))))</f>
        <v>326.6583</v>
      </c>
      <c r="Y3" s="368">
        <f>IF(G3="Annulation",0,IF(M3="",0,IF(typecomm="Linéaire",SUM(W3-U3/12),IF(typecomm="Précompte 1",0,IF(typecomm="Précompte",0,IF(typecomm=0,0))))))</f>
        <v>0</v>
      </c>
      <c r="Z3" s="314">
        <v>43132</v>
      </c>
      <c r="AA3" s="313">
        <f>IF(Z3="","",IF(G3="Annulation","",IF(E3="",0,Z3-E3)))</f>
        <v>15</v>
      </c>
      <c r="AB3" s="268" t="s">
        <v>13</v>
      </c>
      <c r="AC3" s="277"/>
      <c r="AD3" s="309" t="str">
        <f>IF(Z3=43466,"Programmée","")</f>
        <v/>
      </c>
      <c r="AE3" s="286" t="str">
        <f>IF(Z3=43466,43404,"")</f>
        <v/>
      </c>
      <c r="AF3" s="277" t="s">
        <v>1136</v>
      </c>
      <c r="AG3" s="275">
        <f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>43466</v>
      </c>
      <c r="AH3" s="287">
        <f ca="1">(IF(COUNT(Z3)=0,"",IF(G3="Annulation","",IF(Z3&gt;0,(Z3-TODAY())/(-365),0))))</f>
        <v>0.34794520547945207</v>
      </c>
      <c r="AI3" s="373">
        <f ca="1">(IF(COUNT(Z3)=0,"",IF(G3="Annulation","",IF(K3="SWISSLIFE",Z3+365+IF(Z3&gt;TODAY(),0,365*(DATEDIF(Z3,TODAY(),"Y"))),IF(K3="AVIVA",Z3+365+IF(Z3&gt;TODAY(),0,365*(DATEDIF(Z3,TODAY(),"Y"))),IF(K3="NEOLIANE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+IF(((IF(K3="SWISSLIFE",Z3+365+IF(Z3&gt;TODAY(),0,365*(DATEDIF(Z3,TODAY(),"Y"))),IF(K3="AVIVA",Z3+365+IF(Z3&gt;TODAY(),0,365*(DATEDIF(Z3,TODAY(),"Y"))),IF(K3="NEOLIANE Prev",Z3+365+IF(Z3&gt;TODAY(),0,365*(DATEDIF(Z3,TODAY(),"Y"))),IF(Z3&lt;=43252,43466,43831))))+365*(année-2018)+IF(année&gt;=2020,1))-62)&lt;TODAY(),365))))</f>
        <v>43466</v>
      </c>
      <c r="AJ3" s="275">
        <f ca="1">IF(G3="Annulation","",IF(Z3="","",AI3-62))</f>
        <v>43404</v>
      </c>
      <c r="AK3" s="296">
        <f ca="1">IF(G3="Annulation","",IF(Z3="","",AI3-92))</f>
        <v>43374</v>
      </c>
      <c r="AL3" s="287">
        <f ca="1">(IF(COUNT(Z3)=0,"",IF(G3="Annulation","",IF(Z3&gt;0,(Z3-AI3)/(-365),0))))</f>
        <v>0.91506849315068495</v>
      </c>
      <c r="AM3" s="279">
        <f>IF(G3="Annulation","",IF(Z3&lt;42736,M3,0))</f>
        <v>0</v>
      </c>
      <c r="AN3" s="279">
        <f>IF(G3="Annulation","",IF(Z3&gt;=42736,IF(Z3&lt;43101,M3,0),0))</f>
        <v>0</v>
      </c>
      <c r="AO3" s="288">
        <f>IF(G3="Annulation","",IF(AM3&gt;0,IF(AM3&gt;0,(AM3-AN3)/AM3*(-1),),0))</f>
        <v>0</v>
      </c>
      <c r="AP3" s="279">
        <f>IF(G3="Annulation","",IF(Z3&gt;=43101,IF(Z3&lt;43466,M3,0),0))</f>
        <v>125.86</v>
      </c>
      <c r="AQ3" s="288">
        <f>IF(G3="Annulation","",IF(AN3&gt;0,(AN3-AP3)/AN3*(-1),))</f>
        <v>0</v>
      </c>
      <c r="AR3" s="289">
        <f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>IF(G3="Annulation","",IF(Z3&gt;=43466,IF(Z3&lt;43831,M3,0),0))</f>
        <v>0</v>
      </c>
      <c r="AT3" s="288">
        <f>IF(G3="Annulation","",IF(AP3&gt;0,(AP3-AS3)/AP3*(-1),0))</f>
        <v>-1</v>
      </c>
      <c r="AU3" s="289">
        <f>IF(G3="Annulation","",IF(AS3&gt;0,IF(AM3&gt;0,(AM3-AS3)/(-AM3),IF(AN3&gt;0,(AN3-AS3)/(-AN3),IF(AP3&gt;0,(AP3-AS3)/(-AP3),0))),0))</f>
        <v>0</v>
      </c>
      <c r="AV3" s="279">
        <f>IF(G3="Annulation","",IF(Z3&gt;=43831,IF(Z3&lt;44197,M3,0),0))</f>
        <v>0</v>
      </c>
      <c r="AW3" s="288">
        <f>IF(G3="Annulation","",IF(AS3&gt;0,(AS3-AV3)/AS3*(-1),0))</f>
        <v>0</v>
      </c>
      <c r="AX3" s="289">
        <f>IF(G3="Annulation","",(IF(AM3&gt;0,(AM3-AV3)/(-AM3),IF(AN3&gt;0,(AN3-AV3)/(-AN3),IF(AP3&gt;0,(AP3-AV3)/(-AP3),IF(AS3&gt;0,(AS3-AV3)/(-AS3),0))))))</f>
        <v>-1</v>
      </c>
      <c r="AY3" s="290" t="s">
        <v>277</v>
      </c>
      <c r="AZ3" s="291">
        <v>23007618</v>
      </c>
      <c r="BA3" s="292">
        <v>13090</v>
      </c>
      <c r="BB3" s="303" t="s">
        <v>1137</v>
      </c>
      <c r="BC3" s="293">
        <v>602159862</v>
      </c>
      <c r="BD3" s="293"/>
      <c r="BE3" s="304" t="s">
        <v>1211</v>
      </c>
      <c r="BF3" s="274" t="s">
        <v>1135</v>
      </c>
      <c r="BG3" s="270" t="s">
        <v>1134</v>
      </c>
      <c r="BH3" s="268">
        <v>2</v>
      </c>
      <c r="BI3" s="273">
        <v>1</v>
      </c>
      <c r="BJ3" s="276">
        <v>26764</v>
      </c>
      <c r="BK3" s="294" t="s">
        <v>200</v>
      </c>
      <c r="BL3" s="269">
        <f ca="1">IF(DATEDIF(BJ3,TODAY(),"Y")=118,"",DATEDIF(BJ3,TODAY(),"Y"))</f>
        <v>45</v>
      </c>
      <c r="BM3" s="270">
        <v>26764</v>
      </c>
      <c r="BN3" s="271" t="s">
        <v>200</v>
      </c>
      <c r="BO3" s="272">
        <f ca="1">IF(DATEDIF(BM3,TODAY(),"Y")=118,"",DATEDIF(BM3,TODAY(),"Y"))</f>
        <v>45</v>
      </c>
      <c r="BP3" s="270">
        <v>42594</v>
      </c>
      <c r="BQ3" s="271" t="s">
        <v>200</v>
      </c>
      <c r="BR3" s="272">
        <f ca="1">IF(DATEDIF(BP3,TODAY(),"Y")=118,"",DATEDIF(BP3,TODAY(),"Y"))</f>
        <v>1</v>
      </c>
      <c r="BS3" s="270"/>
      <c r="BT3" s="271"/>
      <c r="BU3" s="272" t="str">
        <f ca="1">IF(DATEDIF(BS3,TODAY(),"Y")=118,"",DATEDIF(BS3,TODAY(),"Y"))</f>
        <v/>
      </c>
      <c r="BV3" s="270"/>
      <c r="BW3" s="271"/>
      <c r="BX3" s="272" t="str">
        <f ca="1">IF(DATEDIF(BV3,TODAY(),"Y")=118,"",DATEDIF(BV3,TODAY(),"Y"))</f>
        <v/>
      </c>
      <c r="BY3" s="270"/>
      <c r="BZ3" s="271"/>
      <c r="CA3" s="272" t="str">
        <f ca="1">IF(DATEDIF(BY3,TODAY(),"Y")=118,"",DATEDIF(BY3,TODAY(),"Y"))</f>
        <v/>
      </c>
      <c r="CB3" s="270"/>
      <c r="CC3" s="271"/>
      <c r="CD3" s="272" t="str">
        <f ca="1">IF(DATEDIF(CB3,TODAY(),"Y")=118,"",DATEDIF(CB3,TODAY(),"Y"))</f>
        <v/>
      </c>
      <c r="CE3" s="270"/>
      <c r="CF3" s="271"/>
      <c r="CG3" s="272" t="str">
        <f ca="1">IF(DATEDIF(CE3,TODAY(),"Y")=118,"",DATEDIF(CE3,TODAY(),"Y"))</f>
        <v/>
      </c>
      <c r="CH3" s="270"/>
      <c r="CI3" s="271"/>
      <c r="CJ3" s="272" t="str">
        <f ca="1">IF(DATEDIF(CH3,TODAY(),"Y")=118,"",DATEDIF(CH3,TODAY(),"Y"))</f>
        <v/>
      </c>
      <c r="CK3" s="262">
        <v>3</v>
      </c>
      <c r="CL3" s="264">
        <v>2</v>
      </c>
      <c r="CM3" s="264">
        <v>2</v>
      </c>
      <c r="CN3" s="264">
        <v>3</v>
      </c>
      <c r="CO3" s="264">
        <v>2</v>
      </c>
      <c r="CP3" s="264">
        <v>0</v>
      </c>
      <c r="CQ3" s="264"/>
      <c r="CR3" s="262"/>
      <c r="CS3" s="263"/>
      <c r="CT3" s="297" t="str">
        <f>IF(J3="Prev. Pro",IF(BL3=118,"",BL3),"")</f>
        <v/>
      </c>
      <c r="CU3" s="264"/>
      <c r="CV3" s="265"/>
      <c r="CW3" s="264"/>
      <c r="CX3" s="264"/>
      <c r="CY3" s="264" t="str">
        <f>IF(J3&lt;&gt;"Prev. Pro","",IF(AC3="","Non",IF(J3="Prev. Pro","Oui","Non")))</f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>Infoman</f>
        <v>0</v>
      </c>
      <c r="DN3" s="295" t="str">
        <f>IF(C3=0,"",IF(BJ3=0,"KO",IF(J3="Santé Individuelle",IF(COUNTBLANK(C3)+COUNTBLANK(K3)+COUNTBLANK(N3)+COUNTBLANK(L3)+COUNTBLANK(AZ3)+COUNTBLANK(BB3)+COUNTBLANK(BE3)+COUNTBLANK(BF3)+COUNTBLANK(Z3)+COUNTBLANK(BA3)+COUNTBLANK(BC3)+COUNTBLANK(BJ3)+COUNTBLANK(BK3)+COUNTBLANK(BM3)+COUNTBLANK(BN3)+COUNTBLANK(BP3)+COUNTBLANK(BQ3)+COUNTBLANK(BS3)+COUNTBLANK(BT3)+COUNTBLANK(BV3)+COUNTBLANK(BW3)+COUNTBLANK(BY3)+COUNTBLANK(BZ3)+COUNTBLANK(CB3)+COUNTBLANK(CC3)+COUNTBLANK(CE3)+COUNTBLANK(CF3)+COUNTBLANK(CH3)+COUNTBLANK(CI3)=18-2*(BH3+BI3),"OK",IF(COUNTBLANK(L3)+COUNTBLANK(AZ3)+COUNTBLANK(BB3)+COUNTBLANK(BE3)+COUNTBLANK(J3)+COUNTBLANK(C3)+COUNTBLANK(K3)+COUNTBLANK(N3)+COUNTBLANK(Z3)+COUNTBLANK(BC3)+COUNTBLANK(BA3)+COUNTBLANK(BJ3)+COUNTBLANK(BK3)=4,"Mini",IF(COUNTBLANK(C3)+COUNTBLANK(K3)+COUNTBLANK(N3)+COUNTBLANK(Z3)+COUNTBLANK(BA3)+COUNTBLANK(BC3)+COUNTBLANK(BJ3)+COUNTBLANK(BK3)+COUNTBLANK(BM3)+COUNTBLANK(BN3)+COUNTBLANK(BP3)+COUNTBLANK(BQ3)+COUNTBLANK(BS3)+COUNTBLANK(BT3)+COUNTBLANK(BV3)+COUNTBLANK(BW3)+COUNTBLANK(BY3)+COUNTBLANK(BZ3)+COUNTBLANK(CB3)+COUNTBLANK(CC3)+COUNTBLANK(CE3)+COUNTBLANK(CF3)+COUNTBLANK(CH3)+COUNTBLANK(CI3)=18-2*(BH3+BI3),"Mini","KO"))),IF(COUNTBLANK(L3)+COUNTBLANK(AZ3)+COUNTBLANK(BB3)+COUNTBLANK(BE3)+COUNTBLANK(J3)+COUNTBLANK(C3)+COUNTBLANK(K3)+COUNTBLANK(N3)+COUNTBLANK(Z3)+COUNTBLANK(BC3)+COUNTBLANK(BA3)+COUNTBLANK(BJ3)+COUNTBLANK(BK3)=0,"OK",IF(COUNTBLANK(J3)+COUNTBLANK(C3)+COUNTBLANK(K3)+COUNTBLANK(N3)+COUNTBLANK(Z3)+COUNTBLANK(BC3)+COUNTBLANK(BA3)+COUNTBLANK(BJ3)+COUNTBLANK(BK3)=0,"Mini","KO")))))</f>
        <v>OK</v>
      </c>
    </row>
    <row r="4" spans="1:118" x14ac:dyDescent="0.25">
      <c r="A4" s="599" t="str">
        <f t="shared" si="1"/>
        <v>PANAIVA MONTEGUT Valerie - NEOLIANE Prev - Prev. Part</v>
      </c>
      <c r="B4" s="306"/>
      <c r="C4" s="305" t="s">
        <v>1138</v>
      </c>
      <c r="D4" s="301" t="s">
        <v>1139</v>
      </c>
      <c r="E4" s="276">
        <v>43117</v>
      </c>
      <c r="F4" s="278" t="s">
        <v>547</v>
      </c>
      <c r="G4" s="311" t="s">
        <v>170</v>
      </c>
      <c r="H4" s="276">
        <v>43110</v>
      </c>
      <c r="I4" s="313">
        <f>IF(G4="Annulation","",IF(H4=0,"",E4-H4))</f>
        <v>7</v>
      </c>
      <c r="J4" s="312" t="s">
        <v>85</v>
      </c>
      <c r="K4" s="268" t="s">
        <v>123</v>
      </c>
      <c r="L4" s="277" t="s">
        <v>125</v>
      </c>
      <c r="M4" s="279">
        <v>3.34</v>
      </c>
      <c r="N4" s="280">
        <v>3.34</v>
      </c>
      <c r="O4" s="280"/>
      <c r="P4" s="285" t="s">
        <v>268</v>
      </c>
      <c r="Q4" s="281" t="str">
        <f>IF(COUNT(AD4)=0,"",AD4)</f>
        <v/>
      </c>
      <c r="R4" s="282">
        <f>SUM(M4*12)</f>
        <v>40.08</v>
      </c>
      <c r="S4" s="268" t="s">
        <v>18</v>
      </c>
      <c r="T4" s="283">
        <f>IF(G4="Annulation","",IF(assurance="ALPTIS",25,IF(assurance="APRIL",25,IF(assurance="ASAF",17.5,IF(assurance="NEOLIANE",25,IF(assurance="NEOLIANE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4" s="284">
        <f>IF(M4=0,0,IF(G4="Annulation","",IF(assurance="ALPTIS",M4*12*T4/100*'1801 Data'!$K$4,IF(assurance="APRIL",M4*12*T4/100*'1801 Data'!$F$4,IF(assurance="ASAF",M4*12*T4/100*'1801 Data'!$I$4,IF(assurance="NEOLIANE",('1801 Data'!$G$5+M4*12*'1801 Data'!$G$4)*T4/100,IF(assurance="NEOLIANE Prev",('1801 Data'!$H$5+M4*12*'1801 Data'!$H$4)*T4/100,IF(assurance="SWISSLIFE",M4*12*T4/100*'1801 Data'!$J$4,IF(assurance="AVIVA",M4*12*T4/100*'1801 Data'!$L$4,IF(assurance="CIPRES",M4*12*T4/100*'1801 Data'!$M$4,IF(assurance="CEGEMA",M4*12*T4/100*'1801 Data'!$N$4,IF(assurance=0,0))))))))))))</f>
        <v>6.5201088</v>
      </c>
      <c r="V4" s="298">
        <f>IF(M4="","",IF(G4="Annulation","",IF(typecomm="Précompte",SUM((M4-O4)*T4/100*12)+O4*12*0.15,IF(typecomm="Précompte 1",SUM((M4-O4)*T4/100*12)+O4*12*0.15,IF(typecomm="Linéaire",0,IF(typecomm=0,0))))))</f>
        <v>16.031999999999996</v>
      </c>
      <c r="W4" s="298">
        <f>IF(M4="","",IF(G4="Annulation","",IF(typecomm="Linéaire",SUM((M4-O4)*T4/100)+O4*0.15,IF(typecomm="Précompte 1",0,IF(typecomm="Précompte",0,IF(typecomm=0,0))))))</f>
        <v>0</v>
      </c>
      <c r="X4" s="299">
        <f>IF(G4="Annulation",0,IF(typecomm="Linéaire",0,IF(typecomm="Précompte 1",V4-U4,IF(mens=0,0,IF(typecomm="Précompte",V4-U4,IF(typecomm=0,0))))))</f>
        <v>9.5118911999999973</v>
      </c>
      <c r="Y4" s="368">
        <f>IF(G4="Annulation",0,IF(M4="",0,IF(typecomm="Linéaire",SUM(W4-U4/12),IF(typecomm="Précompte 1",0,IF(typecomm="Précompte",0,IF(typecomm=0,0))))))</f>
        <v>0</v>
      </c>
      <c r="Z4" s="314">
        <v>43132</v>
      </c>
      <c r="AA4" s="313">
        <f>IF(Z4="","",IF(G4="Annulation","",IF(E4="",0,Z4-E4)))</f>
        <v>15</v>
      </c>
      <c r="AB4" s="268" t="s">
        <v>13</v>
      </c>
      <c r="AC4" s="277"/>
      <c r="AD4" s="309" t="str">
        <f>IF(Z4=43466,"Programmée","")</f>
        <v/>
      </c>
      <c r="AE4" s="286" t="str">
        <f>IF(Z4=43466,43404,"")</f>
        <v/>
      </c>
      <c r="AF4" s="277" t="s">
        <v>1136</v>
      </c>
      <c r="AG4" s="275">
        <f>(IF(COUNT(Z4)=0,"",IF(G4="Annulation","",IF(K4="SWISSLIFE",Z4+365,IF(K4="AVIVA",Z4+365,IF(K4="NEOLIANE Prev",Z4+365,IF(Z4&lt;42370,42370,IF(Z4&lt;42736,42736,IF(Z4&lt;43101,43101,IF(Z4&lt;43466,43466,IF(Z4&lt;43831,43831,IF(Z4&lt;44197,44197,IF(Z4&lt;44562,44562,IF(Z4&lt;44927,44927))))))))))))))</f>
        <v>43497</v>
      </c>
      <c r="AH4" s="287">
        <f ca="1">(IF(COUNT(Z4)=0,"",IF(G4="Annulation","",IF(Z4&gt;0,(Z4-TODAY())/(-365),0))))</f>
        <v>0.34794520547945207</v>
      </c>
      <c r="AI4" s="373">
        <f ca="1">(IF(COUNT(Z4)=0,"",IF(G4="Annulation","",IF(K4="SWISSLIFE",Z4+365+IF(Z4&gt;TODAY(),0,365*(DATEDIF(Z4,TODAY(),"Y"))),IF(K4="AVIVA",Z4+365+IF(Z4&gt;TODAY(),0,365*(DATEDIF(Z4,TODAY(),"Y"))),IF(K4="NEOLIANE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+IF(((IF(K4="SWISSLIFE",Z4+365+IF(Z4&gt;TODAY(),0,365*(DATEDIF(Z4,TODAY(),"Y"))),IF(K4="AVIVA",Z4+365+IF(Z4&gt;TODAY(),0,365*(DATEDIF(Z4,TODAY(),"Y"))),IF(K4="NEOLIANE Prev",Z4+365+IF(Z4&gt;TODAY(),0,365*(DATEDIF(Z4,TODAY(),"Y"))),IF(Z4&lt;=43252,43466,43831))))+365*(année-2018)+IF(année&gt;=2020,1))-62)&lt;TODAY(),365))))</f>
        <v>43497</v>
      </c>
      <c r="AJ4" s="275">
        <f ca="1">IF(G4="Annulation","",IF(Z4="","",AI4-62))</f>
        <v>43435</v>
      </c>
      <c r="AK4" s="296">
        <f ca="1">IF(G4="Annulation","",IF(Z4="","",AI4-92))</f>
        <v>43405</v>
      </c>
      <c r="AL4" s="287">
        <f ca="1">(IF(COUNT(Z4)=0,"",IF(G4="Annulation","",IF(Z4&gt;0,(Z4-AI4)/(-365),0))))</f>
        <v>1</v>
      </c>
      <c r="AM4" s="279">
        <f>IF(G4="Annulation","",IF(Z4&lt;42736,M4,0))</f>
        <v>0</v>
      </c>
      <c r="AN4" s="279">
        <f>IF(G4="Annulation","",IF(Z4&gt;=42736,IF(Z4&lt;43101,M4,0),0))</f>
        <v>0</v>
      </c>
      <c r="AO4" s="288">
        <f>IF(G4="Annulation","",IF(AM4&gt;0,IF(AM4&gt;0,(AM4-AN4)/AM4*(-1),),0))</f>
        <v>0</v>
      </c>
      <c r="AP4" s="279">
        <f>IF(G4="Annulation","",IF(Z4&gt;=43101,IF(Z4&lt;43466,M4,0),0))</f>
        <v>3.34</v>
      </c>
      <c r="AQ4" s="288">
        <f>IF(G4="Annulation","",IF(AN4&gt;0,(AN4-AP4)/AN4*(-1),))</f>
        <v>0</v>
      </c>
      <c r="AR4" s="289">
        <f>IF(G4="Annulation","",IF(AND(AM4&lt;=0,AN4&lt;=0,AO4&lt;=0),0,IF(AND(AM4&lt;=0,AN4&lt;=0,AO4&gt;0),(AP4-AO4)/AO4,0+IF(AND(AM4&lt;=0,AN4&gt;0,AO4&lt;=0),(AP4-AN4)/AN4,0+IF(AND(AM4&gt;0,AN4&lt;=0,AO4&lt;=0),(AP4-AM4)/AM4,0+IF(AND(AM4&lt;=0,AN4&gt;0,AO4&gt;0),(AP4-AN4)/AN4,0+IF(AND(AM4&gt;0,AN4&lt;=0,AO4&gt;0),(AP4-AM4)/AM4,0+IF(AND(AM4&lt;=0,AN4&gt;0,AO4&gt;0),(AP4-AN4)/AN4,0+IF(AND(AM4&gt;0,AN4&gt;0,AO4&lt;=0),(AP4-AM4)/AM4,0+IF(AND(AM4&gt;0,AN4&gt;0,AO4&gt;0),(AP4-AM4)/AM4,0))))))))))</f>
        <v>0</v>
      </c>
      <c r="AS4" s="279">
        <f>IF(G4="Annulation","",IF(Z4&gt;=43466,IF(Z4&lt;43831,M4,0),0))</f>
        <v>0</v>
      </c>
      <c r="AT4" s="288">
        <f>IF(G4="Annulation","",IF(AP4&gt;0,(AP4-AS4)/AP4*(-1),0))</f>
        <v>-1</v>
      </c>
      <c r="AU4" s="289">
        <f>IF(G4="Annulation","",IF(AS4&gt;0,IF(AM4&gt;0,(AM4-AS4)/(-AM4),IF(AN4&gt;0,(AN4-AS4)/(-AN4),IF(AP4&gt;0,(AP4-AS4)/(-AP4),0))),0))</f>
        <v>0</v>
      </c>
      <c r="AV4" s="279">
        <f>IF(G4="Annulation","",IF(Z4&gt;=43831,IF(Z4&lt;44197,M4,0),0))</f>
        <v>0</v>
      </c>
      <c r="AW4" s="288">
        <f>IF(G4="Annulation","",IF(AS4&gt;0,(AS4-AV4)/AS4*(-1),0))</f>
        <v>0</v>
      </c>
      <c r="AX4" s="289">
        <f>IF(G4="Annulation","",(IF(AM4&gt;0,(AM4-AV4)/(-AM4),IF(AN4&gt;0,(AN4-AV4)/(-AN4),IF(AP4&gt;0,(AP4-AV4)/(-AP4),IF(AS4&gt;0,(AS4-AV4)/(-AS4),0))))))</f>
        <v>-1</v>
      </c>
      <c r="AY4" s="290" t="s">
        <v>277</v>
      </c>
      <c r="AZ4" s="291">
        <v>23007618</v>
      </c>
      <c r="BA4" s="292">
        <v>13090</v>
      </c>
      <c r="BB4" s="303" t="s">
        <v>1137</v>
      </c>
      <c r="BC4" s="293">
        <v>602159862</v>
      </c>
      <c r="BD4" s="293"/>
      <c r="BE4" s="304" t="s">
        <v>1211</v>
      </c>
      <c r="BF4" s="274"/>
      <c r="BG4" s="270"/>
      <c r="BH4" s="268">
        <v>1</v>
      </c>
      <c r="BI4" s="273">
        <v>2</v>
      </c>
      <c r="BJ4" s="276">
        <v>26764</v>
      </c>
      <c r="BK4" s="294" t="s">
        <v>200</v>
      </c>
      <c r="BL4" s="269">
        <f ca="1">IF(DATEDIF(BJ4,TODAY(),"Y")=118,"",DATEDIF(BJ4,TODAY(),"Y"))</f>
        <v>45</v>
      </c>
      <c r="BM4" s="270"/>
      <c r="BN4" s="271"/>
      <c r="BO4" s="272" t="str">
        <f ca="1">IF(DATEDIF(BM4,TODAY(),"Y")=118,"",DATEDIF(BM4,TODAY(),"Y"))</f>
        <v/>
      </c>
      <c r="BP4" s="270"/>
      <c r="BQ4" s="271"/>
      <c r="BR4" s="272" t="str">
        <f ca="1">IF(DATEDIF(BP4,TODAY(),"Y")=118,"",DATEDIF(BP4,TODAY(),"Y"))</f>
        <v/>
      </c>
      <c r="BS4" s="270"/>
      <c r="BT4" s="271"/>
      <c r="BU4" s="272" t="str">
        <f ca="1">IF(DATEDIF(BS4,TODAY(),"Y")=118,"",DATEDIF(BS4,TODAY(),"Y"))</f>
        <v/>
      </c>
      <c r="BV4" s="270"/>
      <c r="BW4" s="271"/>
      <c r="BX4" s="272" t="str">
        <f ca="1">IF(DATEDIF(BV4,TODAY(),"Y")=118,"",DATEDIF(BV4,TODAY(),"Y"))</f>
        <v/>
      </c>
      <c r="BY4" s="270"/>
      <c r="BZ4" s="271"/>
      <c r="CA4" s="272" t="str">
        <f ca="1">IF(DATEDIF(BY4,TODAY(),"Y")=118,"",DATEDIF(BY4,TODAY(),"Y"))</f>
        <v/>
      </c>
      <c r="CB4" s="270"/>
      <c r="CC4" s="271"/>
      <c r="CD4" s="272" t="str">
        <f ca="1">IF(DATEDIF(CB4,TODAY(),"Y")=118,"",DATEDIF(CB4,TODAY(),"Y"))</f>
        <v/>
      </c>
      <c r="CE4" s="270"/>
      <c r="CF4" s="271"/>
      <c r="CG4" s="272" t="str">
        <f ca="1">IF(DATEDIF(CE4,TODAY(),"Y")=118,"",DATEDIF(CE4,TODAY(),"Y"))</f>
        <v/>
      </c>
      <c r="CH4" s="270"/>
      <c r="CI4" s="271"/>
      <c r="CJ4" s="272" t="str">
        <f ca="1">IF(DATEDIF(CH4,TODAY(),"Y")=118,"",DATEDIF(CH4,TODAY(),"Y"))</f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>IF(J4="Prev. Pro",IF(BL4=118,"",BL4),"")</f>
        <v/>
      </c>
      <c r="CU4" s="264"/>
      <c r="CV4" s="265"/>
      <c r="CW4" s="264"/>
      <c r="CX4" s="264"/>
      <c r="CY4" s="264" t="str">
        <f>IF(J4&lt;&gt;"Prev. Pro","",IF(AC4="","Non",IF(J4="Prev. Pro","Oui","Non")))</f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>Infoman</f>
        <v>0</v>
      </c>
      <c r="DN4" s="295" t="str">
        <f>IF(C4=0,"",IF(BJ4=0,"KO",IF(J4="Santé Individuelle",IF(COUNTBLANK(C4)+COUNTBLANK(K4)+COUNTBLANK(N4)+COUNTBLANK(L4)+COUNTBLANK(AZ4)+COUNTBLANK(BB4)+COUNTBLANK(BE4)+COUNTBLANK(BF4)+COUNTBLANK(Z4)+COUNTBLANK(BA4)+COUNTBLANK(BC4)+COUNTBLANK(BJ4)+COUNTBLANK(BK4)+COUNTBLANK(BM4)+COUNTBLANK(BN4)+COUNTBLANK(BP4)+COUNTBLANK(BQ4)+COUNTBLANK(BS4)+COUNTBLANK(BT4)+COUNTBLANK(BV4)+COUNTBLANK(BW4)+COUNTBLANK(BY4)+COUNTBLANK(BZ4)+COUNTBLANK(CB4)+COUNTBLANK(CC4)+COUNTBLANK(CE4)+COUNTBLANK(CF4)+COUNTBLANK(CH4)+COUNTBLANK(CI4)=18-2*(BH4+BI4),"OK",IF(COUNTBLANK(L4)+COUNTBLANK(AZ4)+COUNTBLANK(BB4)+COUNTBLANK(BE4)+COUNTBLANK(J4)+COUNTBLANK(C4)+COUNTBLANK(K4)+COUNTBLANK(N4)+COUNTBLANK(Z4)+COUNTBLANK(BC4)+COUNTBLANK(BA4)+COUNTBLANK(BJ4)+COUNTBLANK(BK4)=4,"Mini",IF(COUNTBLANK(C4)+COUNTBLANK(K4)+COUNTBLANK(N4)+COUNTBLANK(Z4)+COUNTBLANK(BA4)+COUNTBLANK(BC4)+COUNTBLANK(BJ4)+COUNTBLANK(BK4)+COUNTBLANK(BM4)+COUNTBLANK(BN4)+COUNTBLANK(BP4)+COUNTBLANK(BQ4)+COUNTBLANK(BS4)+COUNTBLANK(BT4)+COUNTBLANK(BV4)+COUNTBLANK(BW4)+COUNTBLANK(BY4)+COUNTBLANK(BZ4)+COUNTBLANK(CB4)+COUNTBLANK(CC4)+COUNTBLANK(CE4)+COUNTBLANK(CF4)+COUNTBLANK(CH4)+COUNTBLANK(CI4)=18-2*(BH4+BI4),"Mini","KO"))),IF(COUNTBLANK(L4)+COUNTBLANK(AZ4)+COUNTBLANK(BB4)+COUNTBLANK(BE4)+COUNTBLANK(J4)+COUNTBLANK(C4)+COUNTBLANK(K4)+COUNTBLANK(N4)+COUNTBLANK(Z4)+COUNTBLANK(BC4)+COUNTBLANK(BA4)+COUNTBLANK(BJ4)+COUNTBLANK(BK4)=0,"OK",IF(COUNTBLANK(J4)+COUNTBLANK(C4)+COUNTBLANK(K4)+COUNTBLANK(N4)+COUNTBLANK(Z4)+COUNTBLANK(BC4)+COUNTBLANK(BA4)+COUNTBLANK(BJ4)+COUNTBLANK(BK4)=0,"Mini","KO")))))</f>
        <v>OK</v>
      </c>
    </row>
    <row r="5" spans="1:118" x14ac:dyDescent="0.25">
      <c r="A5" s="599" t="str">
        <f t="shared" si="1"/>
        <v>PANAIVA MONTEGUT Valerie - NEOLIANE Prev - Prev. Part</v>
      </c>
      <c r="B5" s="306"/>
      <c r="C5" s="305" t="s">
        <v>1138</v>
      </c>
      <c r="D5" s="301" t="s">
        <v>1139</v>
      </c>
      <c r="E5" s="276">
        <v>43117</v>
      </c>
      <c r="F5" s="278" t="s">
        <v>547</v>
      </c>
      <c r="G5" s="311" t="s">
        <v>167</v>
      </c>
      <c r="H5" s="276">
        <v>43110</v>
      </c>
      <c r="I5" s="313">
        <f>IF(G5="Annulation","",IF(H5=0,"",E5-H5))</f>
        <v>7</v>
      </c>
      <c r="J5" s="312" t="s">
        <v>85</v>
      </c>
      <c r="K5" s="268" t="s">
        <v>123</v>
      </c>
      <c r="L5" s="277" t="s">
        <v>125</v>
      </c>
      <c r="M5" s="279">
        <v>3.34</v>
      </c>
      <c r="N5" s="280">
        <v>3.34</v>
      </c>
      <c r="O5" s="280"/>
      <c r="P5" s="285" t="s">
        <v>268</v>
      </c>
      <c r="Q5" s="281" t="str">
        <f>IF(COUNT(AD5)=0,"",AD5)</f>
        <v/>
      </c>
      <c r="R5" s="282">
        <f>SUM(M5*12)</f>
        <v>40.08</v>
      </c>
      <c r="S5" s="268" t="s">
        <v>18</v>
      </c>
      <c r="T5" s="283">
        <f>IF(G5="Annulation","",IF(assurance="ALPTIS",25,IF(assurance="APRIL",25,IF(assurance="ASAF",17.5,IF(assurance="NEOLIANE",25,IF(assurance="NEOLIANE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5" s="284">
        <f>IF(M5=0,0,IF(G5="Annulation","",IF(assurance="ALPTIS",M5*12*T5/100*'1801 Data'!$K$4,IF(assurance="APRIL",M5*12*T5/100*'1801 Data'!$F$4,IF(assurance="ASAF",M5*12*T5/100*'1801 Data'!$I$4,IF(assurance="NEOLIANE",('1801 Data'!$G$5+M5*12*'1801 Data'!$G$4)*T5/100,IF(assurance="NEOLIANE Prev",('1801 Data'!$H$5+M5*12*'1801 Data'!$H$4)*T5/100,IF(assurance="SWISSLIFE",M5*12*T5/100*'1801 Data'!$J$4,IF(assurance="AVIVA",M5*12*T5/100*'1801 Data'!$L$4,IF(assurance="CIPRES",M5*12*T5/100*'1801 Data'!$M$4,IF(assurance="CEGEMA",M5*12*T5/100*'1801 Data'!$N$4,IF(assurance=0,0))))))))))))</f>
        <v>6.5201088</v>
      </c>
      <c r="V5" s="298">
        <f>IF(M5="","",IF(G5="Annulation","",IF(typecomm="Précompte",SUM((M5-O5)*T5/100*12)+O5*12*0.15,IF(typecomm="Précompte 1",SUM((M5-O5)*T5/100*12)+O5*12*0.15,IF(typecomm="Linéaire",0,IF(typecomm=0,0))))))</f>
        <v>16.031999999999996</v>
      </c>
      <c r="W5" s="298">
        <f>IF(M5="","",IF(G5="Annulation","",IF(typecomm="Linéaire",SUM((M5-O5)*T5/100)+O5*0.15,IF(typecomm="Précompte 1",0,IF(typecomm="Précompte",0,IF(typecomm=0,0))))))</f>
        <v>0</v>
      </c>
      <c r="X5" s="299">
        <f>IF(G5="Annulation",0,IF(typecomm="Linéaire",0,IF(typecomm="Précompte 1",V5-U5,IF(mens=0,0,IF(typecomm="Précompte",V5-U5,IF(typecomm=0,0))))))</f>
        <v>9.5118911999999973</v>
      </c>
      <c r="Y5" s="368">
        <f>IF(G5="Annulation",0,IF(M5="",0,IF(typecomm="Linéaire",SUM(W5-U5/12),IF(typecomm="Précompte 1",0,IF(typecomm="Précompte",0,IF(typecomm=0,0))))))</f>
        <v>0</v>
      </c>
      <c r="Z5" s="314">
        <v>43132</v>
      </c>
      <c r="AA5" s="313">
        <f>IF(Z5="","",IF(G5="Annulation","",IF(E5="",0,Z5-E5)))</f>
        <v>15</v>
      </c>
      <c r="AB5" s="268" t="s">
        <v>13</v>
      </c>
      <c r="AC5" s="277"/>
      <c r="AD5" s="309" t="str">
        <f>IF(Z5=43466,"Programmée","")</f>
        <v/>
      </c>
      <c r="AE5" s="286" t="str">
        <f>IF(Z5=43466,43404,"")</f>
        <v/>
      </c>
      <c r="AF5" s="277" t="s">
        <v>1136</v>
      </c>
      <c r="AG5" s="275">
        <f>(IF(COUNT(Z5)=0,"",IF(G5="Annulation","",IF(K5="SWISSLIFE",Z5+365,IF(K5="AVIVA",Z5+365,IF(K5="NEOLIANE Prev",Z5+365,IF(Z5&lt;42370,42370,IF(Z5&lt;42736,42736,IF(Z5&lt;43101,43101,IF(Z5&lt;43466,43466,IF(Z5&lt;43831,43831,IF(Z5&lt;44197,44197,IF(Z5&lt;44562,44562,IF(Z5&lt;44927,44927))))))))))))))</f>
        <v>43497</v>
      </c>
      <c r="AH5" s="287">
        <f ca="1">(IF(COUNT(Z5)=0,"",IF(G5="Annulation","",IF(Z5&gt;0,(Z5-TODAY())/(-365),0))))</f>
        <v>0.34794520547945207</v>
      </c>
      <c r="AI5" s="373">
        <f ca="1">(IF(COUNT(Z5)=0,"",IF(G5="Annulation","",IF(K5="SWISSLIFE",Z5+365+IF(Z5&gt;TODAY(),0,365*(DATEDIF(Z5,TODAY(),"Y"))),IF(K5="AVIVA",Z5+365+IF(Z5&gt;TODAY(),0,365*(DATEDIF(Z5,TODAY(),"Y"))),IF(K5="NEOLIANE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+IF(((IF(K5="SWISSLIFE",Z5+365+IF(Z5&gt;TODAY(),0,365*(DATEDIF(Z5,TODAY(),"Y"))),IF(K5="AVIVA",Z5+365+IF(Z5&gt;TODAY(),0,365*(DATEDIF(Z5,TODAY(),"Y"))),IF(K5="NEOLIANE Prev",Z5+365+IF(Z5&gt;TODAY(),0,365*(DATEDIF(Z5,TODAY(),"Y"))),IF(Z5&lt;=43252,43466,43831))))+365*(année-2018)+IF(année&gt;=2020,1))-62)&lt;TODAY(),365))))</f>
        <v>43497</v>
      </c>
      <c r="AJ5" s="275">
        <f ca="1">IF(G5="Annulation","",IF(Z5="","",AI5-62))</f>
        <v>43435</v>
      </c>
      <c r="AK5" s="296">
        <f ca="1">IF(G5="Annulation","",IF(Z5="","",AI5-92))</f>
        <v>43405</v>
      </c>
      <c r="AL5" s="287">
        <f ca="1">(IF(COUNT(Z5)=0,"",IF(G5="Annulation","",IF(Z5&gt;0,(Z5-AI5)/(-365),0))))</f>
        <v>1</v>
      </c>
      <c r="AM5" s="279">
        <f>IF(G5="Annulation","",IF(Z5&lt;42736,M5,0))</f>
        <v>0</v>
      </c>
      <c r="AN5" s="279">
        <f>IF(G5="Annulation","",IF(Z5&gt;=42736,IF(Z5&lt;43101,M5,0),0))</f>
        <v>0</v>
      </c>
      <c r="AO5" s="288">
        <f>IF(G5="Annulation","",IF(AM5&gt;0,IF(AM5&gt;0,(AM5-AN5)/AM5*(-1),),0))</f>
        <v>0</v>
      </c>
      <c r="AP5" s="279">
        <f>IF(G5="Annulation","",IF(Z5&gt;=43101,IF(Z5&lt;43466,M5,0),0))</f>
        <v>3.34</v>
      </c>
      <c r="AQ5" s="288">
        <f>IF(G5="Annulation","",IF(AN5&gt;0,(AN5-AP5)/AN5*(-1),))</f>
        <v>0</v>
      </c>
      <c r="AR5" s="289">
        <f>IF(G5="Annulation","",IF(AND(AM5&lt;=0,AN5&lt;=0,AO5&lt;=0),0,IF(AND(AM5&lt;=0,AN5&lt;=0,AO5&gt;0),(AP5-AO5)/AO5,0+IF(AND(AM5&lt;=0,AN5&gt;0,AO5&lt;=0),(AP5-AN5)/AN5,0+IF(AND(AM5&gt;0,AN5&lt;=0,AO5&lt;=0),(AP5-AM5)/AM5,0+IF(AND(AM5&lt;=0,AN5&gt;0,AO5&gt;0),(AP5-AN5)/AN5,0+IF(AND(AM5&gt;0,AN5&lt;=0,AO5&gt;0),(AP5-AM5)/AM5,0+IF(AND(AM5&lt;=0,AN5&gt;0,AO5&gt;0),(AP5-AN5)/AN5,0+IF(AND(AM5&gt;0,AN5&gt;0,AO5&lt;=0),(AP5-AM5)/AM5,0+IF(AND(AM5&gt;0,AN5&gt;0,AO5&gt;0),(AP5-AM5)/AM5,0))))))))))</f>
        <v>0</v>
      </c>
      <c r="AS5" s="279">
        <f>IF(G5="Annulation","",IF(Z5&gt;=43466,IF(Z5&lt;43831,M5,0),0))</f>
        <v>0</v>
      </c>
      <c r="AT5" s="288">
        <f>IF(G5="Annulation","",IF(AP5&gt;0,(AP5-AS5)/AP5*(-1),0))</f>
        <v>-1</v>
      </c>
      <c r="AU5" s="289">
        <f>IF(G5="Annulation","",IF(AS5&gt;0,IF(AM5&gt;0,(AM5-AS5)/(-AM5),IF(AN5&gt;0,(AN5-AS5)/(-AN5),IF(AP5&gt;0,(AP5-AS5)/(-AP5),0))),0))</f>
        <v>0</v>
      </c>
      <c r="AV5" s="279">
        <f>IF(G5="Annulation","",IF(Z5&gt;=43831,IF(Z5&lt;44197,M5,0),0))</f>
        <v>0</v>
      </c>
      <c r="AW5" s="288">
        <f>IF(G5="Annulation","",IF(AS5&gt;0,(AS5-AV5)/AS5*(-1),0))</f>
        <v>0</v>
      </c>
      <c r="AX5" s="289">
        <f>IF(G5="Annulation","",(IF(AM5&gt;0,(AM5-AV5)/(-AM5),IF(AN5&gt;0,(AN5-AV5)/(-AN5),IF(AP5&gt;0,(AP5-AV5)/(-AP5),IF(AS5&gt;0,(AS5-AV5)/(-AS5),0))))))</f>
        <v>-1</v>
      </c>
      <c r="AY5" s="290" t="s">
        <v>277</v>
      </c>
      <c r="AZ5" s="291">
        <v>23007618</v>
      </c>
      <c r="BA5" s="292">
        <v>13090</v>
      </c>
      <c r="BB5" s="303" t="s">
        <v>1137</v>
      </c>
      <c r="BC5" s="293">
        <v>602159862</v>
      </c>
      <c r="BD5" s="293"/>
      <c r="BE5" s="304" t="s">
        <v>1211</v>
      </c>
      <c r="BF5" s="274"/>
      <c r="BG5" s="270"/>
      <c r="BH5" s="268">
        <v>1</v>
      </c>
      <c r="BI5" s="273">
        <v>2</v>
      </c>
      <c r="BJ5" s="276">
        <v>26764</v>
      </c>
      <c r="BK5" s="294" t="s">
        <v>200</v>
      </c>
      <c r="BL5" s="269">
        <f ca="1">IF(DATEDIF(BJ5,TODAY(),"Y")=118,"",DATEDIF(BJ5,TODAY(),"Y"))</f>
        <v>45</v>
      </c>
      <c r="BM5" s="270"/>
      <c r="BN5" s="271"/>
      <c r="BO5" s="272" t="str">
        <f ca="1">IF(DATEDIF(BM5,TODAY(),"Y")=118,"",DATEDIF(BM5,TODAY(),"Y"))</f>
        <v/>
      </c>
      <c r="BP5" s="270"/>
      <c r="BQ5" s="271"/>
      <c r="BR5" s="272" t="str">
        <f ca="1">IF(DATEDIF(BP5,TODAY(),"Y")=118,"",DATEDIF(BP5,TODAY(),"Y"))</f>
        <v/>
      </c>
      <c r="BS5" s="270"/>
      <c r="BT5" s="271"/>
      <c r="BU5" s="272" t="str">
        <f ca="1">IF(DATEDIF(BS5,TODAY(),"Y")=118,"",DATEDIF(BS5,TODAY(),"Y"))</f>
        <v/>
      </c>
      <c r="BV5" s="270"/>
      <c r="BW5" s="271"/>
      <c r="BX5" s="272" t="str">
        <f ca="1">IF(DATEDIF(BV5,TODAY(),"Y")=118,"",DATEDIF(BV5,TODAY(),"Y"))</f>
        <v/>
      </c>
      <c r="BY5" s="270"/>
      <c r="BZ5" s="271"/>
      <c r="CA5" s="272" t="str">
        <f ca="1">IF(DATEDIF(BY5,TODAY(),"Y")=118,"",DATEDIF(BY5,TODAY(),"Y"))</f>
        <v/>
      </c>
      <c r="CB5" s="270"/>
      <c r="CC5" s="271"/>
      <c r="CD5" s="272" t="str">
        <f ca="1">IF(DATEDIF(CB5,TODAY(),"Y")=118,"",DATEDIF(CB5,TODAY(),"Y"))</f>
        <v/>
      </c>
      <c r="CE5" s="270"/>
      <c r="CF5" s="271"/>
      <c r="CG5" s="272" t="str">
        <f ca="1">IF(DATEDIF(CE5,TODAY(),"Y")=118,"",DATEDIF(CE5,TODAY(),"Y"))</f>
        <v/>
      </c>
      <c r="CH5" s="270"/>
      <c r="CI5" s="271"/>
      <c r="CJ5" s="272" t="str">
        <f ca="1">IF(DATEDIF(CH5,TODAY(),"Y")=118,"",DATEDIF(CH5,TODAY(),"Y"))</f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>IF(J5="Prev. Pro",IF(BL5=118,"",BL5),"")</f>
        <v/>
      </c>
      <c r="CU5" s="264"/>
      <c r="CV5" s="265"/>
      <c r="CW5" s="264"/>
      <c r="CX5" s="264"/>
      <c r="CY5" s="264" t="str">
        <f>IF(J5&lt;&gt;"Prev. Pro","",IF(AC5="","Non",IF(J5="Prev. Pro","Oui","Non")))</f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>Infoman</f>
        <v>0</v>
      </c>
      <c r="DN5" s="295" t="str">
        <f>IF(C5=0,"",IF(BJ5=0,"KO",IF(J5="Santé Individuelle",IF(COUNTBLANK(C5)+COUNTBLANK(K5)+COUNTBLANK(N5)+COUNTBLANK(L5)+COUNTBLANK(AZ5)+COUNTBLANK(BB5)+COUNTBLANK(BE5)+COUNTBLANK(BF5)+COUNTBLANK(Z5)+COUNTBLANK(BA5)+COUNTBLANK(BC5)+COUNTBLANK(BJ5)+COUNTBLANK(BK5)+COUNTBLANK(BM5)+COUNTBLANK(BN5)+COUNTBLANK(BP5)+COUNTBLANK(BQ5)+COUNTBLANK(BS5)+COUNTBLANK(BT5)+COUNTBLANK(BV5)+COUNTBLANK(BW5)+COUNTBLANK(BY5)+COUNTBLANK(BZ5)+COUNTBLANK(CB5)+COUNTBLANK(CC5)+COUNTBLANK(CE5)+COUNTBLANK(CF5)+COUNTBLANK(CH5)+COUNTBLANK(CI5)=18-2*(BH5+BI5),"OK",IF(COUNTBLANK(L5)+COUNTBLANK(AZ5)+COUNTBLANK(BB5)+COUNTBLANK(BE5)+COUNTBLANK(J5)+COUNTBLANK(C5)+COUNTBLANK(K5)+COUNTBLANK(N5)+COUNTBLANK(Z5)+COUNTBLANK(BC5)+COUNTBLANK(BA5)+COUNTBLANK(BJ5)+COUNTBLANK(BK5)=4,"Mini",IF(COUNTBLANK(C5)+COUNTBLANK(K5)+COUNTBLANK(N5)+COUNTBLANK(Z5)+COUNTBLANK(BA5)+COUNTBLANK(BC5)+COUNTBLANK(BJ5)+COUNTBLANK(BK5)+COUNTBLANK(BM5)+COUNTBLANK(BN5)+COUNTBLANK(BP5)+COUNTBLANK(BQ5)+COUNTBLANK(BS5)+COUNTBLANK(BT5)+COUNTBLANK(BV5)+COUNTBLANK(BW5)+COUNTBLANK(BY5)+COUNTBLANK(BZ5)+COUNTBLANK(CB5)+COUNTBLANK(CC5)+COUNTBLANK(CE5)+COUNTBLANK(CF5)+COUNTBLANK(CH5)+COUNTBLANK(CI5)=18-2*(BH5+BI5),"Mini","KO"))),IF(COUNTBLANK(L5)+COUNTBLANK(AZ5)+COUNTBLANK(BB5)+COUNTBLANK(BE5)+COUNTBLANK(J5)+COUNTBLANK(C5)+COUNTBLANK(K5)+COUNTBLANK(N5)+COUNTBLANK(Z5)+COUNTBLANK(BC5)+COUNTBLANK(BA5)+COUNTBLANK(BJ5)+COUNTBLANK(BK5)=0,"OK",IF(COUNTBLANK(J5)+COUNTBLANK(C5)+COUNTBLANK(K5)+COUNTBLANK(N5)+COUNTBLANK(Z5)+COUNTBLANK(BC5)+COUNTBLANK(BA5)+COUNTBLANK(BJ5)+COUNTBLANK(BK5)=0,"Mini","KO")))))</f>
        <v>OK</v>
      </c>
    </row>
    <row r="6" spans="1:118" x14ac:dyDescent="0.25">
      <c r="A6" s="599" t="str">
        <f t="shared" si="1"/>
        <v>PANAIVA MONTEGUT Valerie - NEOLIANE Prev - Prev. Part</v>
      </c>
      <c r="B6" s="306"/>
      <c r="C6" s="305" t="s">
        <v>1138</v>
      </c>
      <c r="D6" s="301" t="s">
        <v>1139</v>
      </c>
      <c r="E6" s="276">
        <v>43117</v>
      </c>
      <c r="F6" s="278" t="s">
        <v>547</v>
      </c>
      <c r="G6" s="311" t="s">
        <v>167</v>
      </c>
      <c r="H6" s="276">
        <v>43110</v>
      </c>
      <c r="I6" s="313">
        <f>IF(G6="Annulation","",IF(H6=0,"",E6-H6))</f>
        <v>7</v>
      </c>
      <c r="J6" s="312" t="s">
        <v>85</v>
      </c>
      <c r="K6" s="268" t="s">
        <v>123</v>
      </c>
      <c r="L6" s="277" t="s">
        <v>125</v>
      </c>
      <c r="M6" s="279">
        <v>3.34</v>
      </c>
      <c r="N6" s="280">
        <v>3.34</v>
      </c>
      <c r="O6" s="280"/>
      <c r="P6" s="285" t="s">
        <v>268</v>
      </c>
      <c r="Q6" s="281" t="str">
        <f>IF(COUNT(AD6)=0,"",AD6)</f>
        <v/>
      </c>
      <c r="R6" s="282">
        <f>SUM(M6*12)</f>
        <v>40.08</v>
      </c>
      <c r="S6" s="268" t="s">
        <v>18</v>
      </c>
      <c r="T6" s="283">
        <f>IF(G6="Annulation","",IF(assurance="ALPTIS",25,IF(assurance="APRIL",25,IF(assurance="ASAF",17.5,IF(assurance="NEOLIANE",25,IF(assurance="NEOLIANE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40</v>
      </c>
      <c r="U6" s="284">
        <f>IF(M6=0,0,IF(G6="Annulation","",IF(assurance="ALPTIS",M6*12*T6/100*'1801 Data'!$K$4,IF(assurance="APRIL",M6*12*T6/100*'1801 Data'!$F$4,IF(assurance="ASAF",M6*12*T6/100*'1801 Data'!$I$4,IF(assurance="NEOLIANE",('1801 Data'!$G$5+M6*12*'1801 Data'!$G$4)*T6/100,IF(assurance="NEOLIANE Prev",('1801 Data'!$H$5+M6*12*'1801 Data'!$H$4)*T6/100,IF(assurance="SWISSLIFE",M6*12*T6/100*'1801 Data'!$J$4,IF(assurance="AVIVA",M6*12*T6/100*'1801 Data'!$L$4,IF(assurance="CIPRES",M6*12*T6/100*'1801 Data'!$M$4,IF(assurance="CEGEMA",M6*12*T6/100*'1801 Data'!$N$4,IF(assurance=0,0))))))))))))</f>
        <v>6.5201088</v>
      </c>
      <c r="V6" s="298">
        <f>IF(M6="","",IF(G6="Annulation","",IF(typecomm="Précompte",SUM((M6-O6)*T6/100*12)+O6*12*0.15,IF(typecomm="Précompte 1",SUM((M6-O6)*T6/100*12)+O6*12*0.15,IF(typecomm="Linéaire",0,IF(typecomm=0,0))))))</f>
        <v>16.031999999999996</v>
      </c>
      <c r="W6" s="298">
        <f>IF(M6="","",IF(G6="Annulation","",IF(typecomm="Linéaire",SUM((M6-O6)*T6/100)+O6*0.15,IF(typecomm="Précompte 1",0,IF(typecomm="Précompte",0,IF(typecomm=0,0))))))</f>
        <v>0</v>
      </c>
      <c r="X6" s="299">
        <f>IF(G6="Annulation",0,IF(typecomm="Linéaire",0,IF(typecomm="Précompte 1",V6-U6,IF(mens=0,0,IF(typecomm="Précompte",V6-U6,IF(typecomm=0,0))))))</f>
        <v>9.5118911999999973</v>
      </c>
      <c r="Y6" s="368">
        <f>IF(G6="Annulation",0,IF(M6="",0,IF(typecomm="Linéaire",SUM(W6-U6/12),IF(typecomm="Précompte 1",0,IF(typecomm="Précompte",0,IF(typecomm=0,0))))))</f>
        <v>0</v>
      </c>
      <c r="Z6" s="314">
        <v>43132</v>
      </c>
      <c r="AA6" s="313">
        <f>IF(Z6="","",IF(G6="Annulation","",IF(E6="",0,Z6-E6)))</f>
        <v>15</v>
      </c>
      <c r="AB6" s="268" t="s">
        <v>13</v>
      </c>
      <c r="AC6" s="277"/>
      <c r="AD6" s="309" t="str">
        <f>IF(Z6=43466,"Programmée","")</f>
        <v/>
      </c>
      <c r="AE6" s="286" t="str">
        <f>IF(Z6=43466,43404,"")</f>
        <v/>
      </c>
      <c r="AF6" s="277" t="s">
        <v>1136</v>
      </c>
      <c r="AG6" s="275">
        <f>(IF(COUNT(Z6)=0,"",IF(G6="Annulation","",IF(K6="SWISSLIFE",Z6+365,IF(K6="AVIVA",Z6+365,IF(K6="NEOLIANE Prev",Z6+365,IF(Z6&lt;42370,42370,IF(Z6&lt;42736,42736,IF(Z6&lt;43101,43101,IF(Z6&lt;43466,43466,IF(Z6&lt;43831,43831,IF(Z6&lt;44197,44197,IF(Z6&lt;44562,44562,IF(Z6&lt;44927,44927))))))))))))))</f>
        <v>43497</v>
      </c>
      <c r="AH6" s="287">
        <f ca="1">(IF(COUNT(Z6)=0,"",IF(G6="Annulation","",IF(Z6&gt;0,(Z6-TODAY())/(-365),0))))</f>
        <v>0.34794520547945207</v>
      </c>
      <c r="AI6" s="373">
        <f ca="1">(IF(COUNT(Z6)=0,"",IF(G6="Annulation","",IF(K6="SWISSLIFE",Z6+365+IF(Z6&gt;TODAY(),0,365*(DATEDIF(Z6,TODAY(),"Y"))),IF(K6="AVIVA",Z6+365+IF(Z6&gt;TODAY(),0,365*(DATEDIF(Z6,TODAY(),"Y"))),IF(K6="NEOLIANE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+IF(((IF(K6="SWISSLIFE",Z6+365+IF(Z6&gt;TODAY(),0,365*(DATEDIF(Z6,TODAY(),"Y"))),IF(K6="AVIVA",Z6+365+IF(Z6&gt;TODAY(),0,365*(DATEDIF(Z6,TODAY(),"Y"))),IF(K6="NEOLIANE Prev",Z6+365+IF(Z6&gt;TODAY(),0,365*(DATEDIF(Z6,TODAY(),"Y"))),IF(Z6&lt;=43252,43466,43831))))+365*(année-2018)+IF(année&gt;=2020,1))-62)&lt;TODAY(),365))))</f>
        <v>43497</v>
      </c>
      <c r="AJ6" s="275">
        <f ca="1">IF(G6="Annulation","",IF(Z6="","",AI6-62))</f>
        <v>43435</v>
      </c>
      <c r="AK6" s="296">
        <f ca="1">IF(G6="Annulation","",IF(Z6="","",AI6-92))</f>
        <v>43405</v>
      </c>
      <c r="AL6" s="287">
        <f ca="1">(IF(COUNT(Z6)=0,"",IF(G6="Annulation","",IF(Z6&gt;0,(Z6-AI6)/(-365),0))))</f>
        <v>1</v>
      </c>
      <c r="AM6" s="279">
        <f>IF(G6="Annulation","",IF(Z6&lt;42736,M6,0))</f>
        <v>0</v>
      </c>
      <c r="AN6" s="279">
        <f>IF(G6="Annulation","",IF(Z6&gt;=42736,IF(Z6&lt;43101,M6,0),0))</f>
        <v>0</v>
      </c>
      <c r="AO6" s="288">
        <f>IF(G6="Annulation","",IF(AM6&gt;0,IF(AM6&gt;0,(AM6-AN6)/AM6*(-1),),0))</f>
        <v>0</v>
      </c>
      <c r="AP6" s="279">
        <f>IF(G6="Annulation","",IF(Z6&gt;=43101,IF(Z6&lt;43466,M6,0),0))</f>
        <v>3.34</v>
      </c>
      <c r="AQ6" s="288">
        <f>IF(G6="Annulation","",IF(AN6&gt;0,(AN6-AP6)/AN6*(-1),))</f>
        <v>0</v>
      </c>
      <c r="AR6" s="289">
        <f>IF(G6="Annulation","",IF(AND(AM6&lt;=0,AN6&lt;=0,AO6&lt;=0),0,IF(AND(AM6&lt;=0,AN6&lt;=0,AO6&gt;0),(AP6-AO6)/AO6,0+IF(AND(AM6&lt;=0,AN6&gt;0,AO6&lt;=0),(AP6-AN6)/AN6,0+IF(AND(AM6&gt;0,AN6&lt;=0,AO6&lt;=0),(AP6-AM6)/AM6,0+IF(AND(AM6&lt;=0,AN6&gt;0,AO6&gt;0),(AP6-AN6)/AN6,0+IF(AND(AM6&gt;0,AN6&lt;=0,AO6&gt;0),(AP6-AM6)/AM6,0+IF(AND(AM6&lt;=0,AN6&gt;0,AO6&gt;0),(AP6-AN6)/AN6,0+IF(AND(AM6&gt;0,AN6&gt;0,AO6&lt;=0),(AP6-AM6)/AM6,0+IF(AND(AM6&gt;0,AN6&gt;0,AO6&gt;0),(AP6-AM6)/AM6,0))))))))))</f>
        <v>0</v>
      </c>
      <c r="AS6" s="279">
        <f>IF(G6="Annulation","",IF(Z6&gt;=43466,IF(Z6&lt;43831,M6,0),0))</f>
        <v>0</v>
      </c>
      <c r="AT6" s="288">
        <f>IF(G6="Annulation","",IF(AP6&gt;0,(AP6-AS6)/AP6*(-1),0))</f>
        <v>-1</v>
      </c>
      <c r="AU6" s="289">
        <f>IF(G6="Annulation","",IF(AS6&gt;0,IF(AM6&gt;0,(AM6-AS6)/(-AM6),IF(AN6&gt;0,(AN6-AS6)/(-AN6),IF(AP6&gt;0,(AP6-AS6)/(-AP6),0))),0))</f>
        <v>0</v>
      </c>
      <c r="AV6" s="279">
        <f>IF(G6="Annulation","",IF(Z6&gt;=43831,IF(Z6&lt;44197,M6,0),0))</f>
        <v>0</v>
      </c>
      <c r="AW6" s="288">
        <f>IF(G6="Annulation","",IF(AS6&gt;0,(AS6-AV6)/AS6*(-1),0))</f>
        <v>0</v>
      </c>
      <c r="AX6" s="289">
        <f>IF(G6="Annulation","",(IF(AM6&gt;0,(AM6-AV6)/(-AM6),IF(AN6&gt;0,(AN6-AV6)/(-AN6),IF(AP6&gt;0,(AP6-AV6)/(-AP6),IF(AS6&gt;0,(AS6-AV6)/(-AS6),0))))))</f>
        <v>-1</v>
      </c>
      <c r="AY6" s="290" t="s">
        <v>277</v>
      </c>
      <c r="AZ6" s="291">
        <v>23007618</v>
      </c>
      <c r="BA6" s="292">
        <v>13090</v>
      </c>
      <c r="BB6" s="303" t="s">
        <v>1137</v>
      </c>
      <c r="BC6" s="293">
        <v>602159862</v>
      </c>
      <c r="BD6" s="293"/>
      <c r="BE6" s="304" t="s">
        <v>1211</v>
      </c>
      <c r="BF6" s="274"/>
      <c r="BG6" s="270"/>
      <c r="BH6" s="268">
        <v>1</v>
      </c>
      <c r="BI6" s="273">
        <v>2</v>
      </c>
      <c r="BJ6" s="276">
        <v>26764</v>
      </c>
      <c r="BK6" s="294" t="s">
        <v>200</v>
      </c>
      <c r="BL6" s="269">
        <f ca="1">IF(DATEDIF(BJ6,TODAY(),"Y")=118,"",DATEDIF(BJ6,TODAY(),"Y"))</f>
        <v>45</v>
      </c>
      <c r="BM6" s="270"/>
      <c r="BN6" s="271"/>
      <c r="BO6" s="272" t="str">
        <f ca="1">IF(DATEDIF(BM6,TODAY(),"Y")=118,"",DATEDIF(BM6,TODAY(),"Y"))</f>
        <v/>
      </c>
      <c r="BP6" s="270"/>
      <c r="BQ6" s="271"/>
      <c r="BR6" s="272" t="str">
        <f ca="1">IF(DATEDIF(BP6,TODAY(),"Y")=118,"",DATEDIF(BP6,TODAY(),"Y"))</f>
        <v/>
      </c>
      <c r="BS6" s="270"/>
      <c r="BT6" s="271"/>
      <c r="BU6" s="272" t="str">
        <f ca="1">IF(DATEDIF(BS6,TODAY(),"Y")=118,"",DATEDIF(BS6,TODAY(),"Y"))</f>
        <v/>
      </c>
      <c r="BV6" s="270"/>
      <c r="BW6" s="271"/>
      <c r="BX6" s="272" t="str">
        <f ca="1">IF(DATEDIF(BV6,TODAY(),"Y")=118,"",DATEDIF(BV6,TODAY(),"Y"))</f>
        <v/>
      </c>
      <c r="BY6" s="270"/>
      <c r="BZ6" s="271"/>
      <c r="CA6" s="272" t="str">
        <f ca="1">IF(DATEDIF(BY6,TODAY(),"Y")=118,"",DATEDIF(BY6,TODAY(),"Y"))</f>
        <v/>
      </c>
      <c r="CB6" s="270"/>
      <c r="CC6" s="271"/>
      <c r="CD6" s="272" t="str">
        <f ca="1">IF(DATEDIF(CB6,TODAY(),"Y")=118,"",DATEDIF(CB6,TODAY(),"Y"))</f>
        <v/>
      </c>
      <c r="CE6" s="270"/>
      <c r="CF6" s="271"/>
      <c r="CG6" s="272" t="str">
        <f ca="1">IF(DATEDIF(CE6,TODAY(),"Y")=118,"",DATEDIF(CE6,TODAY(),"Y"))</f>
        <v/>
      </c>
      <c r="CH6" s="270"/>
      <c r="CI6" s="271"/>
      <c r="CJ6" s="272" t="str">
        <f ca="1">IF(DATEDIF(CH6,TODAY(),"Y")=118,"",DATEDIF(CH6,TODAY(),"Y"))</f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>IF(J6="Prev. Pro",IF(BL6=118,"",BL6),"")</f>
        <v/>
      </c>
      <c r="CU6" s="264"/>
      <c r="CV6" s="265"/>
      <c r="CW6" s="264"/>
      <c r="CX6" s="264"/>
      <c r="CY6" s="264" t="str">
        <f>IF(J6&lt;&gt;"Prev. Pro","",IF(AC6="","Non",IF(J6="Prev. Pro","Oui","Non")))</f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>Infoman</f>
        <v>0</v>
      </c>
      <c r="DN6" s="295" t="str">
        <f>IF(C6=0,"",IF(BJ6=0,"KO",IF(J6="Santé Individuelle",IF(COUNTBLANK(C6)+COUNTBLANK(K6)+COUNTBLANK(N6)+COUNTBLANK(L6)+COUNTBLANK(AZ6)+COUNTBLANK(BB6)+COUNTBLANK(BE6)+COUNTBLANK(BF6)+COUNTBLANK(Z6)+COUNTBLANK(BA6)+COUNTBLANK(BC6)+COUNTBLANK(BJ6)+COUNTBLANK(BK6)+COUNTBLANK(BM6)+COUNTBLANK(BN6)+COUNTBLANK(BP6)+COUNTBLANK(BQ6)+COUNTBLANK(BS6)+COUNTBLANK(BT6)+COUNTBLANK(BV6)+COUNTBLANK(BW6)+COUNTBLANK(BY6)+COUNTBLANK(BZ6)+COUNTBLANK(CB6)+COUNTBLANK(CC6)+COUNTBLANK(CE6)+COUNTBLANK(CF6)+COUNTBLANK(CH6)+COUNTBLANK(CI6)=18-2*(BH6+BI6),"OK",IF(COUNTBLANK(L6)+COUNTBLANK(AZ6)+COUNTBLANK(BB6)+COUNTBLANK(BE6)+COUNTBLANK(J6)+COUNTBLANK(C6)+COUNTBLANK(K6)+COUNTBLANK(N6)+COUNTBLANK(Z6)+COUNTBLANK(BC6)+COUNTBLANK(BA6)+COUNTBLANK(BJ6)+COUNTBLANK(BK6)=4,"Mini",IF(COUNTBLANK(C6)+COUNTBLANK(K6)+COUNTBLANK(N6)+COUNTBLANK(Z6)+COUNTBLANK(BA6)+COUNTBLANK(BC6)+COUNTBLANK(BJ6)+COUNTBLANK(BK6)+COUNTBLANK(BM6)+COUNTBLANK(BN6)+COUNTBLANK(BP6)+COUNTBLANK(BQ6)+COUNTBLANK(BS6)+COUNTBLANK(BT6)+COUNTBLANK(BV6)+COUNTBLANK(BW6)+COUNTBLANK(BY6)+COUNTBLANK(BZ6)+COUNTBLANK(CB6)+COUNTBLANK(CC6)+COUNTBLANK(CE6)+COUNTBLANK(CF6)+COUNTBLANK(CH6)+COUNTBLANK(CI6)=18-2*(BH6+BI6),"Mini","KO"))),IF(COUNTBLANK(L6)+COUNTBLANK(AZ6)+COUNTBLANK(BB6)+COUNTBLANK(BE6)+COUNTBLANK(J6)+COUNTBLANK(C6)+COUNTBLANK(K6)+COUNTBLANK(N6)+COUNTBLANK(Z6)+COUNTBLANK(BC6)+COUNTBLANK(BA6)+COUNTBLANK(BJ6)+COUNTBLANK(BK6)=0,"OK",IF(COUNTBLANK(J6)+COUNTBLANK(C6)+COUNTBLANK(K6)+COUNTBLANK(N6)+COUNTBLANK(Z6)+COUNTBLANK(BC6)+COUNTBLANK(BA6)+COUNTBLANK(BJ6)+COUNTBLANK(BK6)=0,"Mini","KO")))))</f>
        <v>OK</v>
      </c>
    </row>
  </sheetData>
  <sortState ref="C2:DO6">
    <sortCondition ref="E1"/>
  </sortState>
  <mergeCells count="1">
    <mergeCell ref="A1:B1"/>
  </mergeCells>
  <conditionalFormatting sqref="BG2:BG6 CH2:CH6 CE2:CE6 CB2:CB6 BY2:BY6 BV2:BV6 BP2:BP6 BM2:BM6 BS1:BS6">
    <cfRule type="expression" dxfId="776" priority="524">
      <formula>$J1="Santé Individuelle"</formula>
    </cfRule>
  </conditionalFormatting>
  <conditionalFormatting sqref="BO2:BO6 BR2:BR6 BX2:BX6 CA2:CA6 CD2:CD6 CG2:CG6 CJ2:CJ6 BU1:BU6">
    <cfRule type="expression" dxfId="775" priority="525">
      <formula>$J1="Santé Individuelle"</formula>
    </cfRule>
  </conditionalFormatting>
  <conditionalFormatting sqref="BV1">
    <cfRule type="expression" dxfId="774" priority="520">
      <formula>$J1="Santé Individuelle"</formula>
    </cfRule>
  </conditionalFormatting>
  <conditionalFormatting sqref="BX1">
    <cfRule type="expression" dxfId="773" priority="521">
      <formula>$J1="Santé Individuelle"</formula>
    </cfRule>
  </conditionalFormatting>
  <conditionalFormatting sqref="BY1">
    <cfRule type="expression" dxfId="772" priority="516">
      <formula>$J1="Santé Individuelle"</formula>
    </cfRule>
  </conditionalFormatting>
  <conditionalFormatting sqref="CA1">
    <cfRule type="expression" dxfId="771" priority="517">
      <formula>$J1="Santé Individuelle"</formula>
    </cfRule>
  </conditionalFormatting>
  <conditionalFormatting sqref="CB1">
    <cfRule type="expression" dxfId="770" priority="512">
      <formula>$J1="Santé Individuelle"</formula>
    </cfRule>
  </conditionalFormatting>
  <conditionalFormatting sqref="CD1">
    <cfRule type="expression" dxfId="769" priority="513">
      <formula>$J1="Santé Individuelle"</formula>
    </cfRule>
  </conditionalFormatting>
  <conditionalFormatting sqref="CE1">
    <cfRule type="expression" dxfId="768" priority="508">
      <formula>$J1="Santé Individuelle"</formula>
    </cfRule>
  </conditionalFormatting>
  <conditionalFormatting sqref="CG1">
    <cfRule type="expression" dxfId="767" priority="509">
      <formula>$J1="Santé Individuelle"</formula>
    </cfRule>
  </conditionalFormatting>
  <conditionalFormatting sqref="CH1">
    <cfRule type="expression" dxfId="766" priority="504">
      <formula>$J1="Santé Individuelle"</formula>
    </cfRule>
  </conditionalFormatting>
  <conditionalFormatting sqref="CJ1">
    <cfRule type="expression" dxfId="765" priority="505">
      <formula>$J1="Santé Individuelle"</formula>
    </cfRule>
  </conditionalFormatting>
  <conditionalFormatting sqref="BM1">
    <cfRule type="expression" dxfId="764" priority="530">
      <formula>$BH1=1</formula>
    </cfRule>
  </conditionalFormatting>
  <conditionalFormatting sqref="BO1">
    <cfRule type="expression" dxfId="763" priority="531">
      <formula>$BH1=1</formula>
    </cfRule>
  </conditionalFormatting>
  <conditionalFormatting sqref="BP1">
    <cfRule type="expression" dxfId="762" priority="528">
      <formula>$J1="Santé Individuelle"</formula>
    </cfRule>
  </conditionalFormatting>
  <conditionalFormatting sqref="BR1">
    <cfRule type="expression" dxfId="761" priority="529">
      <formula>$J1="Santé Individuelle"</formula>
    </cfRule>
  </conditionalFormatting>
  <conditionalFormatting sqref="BP1">
    <cfRule type="expression" dxfId="760" priority="527">
      <formula>$BI1=0</formula>
    </cfRule>
  </conditionalFormatting>
  <conditionalFormatting sqref="BR1">
    <cfRule type="expression" dxfId="759" priority="526">
      <formula>$BI1=0</formula>
    </cfRule>
  </conditionalFormatting>
  <conditionalFormatting sqref="BS1">
    <cfRule type="expression" dxfId="758" priority="523">
      <formula>$BI1&lt;2</formula>
    </cfRule>
  </conditionalFormatting>
  <conditionalFormatting sqref="BU1">
    <cfRule type="expression" dxfId="757" priority="522">
      <formula>$BI1&lt;2</formula>
    </cfRule>
  </conditionalFormatting>
  <conditionalFormatting sqref="BV1">
    <cfRule type="expression" dxfId="756" priority="519">
      <formula>$BI1&lt;3</formula>
    </cfRule>
  </conditionalFormatting>
  <conditionalFormatting sqref="BX1">
    <cfRule type="expression" dxfId="755" priority="518">
      <formula>$BI1&lt;3</formula>
    </cfRule>
  </conditionalFormatting>
  <conditionalFormatting sqref="BY1">
    <cfRule type="expression" dxfId="754" priority="515">
      <formula>$BI1&lt;4</formula>
    </cfRule>
  </conditionalFormatting>
  <conditionalFormatting sqref="CA1">
    <cfRule type="expression" dxfId="753" priority="514">
      <formula>$BI1&lt;4</formula>
    </cfRule>
  </conditionalFormatting>
  <conditionalFormatting sqref="CB1">
    <cfRule type="expression" dxfId="752" priority="511">
      <formula>$BI1&lt;5</formula>
    </cfRule>
  </conditionalFormatting>
  <conditionalFormatting sqref="CD1">
    <cfRule type="expression" dxfId="751" priority="510">
      <formula>$BI1&lt;5</formula>
    </cfRule>
  </conditionalFormatting>
  <conditionalFormatting sqref="CE1">
    <cfRule type="expression" dxfId="750" priority="507">
      <formula>$BI1&lt;6</formula>
    </cfRule>
  </conditionalFormatting>
  <conditionalFormatting sqref="CG1">
    <cfRule type="expression" dxfId="749" priority="506">
      <formula>$BI1&lt;6</formula>
    </cfRule>
  </conditionalFormatting>
  <conditionalFormatting sqref="CH1">
    <cfRule type="expression" dxfId="748" priority="503">
      <formula>$BI1&lt;7</formula>
    </cfRule>
  </conditionalFormatting>
  <conditionalFormatting sqref="CJ1">
    <cfRule type="expression" dxfId="747" priority="502">
      <formula>$BI1&lt;7</formula>
    </cfRule>
  </conditionalFormatting>
  <conditionalFormatting sqref="C1:H1 AY1:DL1 J1:X1">
    <cfRule type="notContainsBlanks" dxfId="746" priority="501">
      <formula>LEN(TRIM(C1))&gt;0</formula>
    </cfRule>
  </conditionalFormatting>
  <conditionalFormatting sqref="A1">
    <cfRule type="containsText" dxfId="745" priority="497" operator="containsText" text="Trans.">
      <formula>NOT(ISERROR(SEARCH("Trans.",A1)))</formula>
    </cfRule>
    <cfRule type="containsText" dxfId="744" priority="498" operator="containsText" text="Inter.">
      <formula>NOT(ISERROR(SEARCH("Inter.",A1)))</formula>
    </cfRule>
    <cfRule type="containsText" dxfId="743" priority="499" operator="containsText" text="Tout">
      <formula>NOT(ISERROR(SEARCH("Tout",A1)))</formula>
    </cfRule>
    <cfRule type="containsText" dxfId="742" priority="500" operator="containsText" text="Mini">
      <formula>NOT(ISERROR(SEARCH("Mini",A1)))</formula>
    </cfRule>
  </conditionalFormatting>
  <conditionalFormatting sqref="A1">
    <cfRule type="notContainsBlanks" dxfId="741" priority="496">
      <formula>LEN(TRIM(A1))&gt;0</formula>
    </cfRule>
  </conditionalFormatting>
  <conditionalFormatting sqref="AB1:AC1">
    <cfRule type="notContainsBlanks" dxfId="740" priority="495">
      <formula>LEN(TRIM(AB1))&gt;0</formula>
    </cfRule>
  </conditionalFormatting>
  <conditionalFormatting sqref="AD1">
    <cfRule type="notContainsBlanks" dxfId="739" priority="494">
      <formula>LEN(TRIM(AD1))&gt;0</formula>
    </cfRule>
  </conditionalFormatting>
  <conditionalFormatting sqref="U2:U6 X2:X6">
    <cfRule type="containsBlanks" dxfId="738" priority="490">
      <formula>LEN(TRIM(U2))=0</formula>
    </cfRule>
    <cfRule type="cellIs" dxfId="737" priority="493" operator="equal">
      <formula>0</formula>
    </cfRule>
  </conditionalFormatting>
  <conditionalFormatting sqref="H2:I6 M2:M6 O2:W6 AG2:AH6 AA2:AB6 AJ2:DL6">
    <cfRule type="expression" dxfId="736" priority="474">
      <formula>$G2="Annulation"</formula>
    </cfRule>
  </conditionalFormatting>
  <conditionalFormatting sqref="BJ2:BL6 AZ2:BE6 DM2:DM6 BH2:BH6 C2:H6 J2:L6 N2:N6 U2:Z6 AG2:AH6 AJ2:AX6 AB2:AB6">
    <cfRule type="expression" dxfId="735" priority="459">
      <formula>$G2&lt;&gt;"Annulation"</formula>
    </cfRule>
  </conditionalFormatting>
  <conditionalFormatting sqref="U2:U6">
    <cfRule type="expression" dxfId="734" priority="458">
      <formula>$DM2="Trans."</formula>
    </cfRule>
  </conditionalFormatting>
  <conditionalFormatting sqref="X2:Y6">
    <cfRule type="expression" dxfId="733" priority="492">
      <formula>$P2="Annulé"</formula>
    </cfRule>
  </conditionalFormatting>
  <conditionalFormatting sqref="X2:X6 J2:J6 DM2:DM6 AF2:AF6 G2:G6 L2:N6">
    <cfRule type="expression" dxfId="732" priority="491">
      <formula>$G2="Annulation"</formula>
    </cfRule>
  </conditionalFormatting>
  <conditionalFormatting sqref="DM1:DN1">
    <cfRule type="notContainsBlanks" dxfId="731" priority="485">
      <formula>LEN(TRIM(DM1))&gt;0</formula>
    </cfRule>
  </conditionalFormatting>
  <conditionalFormatting sqref="Y1:Z1">
    <cfRule type="notContainsBlanks" dxfId="730" priority="484">
      <formula>LEN(TRIM(Y1))&gt;0</formula>
    </cfRule>
  </conditionalFormatting>
  <conditionalFormatting sqref="AY2:AY6 R2:S6 AA2:AA6 I1:I6 M2:M6">
    <cfRule type="expression" dxfId="729" priority="477">
      <formula>$G1&lt;&gt;"Annulation"</formula>
    </cfRule>
  </conditionalFormatting>
  <conditionalFormatting sqref="I1">
    <cfRule type="expression" dxfId="728" priority="478">
      <formula>$G1="Annulation"</formula>
    </cfRule>
  </conditionalFormatting>
  <conditionalFormatting sqref="I1">
    <cfRule type="containsBlanks" dxfId="727" priority="479">
      <formula>LEN(TRIM(I1))=0</formula>
    </cfRule>
    <cfRule type="cellIs" dxfId="726" priority="480" operator="lessThan">
      <formula>31</formula>
    </cfRule>
  </conditionalFormatting>
  <conditionalFormatting sqref="AA2:AA6 I1:I6">
    <cfRule type="expression" dxfId="725" priority="481">
      <formula>$AA1&gt;122</formula>
    </cfRule>
  </conditionalFormatting>
  <conditionalFormatting sqref="AN1:AX1">
    <cfRule type="notContainsBlanks" dxfId="724" priority="489">
      <formula>LEN(TRIM(AN1))&gt;0</formula>
    </cfRule>
  </conditionalFormatting>
  <conditionalFormatting sqref="AM1">
    <cfRule type="notContainsBlanks" dxfId="723" priority="472">
      <formula>LEN(TRIM(AM1))&gt;0</formula>
    </cfRule>
  </conditionalFormatting>
  <conditionalFormatting sqref="AE1">
    <cfRule type="notContainsBlanks" dxfId="722" priority="470">
      <formula>LEN(TRIM(AE1))&gt;0</formula>
    </cfRule>
  </conditionalFormatting>
  <conditionalFormatting sqref="AG1">
    <cfRule type="notContainsBlanks" dxfId="721" priority="468">
      <formula>LEN(TRIM(AG1))&gt;0</formula>
    </cfRule>
  </conditionalFormatting>
  <conditionalFormatting sqref="AK1">
    <cfRule type="notContainsBlanks" dxfId="720" priority="467">
      <formula>LEN(TRIM(AK1))&gt;0</formula>
    </cfRule>
  </conditionalFormatting>
  <conditionalFormatting sqref="AF1">
    <cfRule type="notContainsBlanks" dxfId="719" priority="466">
      <formula>LEN(TRIM(AF1))&gt;0</formula>
    </cfRule>
  </conditionalFormatting>
  <conditionalFormatting sqref="AI1">
    <cfRule type="notContainsBlanks" dxfId="718" priority="463">
      <formula>LEN(TRIM(AI1))&gt;0</formula>
    </cfRule>
  </conditionalFormatting>
  <conditionalFormatting sqref="AJ1">
    <cfRule type="notContainsBlanks" dxfId="717" priority="461">
      <formula>LEN(TRIM(AJ1))&gt;0</formula>
    </cfRule>
  </conditionalFormatting>
  <conditionalFormatting sqref="AH1">
    <cfRule type="notContainsBlanks" dxfId="716" priority="457">
      <formula>LEN(TRIM(AH1))&gt;0</formula>
    </cfRule>
  </conditionalFormatting>
  <conditionalFormatting sqref="AL1">
    <cfRule type="notContainsBlanks" dxfId="715" priority="455">
      <formula>LEN(TRIM(AL1))&gt;0</formula>
    </cfRule>
  </conditionalFormatting>
  <conditionalFormatting sqref="AA1">
    <cfRule type="notContainsBlanks" dxfId="714" priority="453">
      <formula>LEN(TRIM(AA1))&gt;0</formula>
    </cfRule>
  </conditionalFormatting>
  <conditionalFormatting sqref="Y2:Y6">
    <cfRule type="containsBlanks" dxfId="713" priority="449">
      <formula>LEN(TRIM(Y2))=0</formula>
    </cfRule>
    <cfRule type="cellIs" dxfId="712" priority="450" operator="equal">
      <formula>0</formula>
    </cfRule>
  </conditionalFormatting>
  <conditionalFormatting sqref="BH2:BH6 BJ2:BL6 T2:T6 AH2:AH6 G2:H6 V2:W6 AB2:AB6">
    <cfRule type="containsBlanks" dxfId="711" priority="349">
      <formula>LEN(TRIM(G2))=0</formula>
    </cfRule>
    <cfRule type="cellIs" dxfId="710" priority="350" operator="equal">
      <formula>0</formula>
    </cfRule>
  </conditionalFormatting>
  <conditionalFormatting sqref="P2:P6">
    <cfRule type="cellIs" dxfId="709" priority="416" operator="equal">
      <formula>"Refus Médical"</formula>
    </cfRule>
    <cfRule type="cellIs" dxfId="708" priority="417" operator="equal">
      <formula>"Annulé"</formula>
    </cfRule>
    <cfRule type="cellIs" dxfId="707" priority="418" operator="equal">
      <formula>"Déjà Signé"</formula>
    </cfRule>
    <cfRule type="cellIs" dxfId="706" priority="419" operator="equal">
      <formula>"Sans Suite"</formula>
    </cfRule>
    <cfRule type="cellIs" dxfId="705" priority="420" operator="equal">
      <formula>"Refus"</formula>
    </cfRule>
    <cfRule type="cellIs" dxfId="704" priority="421" operator="equal">
      <formula>"Report + Médical"</formula>
    </cfRule>
    <cfRule type="cellIs" dxfId="703" priority="422" operator="equal">
      <formula>"Report"</formula>
    </cfRule>
    <cfRule type="cellIs" dxfId="702" priority="423" operator="equal">
      <formula>"Signature"</formula>
    </cfRule>
    <cfRule type="cellIs" dxfId="701" priority="424" operator="equal">
      <formula>"Contrat Papier + Mécical"</formula>
    </cfRule>
    <cfRule type="cellIs" dxfId="700" priority="425" operator="equal">
      <formula>"Validation Médicale"</formula>
    </cfRule>
    <cfRule type="cellIs" dxfId="699" priority="426" operator="equal">
      <formula>"Contrat Papier"</formula>
    </cfRule>
    <cfRule type="cellIs" dxfId="698" priority="427" operator="equal">
      <formula>"Validation Compagnie"</formula>
    </cfRule>
    <cfRule type="cellIs" dxfId="697" priority="428" operator="equal">
      <formula>"V"</formula>
    </cfRule>
  </conditionalFormatting>
  <conditionalFormatting sqref="J2:J6">
    <cfRule type="containsText" dxfId="696" priority="429" operator="containsText" text="Autre">
      <formula>NOT(ISERROR(SEARCH("Autre",J2)))</formula>
    </cfRule>
    <cfRule type="containsText" dxfId="695" priority="438" operator="containsText" text="Prev. Part">
      <formula>NOT(ISERROR(SEARCH("Prev. Part",J2)))</formula>
    </cfRule>
    <cfRule type="containsText" dxfId="694" priority="439" operator="containsText" text="Santé Collective">
      <formula>NOT(ISERROR(SEARCH("Santé Collective",J2)))</formula>
    </cfRule>
    <cfRule type="containsText" dxfId="693" priority="440" operator="containsText" text="Santé Individuelle">
      <formula>NOT(ISERROR(SEARCH("Santé Individuelle",J2)))</formula>
    </cfRule>
    <cfRule type="containsText" dxfId="692" priority="441" operator="containsText" text="Prev. Pro">
      <formula>NOT(ISERROR(SEARCH("Prev. Pro",J2)))</formula>
    </cfRule>
  </conditionalFormatting>
  <conditionalFormatting sqref="K2:K6">
    <cfRule type="containsText" dxfId="691" priority="430" operator="containsText" text="CEGEMA">
      <formula>NOT(ISERROR(SEARCH("CEGEMA",K2)))</formula>
    </cfRule>
    <cfRule type="containsText" dxfId="690" priority="431" operator="containsText" text="ASAF">
      <formula>NOT(ISERROR(SEARCH("ASAF",K2)))</formula>
    </cfRule>
    <cfRule type="containsText" dxfId="689" priority="432" operator="containsText" text="AVIVA">
      <formula>NOT(ISERROR(SEARCH("AVIVA",K2)))</formula>
    </cfRule>
    <cfRule type="containsText" dxfId="688" priority="433" operator="containsText" text="CIPRES">
      <formula>NOT(ISERROR(SEARCH("CIPRES",K2)))</formula>
    </cfRule>
    <cfRule type="containsText" dxfId="687" priority="434" operator="containsText" text="ALPTIS">
      <formula>NOT(ISERROR(SEARCH("ALPTIS",K2)))</formula>
    </cfRule>
    <cfRule type="containsText" dxfId="686" priority="435" operator="containsText" text="NEOLIANE">
      <formula>NOT(ISERROR(SEARCH("NEOLIANE",K2)))</formula>
    </cfRule>
    <cfRule type="containsText" dxfId="685" priority="436" operator="containsText" text="SWISSLIFE">
      <formula>NOT(ISERROR(SEARCH("SWISSLIFE",K2)))</formula>
    </cfRule>
    <cfRule type="containsText" dxfId="684" priority="437" operator="containsText" text="APRIL">
      <formula>NOT(ISERROR(SEARCH("APRIL",K2)))</formula>
    </cfRule>
  </conditionalFormatting>
  <conditionalFormatting sqref="P2:P6">
    <cfRule type="containsText" dxfId="683" priority="410" operator="containsText" text="Impayé">
      <formula>NOT(ISERROR(SEARCH("Impayé",P2)))</formula>
    </cfRule>
    <cfRule type="containsText" dxfId="682" priority="411" operator="containsText" text="Résilié">
      <formula>NOT(ISERROR(SEARCH("Résilié",P2)))</formula>
    </cfRule>
    <cfRule type="containsText" dxfId="681" priority="412" operator="containsText" text="Radié">
      <formula>NOT(ISERROR(SEARCH("Radié",P2)))</formula>
    </cfRule>
    <cfRule type="containsText" dxfId="680" priority="413" operator="containsText" text="Pas Trouvé">
      <formula>NOT(ISERROR(SEARCH("Pas Trouvé",P2)))</formula>
    </cfRule>
    <cfRule type="containsText" dxfId="679" priority="414" operator="containsText" text="A Jour">
      <formula>NOT(ISERROR(SEARCH("A Jour",P2)))</formula>
    </cfRule>
    <cfRule type="containsText" dxfId="678" priority="415" operator="containsText" text="A Trouver">
      <formula>NOT(ISERROR(SEARCH("A Trouver",P2)))</formula>
    </cfRule>
  </conditionalFormatting>
  <conditionalFormatting sqref="AY2:AY6">
    <cfRule type="containsText" dxfId="677" priority="404" operator="containsText" text="Sympathie">
      <formula>NOT(ISERROR(SEARCH("Sympathie",AY2)))</formula>
    </cfRule>
  </conditionalFormatting>
  <conditionalFormatting sqref="AY2:AY6">
    <cfRule type="containsText" dxfId="676" priority="405" operator="containsText" text="Argent">
      <formula>NOT(ISERROR(SEARCH("Argent",AY2)))</formula>
    </cfRule>
    <cfRule type="containsText" dxfId="675" priority="406" operator="containsText" text="Confort">
      <formula>NOT(ISERROR(SEARCH("Confort",AY2)))</formula>
    </cfRule>
    <cfRule type="containsText" dxfId="674" priority="407" operator="containsText" text="Nouveauté">
      <formula>NOT(ISERROR(SEARCH("Nouveauté",AY2)))</formula>
    </cfRule>
    <cfRule type="containsText" dxfId="673" priority="408" operator="containsText" text="Orgueil">
      <formula>NOT(ISERROR(SEARCH("Orgueil",AY2)))</formula>
    </cfRule>
    <cfRule type="containsText" dxfId="672" priority="409" operator="containsText" text="Sécurité">
      <formula>NOT(ISERROR(SEARCH("Sécurité",AY2)))</formula>
    </cfRule>
  </conditionalFormatting>
  <conditionalFormatting sqref="DM2:DM6">
    <cfRule type="containsText" dxfId="671" priority="402" operator="containsText" text="Tout">
      <formula>NOT(ISERROR(SEARCH("Tout",DM2)))</formula>
    </cfRule>
    <cfRule type="containsText" dxfId="670" priority="403" operator="containsText" text="Mini">
      <formula>NOT(ISERROR(SEARCH("Mini",DM2)))</formula>
    </cfRule>
  </conditionalFormatting>
  <conditionalFormatting sqref="DM2:DM6">
    <cfRule type="containsText" dxfId="669" priority="401" operator="containsText" text="Inter.">
      <formula>NOT(ISERROR(SEARCH("Inter.",DM2)))</formula>
    </cfRule>
  </conditionalFormatting>
  <conditionalFormatting sqref="DM2:DM6">
    <cfRule type="containsText" dxfId="668" priority="348" operator="containsText" text="Trans.">
      <formula>NOT(ISERROR(SEARCH("Trans.",DM2)))</formula>
    </cfRule>
  </conditionalFormatting>
  <conditionalFormatting sqref="F2:F6 N2:O6 AY2:BE6 Q2:S6">
    <cfRule type="cellIs" dxfId="667" priority="400" operator="equal">
      <formula>0</formula>
    </cfRule>
    <cfRule type="containsBlanks" dxfId="666" priority="442">
      <formula>LEN(TRIM(F2))=0</formula>
    </cfRule>
  </conditionalFormatting>
  <conditionalFormatting sqref="BL2:BL6 Q2:R6 BO2:BO6 BR2:BR6 BU2:BU6 BX2:BX6 CA2:CA6 CD2:CD6 CG2:CG6 CJ2:CJ6 V2:W6 AA2:AA6 I2:I6 AQ2:AR6 AO2:AO6 AT2:AU6 AW2:AX6 AL2:AL6 AG2:AH6 AJ2:AJ6">
    <cfRule type="expression" dxfId="665" priority="268">
      <formula>$DM2="Trans."</formula>
    </cfRule>
  </conditionalFormatting>
  <conditionalFormatting sqref="CR2:CS6 CV2:CV6 DB2:DB6 DE2:DF6 DH2:DI6 DL2:DL6">
    <cfRule type="expression" dxfId="664" priority="399">
      <formula>$J2="Prev. Pro"</formula>
    </cfRule>
  </conditionalFormatting>
  <conditionalFormatting sqref="CY2:CY6">
    <cfRule type="expression" dxfId="663" priority="398">
      <formula>$J2="Prev. Pro"</formula>
    </cfRule>
  </conditionalFormatting>
  <conditionalFormatting sqref="DJ2:DK6 DG2:DG6 DC2:DD6 CZ2:DA6 CW2:CX6 CU2:CU6">
    <cfRule type="expression" dxfId="662" priority="397">
      <formula>$J2="Prev. Pro"</formula>
    </cfRule>
  </conditionalFormatting>
  <conditionalFormatting sqref="CK2:CQ6">
    <cfRule type="expression" dxfId="661" priority="396" stopIfTrue="1">
      <formula>$J2="Santé Individuelle"</formula>
    </cfRule>
  </conditionalFormatting>
  <conditionalFormatting sqref="CT2:CT6">
    <cfRule type="expression" dxfId="660" priority="395">
      <formula>$J2="Prev. Pro"</formula>
    </cfRule>
  </conditionalFormatting>
  <conditionalFormatting sqref="CT2:CT6">
    <cfRule type="expression" dxfId="659" priority="274">
      <formula>$DM2="Trans."</formula>
    </cfRule>
  </conditionalFormatting>
  <conditionalFormatting sqref="C2:E6">
    <cfRule type="expression" dxfId="658" priority="386">
      <formula>$G2="Annulation"</formula>
    </cfRule>
  </conditionalFormatting>
  <conditionalFormatting sqref="C2:E6">
    <cfRule type="expression" dxfId="657" priority="387">
      <formula>$J2="Prev. Pro"</formula>
    </cfRule>
    <cfRule type="expression" dxfId="656" priority="388">
      <formula>$J2&lt;&gt;"Santé Individuelle"</formula>
    </cfRule>
  </conditionalFormatting>
  <conditionalFormatting sqref="CI2:CI6 CF2:CF6 CC2:CC6 BZ2:BZ6 BW2:BW6 BT2:BT6 BQ2:BQ6 BI2:BI6 BN2:BN6">
    <cfRule type="expression" dxfId="655" priority="393">
      <formula>$J2="Santé Individuelle"</formula>
    </cfRule>
  </conditionalFormatting>
  <conditionalFormatting sqref="BQ2:BQ6">
    <cfRule type="expression" dxfId="654" priority="385">
      <formula>$BI2=0</formula>
    </cfRule>
  </conditionalFormatting>
  <conditionalFormatting sqref="BP2:BP6 BR2:BR6">
    <cfRule type="expression" dxfId="653" priority="384">
      <formula>$BI2=0</formula>
    </cfRule>
  </conditionalFormatting>
  <conditionalFormatting sqref="BT2:BT6">
    <cfRule type="expression" dxfId="652" priority="382">
      <formula>$BI2&lt;2</formula>
    </cfRule>
  </conditionalFormatting>
  <conditionalFormatting sqref="BS2:BS6 BU2:BU6">
    <cfRule type="expression" dxfId="651" priority="383">
      <formula>$BI2&lt;2</formula>
    </cfRule>
  </conditionalFormatting>
  <conditionalFormatting sqref="BW2:BW6">
    <cfRule type="expression" dxfId="650" priority="380">
      <formula>$BI2&lt;3</formula>
    </cfRule>
  </conditionalFormatting>
  <conditionalFormatting sqref="BV2:BV6 BX2:BX6">
    <cfRule type="expression" dxfId="649" priority="381">
      <formula>$BI2&lt;3</formula>
    </cfRule>
  </conditionalFormatting>
  <conditionalFormatting sqref="BZ2:BZ6">
    <cfRule type="expression" dxfId="648" priority="378">
      <formula>$BI2&lt;4</formula>
    </cfRule>
  </conditionalFormatting>
  <conditionalFormatting sqref="BY2:BY6 CA2:CA6">
    <cfRule type="expression" dxfId="647" priority="379">
      <formula>$BI2&lt;4</formula>
    </cfRule>
  </conditionalFormatting>
  <conditionalFormatting sqref="CC2:CC6">
    <cfRule type="expression" dxfId="646" priority="376">
      <formula>$BI2&lt;5</formula>
    </cfRule>
  </conditionalFormatting>
  <conditionalFormatting sqref="CB2:CB6 CD2:CD6">
    <cfRule type="expression" dxfId="645" priority="377">
      <formula>$BI2&lt;5</formula>
    </cfRule>
  </conditionalFormatting>
  <conditionalFormatting sqref="CF2:CF6">
    <cfRule type="expression" dxfId="644" priority="374">
      <formula>$BI2&lt;6</formula>
    </cfRule>
  </conditionalFormatting>
  <conditionalFormatting sqref="CE2:CE6 CG2:CG6">
    <cfRule type="expression" dxfId="643" priority="375">
      <formula>$BI2&lt;6</formula>
    </cfRule>
  </conditionalFormatting>
  <conditionalFormatting sqref="CI2:CI6">
    <cfRule type="expression" dxfId="642" priority="372">
      <formula>$BI2&lt;7</formula>
    </cfRule>
  </conditionalFormatting>
  <conditionalFormatting sqref="CH2:CH6 CJ2:CJ6">
    <cfRule type="expression" dxfId="641" priority="373">
      <formula>$BI2&lt;7</formula>
    </cfRule>
  </conditionalFormatting>
  <conditionalFormatting sqref="BJ2:BK6">
    <cfRule type="containsBlanks" dxfId="640" priority="371">
      <formula>LEN(TRIM(BJ2))=0</formula>
    </cfRule>
  </conditionalFormatting>
  <conditionalFormatting sqref="BF2:BF6">
    <cfRule type="expression" dxfId="639" priority="370">
      <formula>$J2="Santé Individuelle"</formula>
    </cfRule>
  </conditionalFormatting>
  <conditionalFormatting sqref="BG2:BG6">
    <cfRule type="expression" dxfId="638" priority="369">
      <formula>$BH2=1</formula>
    </cfRule>
  </conditionalFormatting>
  <conditionalFormatting sqref="CQ2:CQ6">
    <cfRule type="expression" dxfId="637" priority="368">
      <formula>$J2="Santé Individuelle"</formula>
    </cfRule>
  </conditionalFormatting>
  <conditionalFormatting sqref="BM2:BM6">
    <cfRule type="expression" dxfId="636" priority="366">
      <formula>$BH2&lt;=1</formula>
    </cfRule>
  </conditionalFormatting>
  <conditionalFormatting sqref="BN2:BN6">
    <cfRule type="expression" dxfId="635" priority="365">
      <formula>$BH2&lt;=1</formula>
    </cfRule>
  </conditionalFormatting>
  <conditionalFormatting sqref="BO2:BO6">
    <cfRule type="expression" dxfId="634" priority="364">
      <formula>$BH2&lt;=1</formula>
    </cfRule>
  </conditionalFormatting>
  <conditionalFormatting sqref="DN2:DN6">
    <cfRule type="containsText" dxfId="633" priority="363" operator="containsText" text="OK">
      <formula>NOT(ISERROR(SEARCH("OK",DN2)))</formula>
    </cfRule>
  </conditionalFormatting>
  <conditionalFormatting sqref="DN2:DN6">
    <cfRule type="containsText" dxfId="632" priority="362" operator="containsText" text="Mini">
      <formula>NOT(ISERROR(SEARCH("Mini",DN2)))</formula>
    </cfRule>
  </conditionalFormatting>
  <conditionalFormatting sqref="DN2:DN6">
    <cfRule type="containsText" dxfId="631" priority="361" operator="containsText" text="KO">
      <formula>NOT(ISERROR(SEARCH("KO",DN2)))</formula>
    </cfRule>
  </conditionalFormatting>
  <conditionalFormatting sqref="O2:T6">
    <cfRule type="expression" dxfId="630" priority="394">
      <formula>$G2&lt;&gt;"Annulation"</formula>
    </cfRule>
  </conditionalFormatting>
  <conditionalFormatting sqref="Z2:Z6">
    <cfRule type="expression" dxfId="629" priority="343">
      <formula>$AA2&lt;31</formula>
    </cfRule>
  </conditionalFormatting>
  <conditionalFormatting sqref="Z2:Z6">
    <cfRule type="expression" dxfId="628" priority="342">
      <formula>$AA2&gt;122</formula>
    </cfRule>
  </conditionalFormatting>
  <conditionalFormatting sqref="AA2:AA6 I2:I6">
    <cfRule type="containsBlanks" dxfId="627" priority="341">
      <formula>LEN(TRIM(I2))=0</formula>
    </cfRule>
    <cfRule type="cellIs" dxfId="626" priority="346" operator="lessThan">
      <formula>31</formula>
    </cfRule>
  </conditionalFormatting>
  <conditionalFormatting sqref="AF2:AF6">
    <cfRule type="containsBlanks" dxfId="625" priority="331">
      <formula>LEN(TRIM(AF2))=0</formula>
    </cfRule>
    <cfRule type="cellIs" dxfId="624" priority="332" operator="equal">
      <formula>0</formula>
    </cfRule>
  </conditionalFormatting>
  <conditionalFormatting sqref="AF2:AF6">
    <cfRule type="expression" dxfId="623" priority="333">
      <formula>$AB2="X"</formula>
    </cfRule>
  </conditionalFormatting>
  <conditionalFormatting sqref="AF2:AF6">
    <cfRule type="expression" dxfId="622" priority="330">
      <formula>$AE2&lt;&gt;"Programmée"</formula>
    </cfRule>
  </conditionalFormatting>
  <conditionalFormatting sqref="AG2:AG6">
    <cfRule type="containsBlanks" dxfId="621" priority="339">
      <formula>LEN(TRIM(AG2))=0</formula>
    </cfRule>
    <cfRule type="cellIs" dxfId="620" priority="345" operator="equal">
      <formula>0</formula>
    </cfRule>
  </conditionalFormatting>
  <conditionalFormatting sqref="AH2:AH6">
    <cfRule type="cellIs" dxfId="619" priority="443" operator="greaterThanOrEqual">
      <formula>2</formula>
    </cfRule>
    <cfRule type="cellIs" dxfId="618" priority="444" operator="between">
      <formula>1</formula>
      <formula>1.99999999999999</formula>
    </cfRule>
    <cfRule type="cellIs" dxfId="617" priority="445" operator="lessThan">
      <formula>1</formula>
    </cfRule>
  </conditionalFormatting>
  <conditionalFormatting sqref="AL2:AL6">
    <cfRule type="containsBlanks" dxfId="616" priority="327">
      <formula>LEN(TRIM(AL2))=0</formula>
    </cfRule>
    <cfRule type="cellIs" dxfId="615" priority="328" operator="equal">
      <formula>0</formula>
    </cfRule>
  </conditionalFormatting>
  <conditionalFormatting sqref="AM2:AM6 AO2:AO6">
    <cfRule type="expression" dxfId="614" priority="273">
      <formula>$Z2&gt;=42736</formula>
    </cfRule>
  </conditionalFormatting>
  <conditionalFormatting sqref="AQ2:AR6 AN2:AO6">
    <cfRule type="expression" dxfId="613" priority="271">
      <formula>$Z2&gt;=(42736+365)</formula>
    </cfRule>
  </conditionalFormatting>
  <conditionalFormatting sqref="AT2:AU6 AP2:AP6">
    <cfRule type="expression" dxfId="612" priority="272">
      <formula>$Z2&gt;=(42736+365+365)</formula>
    </cfRule>
  </conditionalFormatting>
  <conditionalFormatting sqref="AW2:AX6 AS2:AS6">
    <cfRule type="expression" dxfId="611" priority="269">
      <formula>$Z2&gt;=(42736+365+365+365)</formula>
    </cfRule>
  </conditionalFormatting>
  <conditionalFormatting sqref="AO2:AO6">
    <cfRule type="cellIs" dxfId="610" priority="313" operator="greaterThan">
      <formula>0</formula>
    </cfRule>
    <cfRule type="cellIs" dxfId="609" priority="314" operator="lessThan">
      <formula>0</formula>
    </cfRule>
  </conditionalFormatting>
  <conditionalFormatting sqref="AO2:AO6">
    <cfRule type="cellIs" dxfId="608" priority="312" operator="equal">
      <formula>-1</formula>
    </cfRule>
  </conditionalFormatting>
  <conditionalFormatting sqref="AQ2:AQ6">
    <cfRule type="cellIs" dxfId="607" priority="310" operator="greaterThan">
      <formula>0</formula>
    </cfRule>
    <cfRule type="cellIs" dxfId="606" priority="311" operator="lessThan">
      <formula>0</formula>
    </cfRule>
  </conditionalFormatting>
  <conditionalFormatting sqref="AQ2:AQ6">
    <cfRule type="cellIs" dxfId="605" priority="309" operator="equal">
      <formula>-1</formula>
    </cfRule>
  </conditionalFormatting>
  <conditionalFormatting sqref="AR2:AR6">
    <cfRule type="cellIs" dxfId="604" priority="303" operator="equal">
      <formula>-1</formula>
    </cfRule>
    <cfRule type="cellIs" dxfId="603" priority="304" operator="greaterThan">
      <formula>0.5</formula>
    </cfRule>
    <cfRule type="cellIs" dxfId="602" priority="305" operator="between">
      <formula>0.25</formula>
      <formula>0.5</formula>
    </cfRule>
    <cfRule type="cellIs" dxfId="601" priority="306" operator="between">
      <formula>0.1</formula>
      <formula>0.25</formula>
    </cfRule>
    <cfRule type="cellIs" dxfId="600" priority="307" operator="lessThanOrEqual">
      <formula>0</formula>
    </cfRule>
    <cfRule type="cellIs" dxfId="599" priority="308" operator="between">
      <formula>0</formula>
      <formula>0.1</formula>
    </cfRule>
  </conditionalFormatting>
  <conditionalFormatting sqref="AT2:AT6">
    <cfRule type="cellIs" dxfId="598" priority="301" operator="greaterThan">
      <formula>0</formula>
    </cfRule>
    <cfRule type="cellIs" dxfId="597" priority="302" operator="lessThan">
      <formula>0</formula>
    </cfRule>
  </conditionalFormatting>
  <conditionalFormatting sqref="AT2:AT6">
    <cfRule type="cellIs" dxfId="596" priority="300" operator="equal">
      <formula>-1</formula>
    </cfRule>
  </conditionalFormatting>
  <conditionalFormatting sqref="AU2:AU6">
    <cfRule type="cellIs" dxfId="595" priority="294" operator="equal">
      <formula>-1</formula>
    </cfRule>
    <cfRule type="cellIs" dxfId="594" priority="295" operator="greaterThan">
      <formula>0.5</formula>
    </cfRule>
    <cfRule type="cellIs" dxfId="593" priority="296" operator="between">
      <formula>0.25</formula>
      <formula>0.5</formula>
    </cfRule>
    <cfRule type="cellIs" dxfId="592" priority="297" operator="between">
      <formula>0.1</formula>
      <formula>0.25</formula>
    </cfRule>
    <cfRule type="cellIs" dxfId="591" priority="298" operator="lessThanOrEqual">
      <formula>0</formula>
    </cfRule>
    <cfRule type="cellIs" dxfId="590" priority="299" operator="between">
      <formula>0</formula>
      <formula>0.1</formula>
    </cfRule>
  </conditionalFormatting>
  <conditionalFormatting sqref="AW2:AW6">
    <cfRule type="cellIs" dxfId="589" priority="292" operator="greaterThan">
      <formula>0</formula>
    </cfRule>
    <cfRule type="cellIs" dxfId="588" priority="293" operator="lessThan">
      <formula>0</formula>
    </cfRule>
  </conditionalFormatting>
  <conditionalFormatting sqref="AW2:AW6">
    <cfRule type="cellIs" dxfId="587" priority="291" operator="equal">
      <formula>-1</formula>
    </cfRule>
  </conditionalFormatting>
  <conditionalFormatting sqref="AX2:AX6">
    <cfRule type="cellIs" dxfId="586" priority="286" operator="equal">
      <formula>-1</formula>
    </cfRule>
    <cfRule type="cellIs" dxfId="585" priority="287" operator="greaterThan">
      <formula>0.5</formula>
    </cfRule>
    <cfRule type="cellIs" dxfId="584" priority="288" operator="between">
      <formula>0.25</formula>
      <formula>0.5</formula>
    </cfRule>
    <cfRule type="cellIs" dxfId="583" priority="289" operator="between">
      <formula>0.1</formula>
      <formula>0.25</formula>
    </cfRule>
    <cfRule type="cellIs" dxfId="582" priority="290" operator="lessThanOrEqual">
      <formula>0</formula>
    </cfRule>
    <cfRule type="cellIs" dxfId="581" priority="315" operator="between">
      <formula>0</formula>
      <formula>0.1</formula>
    </cfRule>
  </conditionalFormatting>
  <conditionalFormatting sqref="AN2:AX6">
    <cfRule type="containsBlanks" dxfId="580" priority="317">
      <formula>LEN(TRIM(AN2))=0</formula>
    </cfRule>
    <cfRule type="cellIs" dxfId="579" priority="318" operator="equal">
      <formula>0</formula>
    </cfRule>
  </conditionalFormatting>
  <conditionalFormatting sqref="AN2:AX6">
    <cfRule type="cellIs" dxfId="578" priority="316" operator="equal">
      <formula>0</formula>
    </cfRule>
    <cfRule type="containsBlanks" dxfId="577" priority="338">
      <formula>LEN(TRIM(AN2))=0</formula>
    </cfRule>
  </conditionalFormatting>
  <conditionalFormatting sqref="AT2:AU6 AQ2:AR6 AO2:AO6 AW2:AX6">
    <cfRule type="cellIs" dxfId="576" priority="283" operator="equal">
      <formula>0</formula>
    </cfRule>
    <cfRule type="containsBlanks" dxfId="575" priority="284">
      <formula>LEN(TRIM(AO2))=0</formula>
    </cfRule>
    <cfRule type="cellIs" dxfId="574" priority="285" operator="equal">
      <formula>-1</formula>
    </cfRule>
  </conditionalFormatting>
  <conditionalFormatting sqref="AM2:AM6">
    <cfRule type="containsBlanks" dxfId="573" priority="322">
      <formula>LEN(TRIM(AM2))=0</formula>
    </cfRule>
    <cfRule type="cellIs" dxfId="572" priority="323" operator="equal">
      <formula>0</formula>
    </cfRule>
  </conditionalFormatting>
  <conditionalFormatting sqref="AM2:AM6">
    <cfRule type="cellIs" dxfId="571" priority="321" operator="equal">
      <formula>0</formula>
    </cfRule>
    <cfRule type="containsBlanks" dxfId="570" priority="324">
      <formula>LEN(TRIM(AM2))=0</formula>
    </cfRule>
  </conditionalFormatting>
  <conditionalFormatting sqref="AK2:AK6">
    <cfRule type="expression" dxfId="569" priority="325">
      <formula>$AK2-TODAY()&lt;30</formula>
    </cfRule>
  </conditionalFormatting>
  <conditionalFormatting sqref="AK2:AK6">
    <cfRule type="containsBlanks" dxfId="568" priority="276">
      <formula>LEN(TRIM(AK2))=0</formula>
    </cfRule>
  </conditionalFormatting>
  <conditionalFormatting sqref="AJ2:AJ6">
    <cfRule type="cellIs" dxfId="567" priority="278" operator="equal">
      <formula>0</formula>
    </cfRule>
    <cfRule type="containsBlanks" dxfId="566" priority="279">
      <formula>LEN(TRIM(AJ2))=0</formula>
    </cfRule>
  </conditionalFormatting>
  <conditionalFormatting sqref="AL2:AL6">
    <cfRule type="cellIs" dxfId="565" priority="329" operator="between">
      <formula>1</formula>
      <formula>1.99999999999999</formula>
    </cfRule>
    <cfRule type="cellIs" dxfId="564" priority="334" operator="lessThan">
      <formula>1</formula>
    </cfRule>
    <cfRule type="cellIs" dxfId="563" priority="337" operator="greaterThanOrEqual">
      <formula>2</formula>
    </cfRule>
  </conditionalFormatting>
  <conditionalFormatting sqref="AJ2:AK6">
    <cfRule type="expression" dxfId="562" priority="275">
      <formula>$G2="Annulation"</formula>
    </cfRule>
  </conditionalFormatting>
  <conditionalFormatting sqref="M2:M6">
    <cfRule type="cellIs" dxfId="561" priority="267" operator="greaterThan">
      <formula>0</formula>
    </cfRule>
  </conditionalFormatting>
  <conditionalFormatting sqref="AI2:AI6">
    <cfRule type="expression" dxfId="560" priority="51">
      <formula>$G2="Annulation"</formula>
    </cfRule>
  </conditionalFormatting>
  <conditionalFormatting sqref="AI2:AI6">
    <cfRule type="expression" dxfId="559" priority="52">
      <formula>$G2&lt;&gt;"Annulation"</formula>
    </cfRule>
  </conditionalFormatting>
  <conditionalFormatting sqref="AI2:AI6">
    <cfRule type="expression" dxfId="558" priority="47">
      <formula>$DM2="Trans."</formula>
    </cfRule>
  </conditionalFormatting>
  <conditionalFormatting sqref="AI2:AI6">
    <cfRule type="containsBlanks" dxfId="557" priority="49">
      <formula>LEN(TRIM(AI2))=0</formula>
    </cfRule>
    <cfRule type="cellIs" dxfId="556" priority="50" operator="equal">
      <formula>0</formula>
    </cfRule>
  </conditionalFormatting>
  <conditionalFormatting sqref="AI2:AI6">
    <cfRule type="expression" dxfId="555" priority="48">
      <formula>$G2="Annulation"</formula>
    </cfRule>
  </conditionalFormatting>
  <conditionalFormatting sqref="AD2:AD6">
    <cfRule type="cellIs" dxfId="554" priority="38" operator="equal">
      <formula>"KO"</formula>
    </cfRule>
    <cfRule type="cellIs" dxfId="553" priority="39" operator="equal">
      <formula>"A faire"</formula>
    </cfRule>
    <cfRule type="cellIs" dxfId="552" priority="40" operator="equal">
      <formula>"Report"</formula>
    </cfRule>
    <cfRule type="cellIs" dxfId="551" priority="41" operator="equal">
      <formula>"Retour"</formula>
    </cfRule>
    <cfRule type="cellIs" dxfId="550" priority="42" operator="equal">
      <formula>"Envoyée"</formula>
    </cfRule>
    <cfRule type="cellIs" dxfId="549" priority="43" operator="equal">
      <formula>"Programmée"</formula>
    </cfRule>
    <cfRule type="cellIs" dxfId="548" priority="44" operator="equal">
      <formula>"Reçue"</formula>
    </cfRule>
    <cfRule type="cellIs" dxfId="547" priority="45" operator="equal">
      <formula>"OK"</formula>
    </cfRule>
  </conditionalFormatting>
  <conditionalFormatting sqref="AC2:AD6">
    <cfRule type="containsBlanks" dxfId="546" priority="37">
      <formula>LEN(TRIM(AC2))=0</formula>
    </cfRule>
    <cfRule type="cellIs" dxfId="545" priority="46" operator="equal">
      <formula>0</formula>
    </cfRule>
  </conditionalFormatting>
  <conditionalFormatting sqref="AC2:AD6">
    <cfRule type="expression" dxfId="544" priority="36">
      <formula>$G2="Annulation"</formula>
    </cfRule>
  </conditionalFormatting>
  <conditionalFormatting sqref="AC2:AD6">
    <cfRule type="expression" dxfId="543" priority="35">
      <formula>$G2&lt;&gt;"Annulation"</formula>
    </cfRule>
  </conditionalFormatting>
  <conditionalFormatting sqref="AC2:AD6">
    <cfRule type="expression" dxfId="542" priority="34">
      <formula>$AB2="X"</formula>
    </cfRule>
  </conditionalFormatting>
  <conditionalFormatting sqref="AE2:AE6">
    <cfRule type="cellIs" dxfId="541" priority="32" operator="equal">
      <formula>43404</formula>
    </cfRule>
  </conditionalFormatting>
  <conditionalFormatting sqref="AE2:AE6">
    <cfRule type="containsBlanks" dxfId="540" priority="31">
      <formula>LEN(TRIM(AE2))=0</formula>
    </cfRule>
    <cfRule type="cellIs" dxfId="539" priority="33" operator="equal">
      <formula>0</formula>
    </cfRule>
  </conditionalFormatting>
  <conditionalFormatting sqref="AE2:AE6">
    <cfRule type="expression" dxfId="538" priority="30">
      <formula>$G2="Annulation"</formula>
    </cfRule>
  </conditionalFormatting>
  <conditionalFormatting sqref="AE2:AE6">
    <cfRule type="expression" dxfId="537" priority="29">
      <formula>$G2&lt;&gt;"Annulation"</formula>
    </cfRule>
  </conditionalFormatting>
  <conditionalFormatting sqref="AE2:AE6">
    <cfRule type="expression" dxfId="536" priority="28">
      <formula>$AB2="X"</formula>
    </cfRule>
  </conditionalFormatting>
  <conditionalFormatting sqref="AE2:AE6">
    <cfRule type="expression" dxfId="535" priority="27">
      <formula>$AD2&lt;&gt;"Programmée"</formula>
    </cfRule>
  </conditionalFormatting>
  <conditionalFormatting sqref="AK2:AK6">
    <cfRule type="expression" dxfId="534" priority="8613">
      <formula>$DM2="Trans."</formula>
    </cfRule>
    <cfRule type="expression" dxfId="533" priority="8614">
      <formula>$AK2-TODAY()&gt;90</formula>
    </cfRule>
  </conditionalFormatting>
  <conditionalFormatting sqref="Q1:R1 U1:W1 BL1 BO1 BR1 BU1 BX1 CA1 CD1 CG1 CJ1 CT1 AQ1:AR1 AT1:AU1 AW1:AX1 AO1 AG1:AL1 AA1">
    <cfRule type="expression" dxfId="532" priority="9214">
      <formula>$A1="Trans."</formula>
    </cfRule>
  </conditionalFormatting>
  <conditionalFormatting sqref="C1:H1 J1:P1 S1 AY1:BK1 BM1:BN1 BP1:BQ1 BS1:BT1 BV1:BW1 BY1:BZ1 CB1:CC1 CE1:CF1 CH1:CI1 CK1:CS1 CU1:DL1 Z1 AB1:AF1">
    <cfRule type="expression" dxfId="531" priority="9230">
      <formula>$A1="Trans."</formula>
    </cfRule>
  </conditionalFormatting>
  <conditionalFormatting sqref="T1 CY1 AP1 AS1 AV1 X1:Y1 AM1:AN1">
    <cfRule type="expression" dxfId="530" priority="9245">
      <formula>$A1="Trans."</formula>
    </cfRule>
  </conditionalFormatting>
  <conditionalFormatting sqref="I1">
    <cfRule type="expression" dxfId="529" priority="9253">
      <formula>$A1="Trans."</formula>
    </cfRule>
  </conditionalFormatting>
  <conditionalFormatting sqref="B2:B6">
    <cfRule type="expression" dxfId="528" priority="8">
      <formula>$DM2="Trans."</formula>
    </cfRule>
  </conditionalFormatting>
  <conditionalFormatting sqref="B2:B6">
    <cfRule type="expression" dxfId="527" priority="10">
      <formula>$DN2=""</formula>
    </cfRule>
    <cfRule type="expression" dxfId="526" priority="14">
      <formula>$DN2="OK"</formula>
    </cfRule>
  </conditionalFormatting>
  <conditionalFormatting sqref="B2:B6">
    <cfRule type="expression" dxfId="525" priority="13">
      <formula>$DN2="Mini"</formula>
    </cfRule>
  </conditionalFormatting>
  <conditionalFormatting sqref="B2:B6">
    <cfRule type="expression" dxfId="524" priority="12">
      <formula>$DN2="KO"</formula>
    </cfRule>
  </conditionalFormatting>
  <conditionalFormatting sqref="B2:B6">
    <cfRule type="expression" dxfId="523" priority="9">
      <formula>$G2="Annulation"</formula>
    </cfRule>
  </conditionalFormatting>
  <conditionalFormatting sqref="B2:B6">
    <cfRule type="expression" dxfId="522" priority="11">
      <formula>$DN2="AJ"</formula>
    </cfRule>
  </conditionalFormatting>
  <conditionalFormatting sqref="A2:A6">
    <cfRule type="expression" dxfId="521" priority="1">
      <formula>$DM2="Trans."</formula>
    </cfRule>
  </conditionalFormatting>
  <conditionalFormatting sqref="A2:A6">
    <cfRule type="expression" dxfId="520" priority="3">
      <formula>$DN2=""</formula>
    </cfRule>
    <cfRule type="expression" dxfId="519" priority="7">
      <formula>$DN2="OK"</formula>
    </cfRule>
  </conditionalFormatting>
  <conditionalFormatting sqref="A2:A6">
    <cfRule type="expression" dxfId="518" priority="6">
      <formula>$DN2="Mini"</formula>
    </cfRule>
  </conditionalFormatting>
  <conditionalFormatting sqref="A2:A6">
    <cfRule type="expression" dxfId="517" priority="5">
      <formula>$DN2="KO"</formula>
    </cfRule>
  </conditionalFormatting>
  <conditionalFormatting sqref="A2:A6">
    <cfRule type="expression" dxfId="516" priority="2">
      <formula>$G2="Annulation"</formula>
    </cfRule>
  </conditionalFormatting>
  <conditionalFormatting sqref="A2:A6">
    <cfRule type="expression" dxfId="515" priority="4">
      <formula>$DN2="AJ"</formula>
    </cfRule>
  </conditionalFormatting>
  <dataValidations count="1">
    <dataValidation type="list" allowBlank="1" showInputMessage="1" showErrorMessage="1" sqref="DM2:DM6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Matrice!$B$39:$J$39</xm:f>
          </x14:formula1>
          <xm:sqref>DA2:DA6</xm:sqref>
        </x14:dataValidation>
        <x14:dataValidation type="list" allowBlank="1" showInputMessage="1" showErrorMessage="1">
          <x14:formula1>
            <xm:f>Matrice!$B$38:$I$38</xm:f>
          </x14:formula1>
          <xm:sqref>DK2:DK6</xm:sqref>
        </x14:dataValidation>
        <x14:dataValidation type="list" allowBlank="1" showInputMessage="1" showErrorMessage="1">
          <x14:formula1>
            <xm:f>Matrice!$B$37:$I$37</xm:f>
          </x14:formula1>
          <xm:sqref>DJ2:DJ6</xm:sqref>
        </x14:dataValidation>
        <x14:dataValidation type="list" allowBlank="1" showInputMessage="1" showErrorMessage="1">
          <x14:formula1>
            <xm:f>Matrice!$B$36:$O$36</xm:f>
          </x14:formula1>
          <xm:sqref>DG2:DG6</xm:sqref>
        </x14:dataValidation>
        <x14:dataValidation type="list" allowBlank="1" showInputMessage="1" showErrorMessage="1">
          <x14:formula1>
            <xm:f>Matrice!$B$28:$H$28</xm:f>
          </x14:formula1>
          <xm:sqref>DD2:DD6</xm:sqref>
        </x14:dataValidation>
        <x14:dataValidation type="list" allowBlank="1" showInputMessage="1" showErrorMessage="1">
          <x14:formula1>
            <xm:f>Matrice!$B$32:$F$32</xm:f>
          </x14:formula1>
          <xm:sqref>DC2:DC6</xm:sqref>
        </x14:dataValidation>
        <x14:dataValidation type="list" allowBlank="1" showInputMessage="1" showErrorMessage="1">
          <x14:formula1>
            <xm:f>Matrice!$B$33:$E$33</xm:f>
          </x14:formula1>
          <xm:sqref>CW2:CW6</xm:sqref>
        </x14:dataValidation>
        <x14:dataValidation type="list" allowBlank="1" showInputMessage="1" showErrorMessage="1">
          <x14:formula1>
            <xm:f>Matrice!$C$25:$N$25</xm:f>
          </x14:formula1>
          <xm:sqref>CK2:CP6</xm:sqref>
        </x14:dataValidation>
        <x14:dataValidation type="list" allowBlank="1" showInputMessage="1" showErrorMessage="1">
          <x14:formula1>
            <xm:f>Matrice!$B$23:$I$23</xm:f>
          </x14:formula1>
          <xm:sqref>AY2:AY6</xm:sqref>
        </x14:dataValidation>
        <x14:dataValidation type="list" allowBlank="1" showInputMessage="1" showErrorMessage="1">
          <x14:formula1>
            <xm:f>Matrice!$B$12:$M$12</xm:f>
          </x14:formula1>
          <xm:sqref>BH2:BI6</xm:sqref>
        </x14:dataValidation>
        <x14:dataValidation type="list" allowBlank="1" showInputMessage="1" showErrorMessage="1">
          <x14:formula1>
            <xm:f>Matrice!$B$11:$J$11</xm:f>
          </x14:formula1>
          <xm:sqref>CF2:CF6 CC2:CC6 BZ2:BZ6 BK2:BK6 BW2:BW6 BT2:BT6 BN2:BN6 BQ2:BQ6 CI2:CI6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AB2:AB6</xm:sqref>
        </x14:dataValidation>
        <x14:dataValidation type="list" allowBlank="1" showInputMessage="1" showErrorMessage="1">
          <x14:formula1>
            <xm:f>Matrice!$B$8:$K$8</xm:f>
          </x14:formula1>
          <xm:sqref>AD2:AD6</xm:sqref>
        </x14:dataValidation>
        <x14:dataValidation type="list" allowBlank="1" showInputMessage="1" showErrorMessage="1">
          <x14:formula1>
            <xm:f>Matrice!$B$2:$O$2</xm:f>
          </x14:formula1>
          <xm:sqref>K2:K6</xm:sqref>
        </x14:dataValidation>
        <x14:dataValidation type="list" allowBlank="1" showInputMessage="1" showErrorMessage="1">
          <x14:formula1>
            <xm:f>Matrice!$B$1:$J$1</xm:f>
          </x14:formula1>
          <xm:sqref>J2:J6</xm:sqref>
        </x14:dataValidation>
        <x14:dataValidation type="list" allowBlank="1" showInputMessage="1" showErrorMessage="1">
          <x14:formula1>
            <xm:f>Matrice!$B$9:$O$9</xm:f>
          </x14:formula1>
          <xm:sqref>G2:G6</xm:sqref>
        </x14:dataValidation>
        <x14:dataValidation type="list" allowBlank="1" showInputMessage="1" showErrorMessage="1">
          <x14:formula1>
            <xm:f>Matrice!$B$4:$J$4</xm:f>
          </x14:formula1>
          <xm:sqref>S2:S6</xm:sqref>
        </x14:dataValidation>
        <x14:dataValidation type="list" allowBlank="1" showInputMessage="1" showErrorMessage="1">
          <x14:formula1>
            <xm:f>Matrice!$B$49:$D$49</xm:f>
          </x14:formula1>
          <xm:sqref>F2:F6</xm:sqref>
        </x14:dataValidation>
        <x14:dataValidation type="list" allowBlank="1" showInputMessage="1" showErrorMessage="1">
          <x14:formula1>
            <xm:f>Matrice!$B$34:$I$34</xm:f>
          </x14:formula1>
          <xm:sqref>CX2:CX6</xm:sqref>
        </x14:dataValidation>
        <x14:dataValidation type="list" allowBlank="1" showInputMessage="1" showErrorMessage="1">
          <x14:formula1>
            <xm:f>Matrice!$B$35:$M$35</xm:f>
          </x14:formula1>
          <xm:sqref>CZ2:CZ6</xm:sqref>
        </x14:dataValidation>
        <x14:dataValidation type="list" allowBlank="1" showInputMessage="1" showErrorMessage="1">
          <x14:formula1>
            <xm:f>Matrice!$B$31:$V$31</xm:f>
          </x14:formula1>
          <xm:sqref>CU2:CU6</xm:sqref>
        </x14:dataValidation>
        <x14:dataValidation type="list" allowBlank="1" showInputMessage="1" showErrorMessage="1">
          <x14:formula1>
            <xm:f>Matrice!$B$3:$Y$3</xm:f>
          </x14:formula1>
          <xm:sqref>P2:P6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99FF"/>
  </sheetPr>
  <dimension ref="A1:CG78"/>
  <sheetViews>
    <sheetView zoomScale="80" zoomScaleNormal="80" workbookViewId="0">
      <selection activeCell="B3" sqref="B3"/>
    </sheetView>
  </sheetViews>
  <sheetFormatPr baseColWidth="10" defaultColWidth="9.140625" defaultRowHeight="15.75" x14ac:dyDescent="0.25"/>
  <cols>
    <col min="1" max="1" width="18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3" width="8.710937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42522</v>
      </c>
      <c r="B1" s="707">
        <f ca="1">TODAY()</f>
        <v>43259</v>
      </c>
      <c r="C1" s="708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SUM('1806'!V2:V58)+SUM('1806'!W2:W58)</f>
        <v>2162.2199999999998</v>
      </c>
      <c r="G2" s="164" t="s">
        <v>1128</v>
      </c>
      <c r="H2" s="165">
        <f>SUM('1806'!X2:X58)+SUM('1806'!Y2:Y58)</f>
        <v>1930.8300599999998</v>
      </c>
      <c r="I2" s="162" t="s">
        <v>29</v>
      </c>
      <c r="J2" s="166">
        <f>F2-H2</f>
        <v>231.38994000000002</v>
      </c>
      <c r="K2" s="167">
        <f>IF(F2&gt;0,(1-SUM(H2/F2)),0)</f>
        <v>0.10701498459916203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SUM('1806'!X2:X58)+SUM('1806'!Y2:Y58)</f>
        <v>1930.8300599999998</v>
      </c>
      <c r="C3" s="742">
        <f>SUM(TotalPrimes+B4+B5)</f>
        <v>1930.8300599999998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325">
        <v>0.11</v>
      </c>
      <c r="G4" s="325">
        <v>0.115</v>
      </c>
      <c r="H4" s="325">
        <v>5.3400000000000003E-2</v>
      </c>
      <c r="I4" s="325">
        <v>0.14599999999999999</v>
      </c>
      <c r="J4" s="325">
        <v>0.104</v>
      </c>
      <c r="K4" s="325">
        <v>5.6000000000000001E-2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0</v>
      </c>
      <c r="C5" s="744"/>
      <c r="E5" s="70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SUMIF('1806'!assurance,"APRIL",'1806'!mens)*12</f>
        <v>1045.68</v>
      </c>
      <c r="G6" s="63">
        <f>SUMIF('1806'!assurance,"NEOLIANE",'1806'!mens)*12</f>
        <v>0</v>
      </c>
      <c r="H6" s="63">
        <f>SUMIF('1806'!assurance,"NEOLIANE Prev",'1806'!mens)*12</f>
        <v>0</v>
      </c>
      <c r="I6" s="63">
        <f>SUMIF('1806'!assurance,"ASAF",'1806'!mens)*12</f>
        <v>0</v>
      </c>
      <c r="J6" s="63">
        <f>SUMIF('1806'!assurance,"SWISSLIFE",'1806'!mens)*12</f>
        <v>1002.48</v>
      </c>
      <c r="K6" s="63">
        <f>SUMIF('1806'!assurance,"ALPTIS",'1806'!mens)*12</f>
        <v>6600.7199999999993</v>
      </c>
      <c r="L6" s="63">
        <f>SUMIF('1806'!assurance,"AVIVA",'1806'!mens)*12</f>
        <v>0</v>
      </c>
      <c r="M6" s="63">
        <f>SUMIF('1806'!assurance,"CIPRES",'1806'!mens)*12</f>
        <v>0</v>
      </c>
      <c r="N6" s="64">
        <f>SUMIF('1806'!assurance,"CEGEMA",'1806'!mens)*12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1930.8300599999998</v>
      </c>
      <c r="E7" s="90">
        <f>G12</f>
        <v>8648.8799999999992</v>
      </c>
      <c r="F7" s="79">
        <f t="shared" ref="F7:N7" si="0">F6/TotalCA</f>
        <v>0.12090351583095155</v>
      </c>
      <c r="G7" s="65">
        <f t="shared" si="0"/>
        <v>0</v>
      </c>
      <c r="H7" s="65">
        <f t="shared" si="0"/>
        <v>0</v>
      </c>
      <c r="I7" s="65">
        <f t="shared" si="0"/>
        <v>0</v>
      </c>
      <c r="J7" s="65">
        <f t="shared" si="0"/>
        <v>0.1159086494436274</v>
      </c>
      <c r="K7" s="65">
        <f t="shared" si="0"/>
        <v>0.76318783472542107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42707</v>
      </c>
      <c r="B8" s="332">
        <v>0.1</v>
      </c>
      <c r="C8" s="133">
        <f>-SUM((B3+B4)*B8)</f>
        <v>-193.08300599999998</v>
      </c>
      <c r="E8" s="111" t="s">
        <v>1119</v>
      </c>
      <c r="F8" s="86">
        <f>SUMIF('1806'!assurance,"APRIL",'1806'!Y2:Y58)+SUMIF('1806'!assurance,"APRIL",'1806'!X2:X58)+SUMIF(B25:B30,"APRIL",C25:C30)+SUMIF(B34:B39,"APRIL",C34:C39)</f>
        <v>232.66379999999998</v>
      </c>
      <c r="G8" s="710">
        <f>SUMIF('1806'!assurance,"NEOLIANE",'1806'!Y2:Y58)+SUMIF('1806'!assurance,"NEOLIANE",'1806'!X2:X58)+SUMIF('1806'!assurance,"NEOLIANE Prev",'1806'!Y2:Y58)+SUMIF('1806'!assurance,"NEOLIANE Prev",'1806'!X2:X58)+SUMIF(B25:B30,"NEOLIANE",C25:C30)+SUMIF(B34:B39,"NEOLIANE",C34:C39)+SUMIF(B25:B30,"NEOLIANE Prev",C25:C30)+SUMIF(B34:B39,"NEOLIANE Prev",C34:C39)</f>
        <v>0</v>
      </c>
      <c r="H8" s="710"/>
      <c r="I8" s="385">
        <f>SUMIF('1806'!assurance,"ASAF",'1806'!Y2:Y58)+SUMIF('1806'!assurance,"ASAF",'1806'!X2:X58)+SUMIF(B25:B30,"ASAF",C25:C30)+SUMIF(B34:B39,"ASAF",C34:C39)</f>
        <v>0</v>
      </c>
      <c r="J8" s="385">
        <f>SUMIF('1806'!assurance,"SWISSLIFE",'1806'!Y2:Y58)+SUMIF('1806'!assurance,"SWISSLIFE",'1806'!X2:X58)+SUMIF(B25:B30,"SWISSLIFE",C25:C30)+SUMIF(B34:B39,"SWISSLIFE",C34:C39)</f>
        <v>224.55552</v>
      </c>
      <c r="K8" s="385">
        <f>SUMIF('1806'!assurance,"ALPTIS",'1806'!Y2:Y58)+SUMIF('1806'!assurance,"ALPTIS",'1806'!X2:X58)+SUMIF(B25:B30,"ALPTIS",C25:C30)+SUMIF(B34:B39,"ALPTIS",C34:C39)</f>
        <v>1473.6107399999999</v>
      </c>
      <c r="L8" s="385">
        <f>SUMIF('1806'!assurance,"AVIVA",'1806'!Y2:Y58)+SUMIF('1806'!assurance,"AVIVA",'1806'!X2:X58)+SUMIF(B25:B30,"AVIVA",C25:C30)+SUMIF(B34:B39,"AVIVA",C34:C39)</f>
        <v>0</v>
      </c>
      <c r="M8" s="385">
        <f>SUMIF('1806'!assurance,"CIPRES",'1806'!Y2:Y58)+SUMIF('1806'!assurance,"CIPRES",'1806'!X2:X58)+SUMIF(B25:B30,"CIPRES",C25:C30)+SUMIF(B34:B39,"CIPRES",C34:C39)</f>
        <v>0</v>
      </c>
      <c r="N8" s="88">
        <f>SUMIF('1806'!assurance,"CEGEMA",'1806'!Y2:Y58)+SUMIF('1806'!assurance,"CEGEMA",'1806'!X2:X58)+SUMIF(B25:B30,"CEGEMA",C25:C30)+SUMIF(B34:B39,"CEGEMA",C34:C39)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1930.8300599999998</v>
      </c>
      <c r="F9" s="384">
        <f>F8/TotalPrimes</f>
        <v>0.12049936699245298</v>
      </c>
      <c r="G9" s="711">
        <f>G8/TotalPrimes</f>
        <v>0</v>
      </c>
      <c r="H9" s="711"/>
      <c r="I9" s="388">
        <f t="shared" ref="I9:N9" si="1">I8/TotalPrimes</f>
        <v>0</v>
      </c>
      <c r="J9" s="388">
        <f t="shared" si="1"/>
        <v>0.11629999172480256</v>
      </c>
      <c r="K9" s="388">
        <f t="shared" si="1"/>
        <v>0.76320064128274445</v>
      </c>
      <c r="L9" s="388">
        <f t="shared" si="1"/>
        <v>0</v>
      </c>
      <c r="M9" s="388">
        <f t="shared" si="1"/>
        <v>0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38">
        <f>-G25</f>
        <v>0</v>
      </c>
      <c r="C10" s="739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40">
        <f>SUM(C7+B10+C8+B9)</f>
        <v>1737.7470539999997</v>
      </c>
      <c r="C11" s="741"/>
      <c r="F11" s="729" t="s">
        <v>487</v>
      </c>
      <c r="G11" s="730"/>
      <c r="I11" s="714" t="s">
        <v>488</v>
      </c>
      <c r="J11" s="715"/>
      <c r="K11" s="716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-133.80652315799998</v>
      </c>
      <c r="F12" s="169" t="s">
        <v>104</v>
      </c>
      <c r="G12" s="168">
        <f>SUM('1806'!M2:M58)*12</f>
        <v>8648.8799999999992</v>
      </c>
      <c r="I12" s="343" t="s">
        <v>490</v>
      </c>
      <c r="J12" s="717">
        <f>H2-J25</f>
        <v>1930.8300599999998</v>
      </c>
      <c r="K12" s="718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696">
        <f>B11+C12</f>
        <v>1603.9405308419998</v>
      </c>
      <c r="C13" s="757"/>
      <c r="F13" s="395" t="s">
        <v>102</v>
      </c>
      <c r="G13" s="46">
        <f>COUNT('1806'!N2:N58)-G15-G16</f>
        <v>4</v>
      </c>
      <c r="H13" s="170"/>
      <c r="I13" s="344" t="s">
        <v>1123</v>
      </c>
      <c r="J13" s="118" t="s">
        <v>122</v>
      </c>
      <c r="K13" s="119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COUNTIF('1806'!P2:P58,"V")-G15</f>
        <v>1</v>
      </c>
      <c r="I14" s="40" t="s">
        <v>170</v>
      </c>
      <c r="J14" s="44">
        <f>SUMIF('1806'!G2:G58,"Lead",'1806'!Y2:Y58)+SUMIF('1806'!G2:G58,"Lead",'1806'!X2:X58)</f>
        <v>1930.8300599999998</v>
      </c>
      <c r="K14" s="43">
        <f t="shared" ref="K14:K21" si="2">J14/BenefMoinsAnnulat</f>
        <v>1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719" t="s">
        <v>1124</v>
      </c>
      <c r="B15" s="720"/>
      <c r="C15" s="721"/>
      <c r="F15" s="394" t="s">
        <v>517</v>
      </c>
      <c r="G15" s="345">
        <v>0</v>
      </c>
      <c r="I15" s="40" t="s">
        <v>172</v>
      </c>
      <c r="J15" s="44">
        <f>SUMIF('1806'!G2:G58,"Couplage",'1806'!Y2:Y58)+SUMIF('1806'!G2:G58,"Couplage",'1806'!X2:X58)</f>
        <v>0</v>
      </c>
      <c r="K15" s="43">
        <f t="shared" si="2"/>
        <v>0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SUMIFS('1806'!M2:M58,'1806'!J2:J58,"Prev. Pro")*12</f>
        <v>8648.8799999999992</v>
      </c>
      <c r="C16" s="69">
        <f>IF(B16&gt;0,B16/G12,0)</f>
        <v>1</v>
      </c>
      <c r="F16" s="56" t="s">
        <v>148</v>
      </c>
      <c r="G16" s="49">
        <f>COUNTIF('1806'!G2:G58,"Annulation")</f>
        <v>0</v>
      </c>
      <c r="I16" s="40" t="s">
        <v>166</v>
      </c>
      <c r="J16" s="44">
        <f>SUMIF('1806'!G2:G58,"Cabinet",'1806'!Y2:Y58)+SUMIF('1806'!G2:G58,"Cabinet",'1806'!X2:X58)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49" s="170" customFormat="1" ht="21.75" thickBot="1" x14ac:dyDescent="0.3">
      <c r="A17" s="121" t="s">
        <v>105</v>
      </c>
      <c r="B17" s="126">
        <f>COUNTIF('1806'!J2:J58,"Prev. Pro")</f>
        <v>4</v>
      </c>
      <c r="C17" s="70">
        <f>IF(B17&gt;0,B17/(nbcontratsall+contratsdoublons+contratsreprise),0)</f>
        <v>1</v>
      </c>
      <c r="F17" s="138" t="s">
        <v>178</v>
      </c>
      <c r="G17" s="45">
        <f>IF(G14&gt;0,G12/G14/12,0)</f>
        <v>720.7399999999999</v>
      </c>
      <c r="H17" s="331"/>
      <c r="I17" s="40" t="s">
        <v>167</v>
      </c>
      <c r="J17" s="44">
        <f>SUMIF('1806'!G2:G58,"Parrainage",'1806'!Y2:Y58)+SUMIF('1806'!G2:G58,"Parrainage",'1806'!X2:X58)</f>
        <v>0</v>
      </c>
      <c r="K17" s="43">
        <f t="shared" si="2"/>
        <v>0</v>
      </c>
      <c r="M17" s="322"/>
      <c r="N17" s="323"/>
      <c r="O17" s="322"/>
      <c r="Q17" s="322"/>
      <c r="R17" s="333"/>
      <c r="AQ17" s="324"/>
      <c r="AT17" s="324"/>
    </row>
    <row r="18" spans="1:49" s="170" customFormat="1" ht="18.75" x14ac:dyDescent="0.25">
      <c r="A18" s="100" t="s">
        <v>101</v>
      </c>
      <c r="B18" s="122">
        <f>SUMIFS('1806'!M2:M58,'1806'!J2:J58,"Santé Individuelle")*12</f>
        <v>0</v>
      </c>
      <c r="C18" s="69">
        <f>IF(B18&gt;0,B18/G12,0)</f>
        <v>0</v>
      </c>
      <c r="F18" s="139" t="s">
        <v>27</v>
      </c>
      <c r="G18" s="50">
        <f>IF(B6&gt;0,SUM(-C6/B6),0)</f>
        <v>0</v>
      </c>
      <c r="I18" s="40" t="s">
        <v>171</v>
      </c>
      <c r="J18" s="44">
        <f>SUMIF('1806'!G2:G58,"Old",'1806'!Y2:Y58)+SUMIF('1806'!G2:G58,"Old",'1806'!X2:X58)</f>
        <v>0</v>
      </c>
      <c r="K18" s="43">
        <f t="shared" si="2"/>
        <v>0</v>
      </c>
      <c r="M18" s="322"/>
      <c r="N18" s="323"/>
      <c r="O18" s="322"/>
      <c r="Q18" s="322"/>
      <c r="R18" s="333"/>
      <c r="AQ18" s="324"/>
      <c r="AT18" s="324"/>
    </row>
    <row r="19" spans="1:49" s="170" customFormat="1" ht="21.75" thickBot="1" x14ac:dyDescent="0.3">
      <c r="A19" s="123" t="s">
        <v>103</v>
      </c>
      <c r="B19" s="127">
        <f>COUNTIF('1806'!J2:J58,"Santé Individuelle")</f>
        <v>0</v>
      </c>
      <c r="C19" s="70">
        <f>IF(B19&gt;0,B19/(nbcontratsall+contratsdoublons+contratsreprise),0)</f>
        <v>0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SUMIF('1806'!G2:G58,"Re-signature",'1806'!Y2:Y58)+SUMIF('1806'!G2:G58,"Re-signature",'1806'!X2:X58)</f>
        <v>0</v>
      </c>
      <c r="K19" s="43">
        <f t="shared" si="2"/>
        <v>0</v>
      </c>
      <c r="M19" s="322"/>
      <c r="N19" s="323"/>
      <c r="O19" s="322"/>
      <c r="Q19" s="322"/>
      <c r="R19" s="333"/>
      <c r="AQ19" s="324"/>
      <c r="AT19" s="324"/>
    </row>
    <row r="20" spans="1:49" s="170" customFormat="1" ht="19.5" thickBot="1" x14ac:dyDescent="0.3">
      <c r="A20" s="101" t="s">
        <v>85</v>
      </c>
      <c r="B20" s="124">
        <f>SUMIFS('1806'!M2:M58,'1806'!J2:J58,"Prev.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SUMIF('1806'!G2:G58,"Frigo",'1806'!Y2:Y58)+SUMIF('1806'!G2:G58,"Frigo",'1806'!X2:X58)</f>
        <v>0</v>
      </c>
      <c r="K20" s="43">
        <f t="shared" si="2"/>
        <v>0</v>
      </c>
      <c r="M20" s="322"/>
      <c r="N20" s="323"/>
      <c r="O20" s="322"/>
      <c r="Q20" s="322"/>
      <c r="R20" s="333"/>
      <c r="AQ20" s="324"/>
      <c r="AT20" s="324"/>
    </row>
    <row r="21" spans="1:49" s="170" customFormat="1" ht="19.5" thickBot="1" x14ac:dyDescent="0.3">
      <c r="A21" s="394" t="s">
        <v>509</v>
      </c>
      <c r="B21" s="128">
        <f>COUNTIF('1806'!J2:J58,"Prev.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SUMIF('1806'!G2:G58,"Shark",'1806'!Y2:Y58)+SUMIF('1806'!G2:G58,"Shark",'1806'!X2:X58)</f>
        <v>0</v>
      </c>
      <c r="K21" s="43">
        <f t="shared" si="2"/>
        <v>0</v>
      </c>
      <c r="M21" s="322"/>
      <c r="N21" s="323"/>
      <c r="O21" s="322"/>
      <c r="Q21" s="322"/>
      <c r="R21" s="333"/>
      <c r="AT21" s="324"/>
      <c r="AW21" s="324"/>
    </row>
    <row r="22" spans="1:49" s="170" customFormat="1" ht="19.5" thickBot="1" x14ac:dyDescent="0.3">
      <c r="F22" s="143" t="s">
        <v>142</v>
      </c>
      <c r="G22" s="346">
        <v>0</v>
      </c>
      <c r="I22" s="40" t="s">
        <v>260</v>
      </c>
      <c r="J22" s="44">
        <f>SUMIF('1806'!G2:G58,"Pré 2018 OK",'1806'!Y2:Y58)+SUMIF('1806'!G2:G58,"Pré 2018 OK",'1806'!X2:X58)</f>
        <v>0</v>
      </c>
      <c r="K22" s="43">
        <f>J22/BenefMoinsAnnulat</f>
        <v>0</v>
      </c>
      <c r="L22" s="322"/>
      <c r="M22" s="322"/>
      <c r="N22" s="323"/>
      <c r="O22" s="322"/>
      <c r="Q22" s="322"/>
      <c r="R22" s="333"/>
      <c r="AT22" s="324"/>
      <c r="AW22" s="324"/>
    </row>
    <row r="23" spans="1:49" s="331" customFormat="1" ht="21.75" thickBot="1" x14ac:dyDescent="0.3">
      <c r="A23" s="749" t="s">
        <v>14</v>
      </c>
      <c r="B23" s="750"/>
      <c r="C23" s="751">
        <f>SUM(C25:C30)</f>
        <v>0</v>
      </c>
      <c r="D23" s="752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44">
        <f>SUMIF('1806'!G2:G58,"Pré 2018 à Voir",'1806'!Y2:Y58)+SUMIF('1806'!G2:G58,"Pré 2018 à Voir",'1806'!X2:X58)</f>
        <v>0</v>
      </c>
      <c r="K23" s="43">
        <f>J23/BenefMoinsAnnulat</f>
        <v>0</v>
      </c>
      <c r="AS23" s="342"/>
      <c r="AV23" s="342"/>
    </row>
    <row r="24" spans="1:49" s="170" customFormat="1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F24" s="336"/>
      <c r="I24" s="40" t="s">
        <v>261</v>
      </c>
      <c r="J24" s="44">
        <f>SUMIF('1806'!G2:G58,"Pré 2018 KO",'1806'!Y2:Y58)+SUMIF('1806'!G2:G58,"Pré 2018 KO",'1806'!X2:X58)</f>
        <v>0</v>
      </c>
      <c r="K24" s="43">
        <f>J24/BenefMoinsAnnulat</f>
        <v>0</v>
      </c>
      <c r="L24" s="322"/>
      <c r="M24" s="322"/>
      <c r="N24" s="323"/>
      <c r="O24" s="322"/>
      <c r="Q24" s="322"/>
      <c r="R24" s="333"/>
      <c r="AQ24" s="324"/>
      <c r="AT24" s="324"/>
    </row>
    <row r="25" spans="1:49" s="170" customFormat="1" ht="21.75" thickBot="1" x14ac:dyDescent="0.3">
      <c r="A25" s="351"/>
      <c r="B25" s="348"/>
      <c r="C25" s="352"/>
      <c r="D25" s="350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SUMIF('1806'!G1:G58,"Annulation",'1806'!Y1:Y58)+SUMIF('1806'!G1:G58,"Annulation",'1806'!X1:X58)</f>
        <v>0</v>
      </c>
      <c r="K25" s="72">
        <f>J25/BenefMoinsAnnulat</f>
        <v>0</v>
      </c>
      <c r="M25" s="322"/>
      <c r="N25" s="323"/>
      <c r="O25" s="322"/>
      <c r="Q25" s="322"/>
      <c r="R25" s="333"/>
      <c r="AQ25" s="324"/>
      <c r="AT25" s="324"/>
    </row>
    <row r="26" spans="1:49" s="170" customFormat="1" x14ac:dyDescent="0.25">
      <c r="A26" s="351"/>
      <c r="B26" s="348"/>
      <c r="C26" s="352"/>
      <c r="D26" s="350">
        <v>0</v>
      </c>
      <c r="F26" s="117" t="s">
        <v>500</v>
      </c>
      <c r="G26" s="108" t="s">
        <v>1118</v>
      </c>
      <c r="J26" s="322"/>
      <c r="K26" s="322"/>
      <c r="M26" s="322"/>
      <c r="N26" s="323"/>
      <c r="O26" s="322"/>
      <c r="Q26" s="322"/>
      <c r="R26" s="333"/>
      <c r="AQ26" s="324"/>
      <c r="AT26" s="324"/>
    </row>
    <row r="27" spans="1:49" s="170" customFormat="1" x14ac:dyDescent="0.25">
      <c r="A27" s="351"/>
      <c r="B27" s="348"/>
      <c r="C27" s="353"/>
      <c r="D27" s="350">
        <v>0</v>
      </c>
      <c r="F27" s="354"/>
      <c r="G27" s="355"/>
      <c r="J27" s="322"/>
      <c r="K27" s="322"/>
      <c r="M27" s="322"/>
      <c r="N27" s="323"/>
      <c r="O27" s="322"/>
      <c r="Q27" s="322"/>
      <c r="R27" s="333"/>
      <c r="AQ27" s="324"/>
      <c r="AT27" s="324"/>
    </row>
    <row r="28" spans="1:49" s="170" customFormat="1" x14ac:dyDescent="0.25">
      <c r="A28" s="356"/>
      <c r="B28" s="348"/>
      <c r="C28" s="352"/>
      <c r="D28" s="350">
        <v>0</v>
      </c>
      <c r="F28" s="354"/>
      <c r="G28" s="355"/>
      <c r="J28" s="322"/>
      <c r="K28" s="322"/>
      <c r="Q28" s="322"/>
      <c r="R28" s="333"/>
      <c r="AQ28" s="324"/>
      <c r="AT28" s="324"/>
    </row>
    <row r="29" spans="1:49" s="170" customFormat="1" x14ac:dyDescent="0.25">
      <c r="A29" s="351"/>
      <c r="B29" s="348"/>
      <c r="C29" s="352"/>
      <c r="D29" s="350">
        <v>0</v>
      </c>
      <c r="F29" s="354"/>
      <c r="G29" s="355"/>
      <c r="J29" s="322"/>
      <c r="K29" s="322"/>
      <c r="AQ29" s="324"/>
      <c r="AT29" s="324"/>
    </row>
    <row r="30" spans="1:49" s="170" customFormat="1" ht="16.5" thickBot="1" x14ac:dyDescent="0.3">
      <c r="A30" s="357"/>
      <c r="B30" s="358"/>
      <c r="C30" s="359"/>
      <c r="D30" s="360">
        <v>0</v>
      </c>
      <c r="F30" s="357"/>
      <c r="G30" s="361"/>
      <c r="J30" s="322"/>
      <c r="K30" s="322"/>
      <c r="L30" s="322"/>
      <c r="M30" s="322"/>
      <c r="AQ30" s="324"/>
      <c r="AT30" s="324"/>
    </row>
    <row r="31" spans="1:49" s="170" customFormat="1" ht="16.5" thickBot="1" x14ac:dyDescent="0.3">
      <c r="L31" s="322"/>
      <c r="M31" s="322"/>
      <c r="AS31" s="324"/>
      <c r="AV31" s="324"/>
    </row>
    <row r="32" spans="1:49" s="170" customFormat="1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J32" s="322"/>
      <c r="L32" s="322"/>
      <c r="M32" s="322"/>
      <c r="W32" s="334"/>
      <c r="AS32" s="324"/>
      <c r="AV32" s="324"/>
    </row>
    <row r="33" spans="1:49" s="170" customFormat="1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J33" s="322"/>
      <c r="L33" s="322"/>
      <c r="M33" s="322"/>
      <c r="AR33" s="324"/>
      <c r="AU33" s="324"/>
    </row>
    <row r="34" spans="1:49" s="170" customFormat="1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J34" s="322"/>
      <c r="L34" s="322"/>
      <c r="M34" s="322"/>
      <c r="AR34" s="324"/>
      <c r="AU34" s="324"/>
    </row>
    <row r="35" spans="1:49" s="170" customFormat="1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J35" s="322"/>
      <c r="L35" s="322"/>
      <c r="M35" s="322"/>
      <c r="AR35" s="324"/>
      <c r="AU35" s="324"/>
    </row>
    <row r="36" spans="1:49" s="170" customFormat="1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J36" s="322"/>
      <c r="AR36" s="324"/>
      <c r="AU36" s="324"/>
    </row>
    <row r="37" spans="1:49" s="170" customFormat="1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J37" s="322"/>
      <c r="AR37" s="324"/>
      <c r="AU37" s="324"/>
    </row>
    <row r="38" spans="1:49" s="170" customFormat="1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J38" s="322"/>
      <c r="AR38" s="324"/>
      <c r="AU38" s="324"/>
    </row>
    <row r="39" spans="1:49" s="170" customFormat="1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J39" s="322"/>
      <c r="V39" s="334"/>
      <c r="AR39" s="324"/>
      <c r="AU39" s="324"/>
    </row>
    <row r="40" spans="1:49" s="170" customFormat="1" x14ac:dyDescent="0.25">
      <c r="F40" s="336"/>
      <c r="J40" s="322"/>
      <c r="X40" s="334"/>
      <c r="AT40" s="324"/>
      <c r="AW40" s="324"/>
    </row>
    <row r="41" spans="1:49" s="170" customFormat="1" x14ac:dyDescent="0.25">
      <c r="F41" s="336"/>
      <c r="J41" s="322"/>
      <c r="X41" s="334"/>
      <c r="AT41" s="324"/>
      <c r="AW41" s="324"/>
    </row>
    <row r="42" spans="1:49" s="170" customFormat="1" x14ac:dyDescent="0.25">
      <c r="F42" s="336"/>
      <c r="J42" s="322"/>
      <c r="X42" s="334"/>
      <c r="AT42" s="324"/>
      <c r="AW42" s="324"/>
    </row>
    <row r="43" spans="1:49" s="170" customFormat="1" x14ac:dyDescent="0.25">
      <c r="F43" s="336"/>
      <c r="J43" s="322"/>
      <c r="X43" s="334"/>
      <c r="AT43" s="324"/>
      <c r="AW43" s="324"/>
    </row>
    <row r="44" spans="1:49" s="170" customFormat="1" x14ac:dyDescent="0.25">
      <c r="F44" s="336"/>
      <c r="J44" s="322"/>
      <c r="X44" s="334"/>
      <c r="AT44" s="324"/>
      <c r="AW44" s="324"/>
    </row>
    <row r="45" spans="1:49" s="170" customFormat="1" x14ac:dyDescent="0.25">
      <c r="F45" s="336"/>
      <c r="J45" s="322"/>
      <c r="X45" s="334"/>
      <c r="AT45" s="324"/>
      <c r="AW45" s="324"/>
    </row>
    <row r="46" spans="1:49" s="170" customFormat="1" x14ac:dyDescent="0.25">
      <c r="F46" s="336"/>
      <c r="J46" s="322"/>
      <c r="X46" s="334"/>
      <c r="AT46" s="324"/>
      <c r="AW46" s="324"/>
    </row>
    <row r="47" spans="1:49" s="170" customFormat="1" x14ac:dyDescent="0.25">
      <c r="F47" s="336"/>
      <c r="J47" s="322"/>
      <c r="L47" s="322"/>
      <c r="M47" s="322"/>
      <c r="X47" s="334"/>
      <c r="AT47" s="324"/>
      <c r="AW47" s="324"/>
    </row>
    <row r="48" spans="1:49" s="170" customFormat="1" x14ac:dyDescent="0.25">
      <c r="F48" s="336"/>
      <c r="X48" s="334"/>
      <c r="AT48" s="324"/>
      <c r="AW48" s="324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49" s="170" customFormat="1" x14ac:dyDescent="0.25">
      <c r="X65" s="334"/>
      <c r="AT65" s="324"/>
      <c r="AW65" s="324"/>
    </row>
    <row r="66" spans="6:49" s="170" customFormat="1" x14ac:dyDescent="0.25">
      <c r="X66" s="334"/>
      <c r="AT66" s="324"/>
      <c r="AW66" s="324"/>
    </row>
    <row r="67" spans="6:49" s="170" customFormat="1" x14ac:dyDescent="0.25">
      <c r="X67" s="334"/>
      <c r="AT67" s="324"/>
      <c r="AW67" s="324"/>
    </row>
    <row r="68" spans="6:49" s="170" customFormat="1" x14ac:dyDescent="0.25">
      <c r="X68" s="334"/>
      <c r="AT68" s="324"/>
      <c r="AW68" s="324"/>
    </row>
    <row r="69" spans="6:49" s="170" customFormat="1" x14ac:dyDescent="0.25">
      <c r="J69" s="322"/>
      <c r="X69" s="334"/>
      <c r="AT69" s="324"/>
      <c r="AW69" s="324"/>
    </row>
    <row r="70" spans="6:49" s="170" customFormat="1" x14ac:dyDescent="0.25">
      <c r="F70" s="336"/>
      <c r="J70" s="322"/>
      <c r="X70" s="334"/>
      <c r="AT70" s="324"/>
      <c r="AW70" s="324"/>
    </row>
    <row r="71" spans="6:49" s="170" customFormat="1" x14ac:dyDescent="0.25">
      <c r="F71" s="336"/>
      <c r="J71" s="322"/>
      <c r="X71" s="334"/>
      <c r="AT71" s="324"/>
      <c r="AW71" s="324"/>
    </row>
    <row r="72" spans="6:49" s="170" customFormat="1" x14ac:dyDescent="0.25">
      <c r="F72" s="336"/>
      <c r="J72" s="322"/>
      <c r="X72" s="334"/>
      <c r="AT72" s="324"/>
      <c r="AW72" s="324"/>
    </row>
    <row r="73" spans="6:49" s="170" customFormat="1" x14ac:dyDescent="0.25">
      <c r="F73" s="336"/>
      <c r="J73" s="322"/>
      <c r="X73" s="334"/>
      <c r="AT73" s="324"/>
      <c r="AW73" s="324"/>
    </row>
    <row r="74" spans="6:49" s="170" customFormat="1" x14ac:dyDescent="0.25">
      <c r="F74" s="336"/>
      <c r="J74" s="322"/>
      <c r="X74" s="334"/>
      <c r="AT74" s="324"/>
      <c r="AW74" s="324"/>
    </row>
    <row r="75" spans="6:49" s="170" customFormat="1" x14ac:dyDescent="0.25">
      <c r="F75" s="336"/>
      <c r="J75" s="322"/>
      <c r="X75" s="334"/>
      <c r="AT75" s="324"/>
      <c r="AW75" s="324"/>
    </row>
    <row r="76" spans="6:49" s="170" customFormat="1" x14ac:dyDescent="0.25">
      <c r="F76" s="336"/>
      <c r="J76" s="322"/>
      <c r="L76" s="322"/>
      <c r="M76" s="322"/>
      <c r="X76" s="334"/>
      <c r="AT76" s="324"/>
      <c r="AW76" s="324"/>
    </row>
    <row r="77" spans="6:49" s="170" customFormat="1" x14ac:dyDescent="0.25">
      <c r="F77" s="336"/>
      <c r="J77" s="322"/>
      <c r="L77" s="322"/>
      <c r="M77" s="322"/>
      <c r="X77" s="334"/>
      <c r="AT77" s="324"/>
      <c r="AW77" s="324"/>
    </row>
    <row r="78" spans="6:49" s="170" customFormat="1" x14ac:dyDescent="0.25">
      <c r="F78" s="336"/>
      <c r="J78" s="322"/>
      <c r="K78" s="322"/>
      <c r="L78" s="322"/>
      <c r="M78" s="322"/>
      <c r="N78" s="323"/>
      <c r="O78" s="322"/>
      <c r="X78" s="334"/>
      <c r="AT78" s="324"/>
      <c r="AW78" s="324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514" priority="14" operator="containsText" text="Précompte">
      <formula>NOT(ISERROR(SEARCH("Précompte",O31)))</formula>
    </cfRule>
    <cfRule type="containsText" dxfId="513" priority="15" operator="containsText" text="Linéaire">
      <formula>NOT(ISERROR(SEARCH("Linéaire",O31)))</formula>
    </cfRule>
  </conditionalFormatting>
  <conditionalFormatting sqref="F7:N7 K14:K22">
    <cfRule type="containsErrors" dxfId="512" priority="13">
      <formula>ISERROR(F7)</formula>
    </cfRule>
  </conditionalFormatting>
  <conditionalFormatting sqref="F8 F6:N6 I8:N8 I22:I24 J14:K24">
    <cfRule type="cellIs" dxfId="511" priority="12" operator="equal">
      <formula>0</formula>
    </cfRule>
  </conditionalFormatting>
  <conditionalFormatting sqref="K23">
    <cfRule type="containsErrors" dxfId="510" priority="11">
      <formula>ISERROR(K23)</formula>
    </cfRule>
  </conditionalFormatting>
  <conditionalFormatting sqref="K24">
    <cfRule type="containsErrors" dxfId="509" priority="10">
      <formula>ISERROR(K24)</formula>
    </cfRule>
  </conditionalFormatting>
  <conditionalFormatting sqref="K22:K24">
    <cfRule type="containsText" dxfId="508" priority="8" operator="containsText" text="Précompte">
      <formula>NOT(ISERROR(SEARCH("Précompte",K22)))</formula>
    </cfRule>
    <cfRule type="containsText" dxfId="507" priority="9" operator="containsText" text="Linéaire">
      <formula>NOT(ISERROR(SEARCH("Linéaire",K22)))</formula>
    </cfRule>
  </conditionalFormatting>
  <conditionalFormatting sqref="F9 I9:N9">
    <cfRule type="containsErrors" dxfId="506" priority="7">
      <formula>ISERROR(F9)</formula>
    </cfRule>
  </conditionalFormatting>
  <conditionalFormatting sqref="G9">
    <cfRule type="containsErrors" dxfId="505" priority="6">
      <formula>ISERROR(G9)</formula>
    </cfRule>
  </conditionalFormatting>
  <conditionalFormatting sqref="G8">
    <cfRule type="cellIs" dxfId="504" priority="5" stopIfTrue="1" operator="equal">
      <formula>0</formula>
    </cfRule>
  </conditionalFormatting>
  <conditionalFormatting sqref="J7 J9">
    <cfRule type="expression" dxfId="503" priority="16">
      <formula>$J6=0</formula>
    </cfRule>
  </conditionalFormatting>
  <conditionalFormatting sqref="I7 I9:N9">
    <cfRule type="expression" dxfId="502" priority="17">
      <formula>$I6=0</formula>
    </cfRule>
  </conditionalFormatting>
  <conditionalFormatting sqref="H7">
    <cfRule type="expression" dxfId="501" priority="18">
      <formula>$H6=0</formula>
    </cfRule>
  </conditionalFormatting>
  <conditionalFormatting sqref="G7 G9">
    <cfRule type="expression" dxfId="500" priority="19">
      <formula>$G6=0</formula>
    </cfRule>
  </conditionalFormatting>
  <conditionalFormatting sqref="F7 F9">
    <cfRule type="expression" dxfId="499" priority="20">
      <formula>$F6=0</formula>
    </cfRule>
  </conditionalFormatting>
  <conditionalFormatting sqref="J25">
    <cfRule type="cellIs" dxfId="498" priority="4" operator="equal">
      <formula>0</formula>
    </cfRule>
  </conditionalFormatting>
  <conditionalFormatting sqref="K25">
    <cfRule type="containsErrors" dxfId="497" priority="21">
      <formula>ISERROR(K25)</formula>
    </cfRule>
  </conditionalFormatting>
  <conditionalFormatting sqref="K25">
    <cfRule type="cellIs" dxfId="496" priority="3" operator="equal">
      <formula>0</formula>
    </cfRule>
  </conditionalFormatting>
  <conditionalFormatting sqref="P2">
    <cfRule type="containsText" dxfId="495" priority="1" operator="containsText" text="Précompte">
      <formula>NOT(ISERROR(SEARCH("Précompte",P2)))</formula>
    </cfRule>
    <cfRule type="containsText" dxfId="494" priority="2" operator="containsText" text="Linéaire">
      <formula>NOT(ISERROR(SEARCH("Linéaire",P2)))</formula>
    </cfRule>
  </conditionalFormatting>
  <conditionalFormatting sqref="N7 N9">
    <cfRule type="expression" dxfId="493" priority="22">
      <formula>$N6=0</formula>
    </cfRule>
  </conditionalFormatting>
  <conditionalFormatting sqref="M7 M9">
    <cfRule type="expression" dxfId="492" priority="23">
      <formula>$M6=0</formula>
    </cfRule>
  </conditionalFormatting>
  <conditionalFormatting sqref="L7 L9">
    <cfRule type="expression" dxfId="491" priority="24">
      <formula>$L6=0</formula>
    </cfRule>
  </conditionalFormatting>
  <conditionalFormatting sqref="K7 K9">
    <cfRule type="expression" dxfId="49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A1:CG78"/>
  <sheetViews>
    <sheetView zoomScale="80" zoomScaleNormal="80" workbookViewId="0">
      <selection activeCell="G24" sqref="G24"/>
    </sheetView>
  </sheetViews>
  <sheetFormatPr baseColWidth="10" defaultColWidth="9.140625" defaultRowHeight="15.75" x14ac:dyDescent="0.25"/>
  <cols>
    <col min="1" max="1" width="17.7109375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1" width="8.5703125" style="322" bestFit="1" customWidth="1"/>
    <col min="12" max="13" width="8.4257812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43221</v>
      </c>
      <c r="B1" s="707">
        <f ca="1">TODAY()</f>
        <v>43259</v>
      </c>
      <c r="C1" s="708"/>
      <c r="F1" s="170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SUM('1805'!V2:V11)+SUM('1805'!W2:W11)</f>
        <v>1337.6975</v>
      </c>
      <c r="G2" s="164" t="s">
        <v>1128</v>
      </c>
      <c r="H2" s="165">
        <f>SUM('1805'!X2:X11)+SUM('1805'!Y2:Y11)</f>
        <v>1187.4283870000002</v>
      </c>
      <c r="I2" s="162" t="s">
        <v>29</v>
      </c>
      <c r="J2" s="166">
        <f>F2-H2</f>
        <v>150.26911299999983</v>
      </c>
      <c r="K2" s="167">
        <f>IF(F2&gt;0,(1-SUM(H2/F2)),0)</f>
        <v>0.11233415103190358</v>
      </c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SUM('1805'!X2:X11)+SUM('1805'!Y2:Y11)</f>
        <v>1187.4283870000002</v>
      </c>
      <c r="C3" s="742">
        <f>SUM(TotalPrimes+B4+B5)</f>
        <v>1217.2683870000001</v>
      </c>
      <c r="E3" s="158" t="s">
        <v>491</v>
      </c>
      <c r="F3" s="159" t="s">
        <v>33</v>
      </c>
      <c r="G3" s="160" t="s">
        <v>489</v>
      </c>
      <c r="H3" s="160" t="s">
        <v>496</v>
      </c>
      <c r="I3" s="159" t="s">
        <v>43</v>
      </c>
      <c r="J3" s="159" t="s">
        <v>12</v>
      </c>
      <c r="K3" s="159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325">
        <v>0.11</v>
      </c>
      <c r="G4" s="325">
        <v>0.1173</v>
      </c>
      <c r="H4" s="325">
        <v>5.3400000000000003E-2</v>
      </c>
      <c r="I4" s="325">
        <v>0.14599999999999999</v>
      </c>
      <c r="J4" s="325">
        <v>0.104</v>
      </c>
      <c r="K4" s="325">
        <v>0.107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29.840000000000003</v>
      </c>
      <c r="C5" s="744"/>
      <c r="E5" s="70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SUMIF('1805'!assurance,"APRIL",'1805'!mens)*12</f>
        <v>4199.28</v>
      </c>
      <c r="G6" s="63">
        <f>SUMIF('1805'!assurance,"NEOLIANE",'1805'!mens)*12</f>
        <v>0</v>
      </c>
      <c r="H6" s="63">
        <f>SUMIF('1805'!assurance,"NEOLIANE Prev",'1805'!mens)*12</f>
        <v>220.20000000000002</v>
      </c>
      <c r="I6" s="63">
        <f>SUMIF('1805'!assurance,"ASAF",'1805'!mens)*12</f>
        <v>0</v>
      </c>
      <c r="J6" s="63">
        <f>SUMIF('1805'!assurance,"SWISSLIFE",'1805'!mens)*12</f>
        <v>0</v>
      </c>
      <c r="K6" s="63">
        <f>SUMIF('1805'!assurance,"ALPTIS",'1805'!mens)*12</f>
        <v>1984.3200000000002</v>
      </c>
      <c r="L6" s="63">
        <f>SUMIF('1805'!assurance,"AVIVA",'1805'!mens)*12</f>
        <v>552.36</v>
      </c>
      <c r="M6" s="63">
        <f>SUMIF('1805'!assurance,"CIPRES",'1805'!mens)*12</f>
        <v>0</v>
      </c>
      <c r="N6" s="64">
        <f>SUMIF('1805'!assurance,"CEGEMA",'1805'!mens)*12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1217.2683870000001</v>
      </c>
      <c r="E7" s="90">
        <f>G12</f>
        <v>6956.1600000000008</v>
      </c>
      <c r="F7" s="79">
        <f t="shared" ref="F7:N7" si="0">F6/TotalCA</f>
        <v>0.60367789125034488</v>
      </c>
      <c r="G7" s="65">
        <f t="shared" si="0"/>
        <v>0</v>
      </c>
      <c r="H7" s="65">
        <f t="shared" si="0"/>
        <v>3.1655396080596192E-2</v>
      </c>
      <c r="I7" s="65">
        <f t="shared" si="0"/>
        <v>0</v>
      </c>
      <c r="J7" s="65">
        <f t="shared" si="0"/>
        <v>0</v>
      </c>
      <c r="K7" s="65">
        <f t="shared" si="0"/>
        <v>0.28526083356334531</v>
      </c>
      <c r="L7" s="65">
        <f t="shared" si="0"/>
        <v>7.9405879105713492E-2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43406</v>
      </c>
      <c r="B8" s="332">
        <v>0.1</v>
      </c>
      <c r="C8" s="133">
        <f>-SUM((B3+B4)*B8)</f>
        <v>-118.74283870000002</v>
      </c>
      <c r="E8" s="111" t="s">
        <v>1119</v>
      </c>
      <c r="F8" s="86">
        <f>SUMIF('1805'!assurance,"APRIL",'1805'!Y2:Y11)+SUMIF('1805'!assurance,"APRIL",'1805'!X2:X11)+SUMIF(B25:B30,"APRIL",C25:C30)+SUMIF(B34:B39,"APRIL",C34:C39)</f>
        <v>570.17627499999992</v>
      </c>
      <c r="G8" s="710">
        <f>SUMIF('1805'!assurance,"NEOLIANE",'1805'!Y2:Y11)+SUMIF('1805'!assurance,"NEOLIANE",'1805'!X2:X11)+SUMIF('1805'!assurance,"NEOLIANE Prev",'1805'!Y2:Y11)+SUMIF('1805'!assurance,"NEOLIANE Prev",'1805'!X2:X11)+SUMIF(B25:B30,"NEOLIANE",C25:C30)+SUMIF(B34:B39,"NEOLIANE",C34:C39)+SUMIF(B25:B30,"NEOLIANE Prev",C25:C30)+SUMIF(B34:B39,"NEOLIANE Prev",C34:C39)</f>
        <v>77.712527999999992</v>
      </c>
      <c r="H8" s="710"/>
      <c r="I8" s="385">
        <f>SUMIF('1805'!assurance,"ASAF",'1805'!Y2:Y11)+SUMIF('1805'!assurance,"ASAF",'1805'!X2:X11)+SUMIF(B25:B30,"ASAF",C25:C30)+SUMIF(B34:B39,"ASAF",C34:C39)</f>
        <v>0</v>
      </c>
      <c r="J8" s="385">
        <f>SUMIF('1805'!assurance,"SWISSLIFE",'1805'!Y2:Y11)+SUMIF('1805'!assurance,"SWISSLIFE",'1805'!X2:X11)+SUMIF(B25:B30,"SWISSLIFE",C25:C30)+SUMIF(B34:B39,"SWISSLIFE",C34:C39)</f>
        <v>0</v>
      </c>
      <c r="K8" s="385">
        <f>SUMIF('1805'!assurance,"ALPTIS",'1805'!Y2:Y11)+SUMIF('1805'!assurance,"ALPTIS",'1805'!X2:X11)+SUMIF(B25:B30,"ALPTIS",C25:C30)+SUMIF(B34:B39,"ALPTIS",C34:C39)</f>
        <v>417.79944000000006</v>
      </c>
      <c r="L8" s="385">
        <f>SUMIF('1805'!assurance,"AVIVA",'1805'!Y2:Y11)+SUMIF('1805'!assurance,"AVIVA",'1805'!X2:X11)+SUMIF(B25:B30,"AVIVA",C25:C30)+SUMIF(B34:B39,"AVIVA",C34:C39)</f>
        <v>121.740144</v>
      </c>
      <c r="M8" s="385">
        <f>SUMIF('1805'!assurance,"CIPRES",'1805'!Y2:Y11)+SUMIF('1805'!assurance,"CIPRES",'1805'!X2:X11)+SUMIF(B25:B30,"CIPRES",C25:C30)+SUMIF(B34:B39,"CIPRES",C34:C39)</f>
        <v>29.840000000000003</v>
      </c>
      <c r="N8" s="88">
        <f>SUMIF('1805'!assurance,"CEGEMA",'1805'!Y2:Y11)+SUMIF('1805'!assurance,"CEGEMA",'1805'!X2:X11)+SUMIF(B25:B30,"CEGEMA",C25:C30)+SUMIF(B34:B39,"CEGEMA",C34:C39)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1217.2683870000001</v>
      </c>
      <c r="F9" s="384">
        <f>F8/TotalPrimes</f>
        <v>0.48017739953188421</v>
      </c>
      <c r="G9" s="760">
        <f>G8/TotalPrimes</f>
        <v>6.5446075612473953E-2</v>
      </c>
      <c r="H9" s="761"/>
      <c r="I9" s="388">
        <f t="shared" ref="I9:N9" si="1">I8/TotalPrimes</f>
        <v>0</v>
      </c>
      <c r="J9" s="388">
        <f t="shared" si="1"/>
        <v>0</v>
      </c>
      <c r="K9" s="388">
        <f t="shared" si="1"/>
        <v>0.35185232606368538</v>
      </c>
      <c r="L9" s="388">
        <f t="shared" si="1"/>
        <v>0.10252419879195628</v>
      </c>
      <c r="M9" s="388">
        <f t="shared" si="1"/>
        <v>2.5129936530648225E-2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38">
        <f>-G25</f>
        <v>0</v>
      </c>
      <c r="C10" s="739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40">
        <f>SUM(C7+B10+C8+B9)</f>
        <v>1098.5255483000001</v>
      </c>
      <c r="C11" s="741"/>
      <c r="F11" s="729" t="s">
        <v>487</v>
      </c>
      <c r="G11" s="730"/>
      <c r="I11" s="714" t="s">
        <v>488</v>
      </c>
      <c r="J11" s="715"/>
      <c r="K11" s="716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-84.586467219100001</v>
      </c>
      <c r="F12" s="169" t="s">
        <v>104</v>
      </c>
      <c r="G12" s="168">
        <f>SUM('1805'!M2:M11)*12</f>
        <v>6956.1600000000008</v>
      </c>
      <c r="I12" s="386" t="s">
        <v>490</v>
      </c>
      <c r="J12" s="758">
        <f>H2-J25</f>
        <v>1187.4283870000002</v>
      </c>
      <c r="K12" s="759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696">
        <f>B11+C12</f>
        <v>1013.9390810809001</v>
      </c>
      <c r="C13" s="757"/>
      <c r="F13" s="395" t="s">
        <v>102</v>
      </c>
      <c r="G13" s="46">
        <f>COUNT('1805'!N2:N11)-G15-G16</f>
        <v>10</v>
      </c>
      <c r="H13" s="170"/>
      <c r="I13" s="399" t="s">
        <v>1123</v>
      </c>
      <c r="J13" s="171" t="s">
        <v>122</v>
      </c>
      <c r="K13" s="175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COUNTIF('1805'!P2:P11,"V")-G15</f>
        <v>8</v>
      </c>
      <c r="I14" s="40" t="s">
        <v>170</v>
      </c>
      <c r="J14" s="44">
        <f>SUMIF('1805'!G2:G11,"Lead",'1805'!Y2:Y11)+SUMIF('1805'!G2:G11,"Lead",'1805'!X2:X11)</f>
        <v>1109.7158590000001</v>
      </c>
      <c r="K14" s="43">
        <f t="shared" ref="K14:K21" si="2">J14/BenefMoinsAnnulat</f>
        <v>0.93455392438752605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719" t="s">
        <v>1124</v>
      </c>
      <c r="B15" s="720"/>
      <c r="C15" s="721"/>
      <c r="F15" s="394" t="s">
        <v>517</v>
      </c>
      <c r="G15" s="345">
        <v>0</v>
      </c>
      <c r="I15" s="40" t="s">
        <v>172</v>
      </c>
      <c r="J15" s="44">
        <f>SUMIF('1805'!G2:G11,"Couplage",'1805'!Y2:Y11)+SUMIF('1805'!G2:G11,"Couplage",'1805'!X2:X11)</f>
        <v>77.712527999999992</v>
      </c>
      <c r="K15" s="43">
        <f t="shared" si="2"/>
        <v>6.5446075612473953E-2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SUMIFS('1805'!M2:M11,'1805'!J2:J11,"Prev. Pro")*12</f>
        <v>2900.2799999999997</v>
      </c>
      <c r="C16" s="69">
        <f>IF(B16&gt;0,B16/G12,0)</f>
        <v>0.41693693072039739</v>
      </c>
      <c r="F16" s="56" t="s">
        <v>148</v>
      </c>
      <c r="G16" s="49">
        <f>COUNTIF('1805'!G2:G11,"Annulation")</f>
        <v>0</v>
      </c>
      <c r="I16" s="40" t="s">
        <v>166</v>
      </c>
      <c r="J16" s="44">
        <f>SUMIF('1805'!G2:G11,"Cabinet",'1805'!Y2:Y11)+SUMIF('1805'!G2:G11,"Cabinet",'1805'!X2:X11)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49" s="170" customFormat="1" ht="21.75" thickBot="1" x14ac:dyDescent="0.3">
      <c r="A17" s="121" t="s">
        <v>105</v>
      </c>
      <c r="B17" s="126">
        <f>COUNTIF('1805'!J2:J11,"Prev. Pro")</f>
        <v>5</v>
      </c>
      <c r="C17" s="70">
        <f>IF(B17&gt;0,B17/(nbcontratsall+contratsdoublons+contratsreprise),0)</f>
        <v>0.5</v>
      </c>
      <c r="F17" s="138" t="s">
        <v>178</v>
      </c>
      <c r="G17" s="45">
        <f>IF(G14&gt;0,G12/G14/12,0)</f>
        <v>72.460000000000008</v>
      </c>
      <c r="H17" s="331"/>
      <c r="I17" s="40" t="s">
        <v>167</v>
      </c>
      <c r="J17" s="44">
        <f>SUMIF('1805'!G2:G11,"Parrainage",'1805'!Y2:Y11)+SUMIF('1805'!G2:G11,"Parrainage",'1805'!X2:X11)</f>
        <v>0</v>
      </c>
      <c r="K17" s="43">
        <f t="shared" si="2"/>
        <v>0</v>
      </c>
      <c r="M17" s="322"/>
      <c r="N17" s="323"/>
      <c r="O17" s="322"/>
      <c r="Q17" s="322"/>
      <c r="R17" s="333"/>
      <c r="AQ17" s="324"/>
      <c r="AT17" s="324"/>
    </row>
    <row r="18" spans="1:49" s="170" customFormat="1" ht="18.75" x14ac:dyDescent="0.25">
      <c r="A18" s="100" t="s">
        <v>101</v>
      </c>
      <c r="B18" s="122">
        <f>SUMIFS('1805'!M2:M11,'1805'!J2:J11,"Santé Individuelle")*12</f>
        <v>2654.2799999999997</v>
      </c>
      <c r="C18" s="69">
        <f>IF(B18&gt;0,B18/G12,0)</f>
        <v>0.38157259177477221</v>
      </c>
      <c r="F18" s="139" t="s">
        <v>27</v>
      </c>
      <c r="G18" s="50">
        <f>IF(B6&gt;0,SUM(-C6/B6),0)</f>
        <v>0</v>
      </c>
      <c r="I18" s="40" t="s">
        <v>171</v>
      </c>
      <c r="J18" s="44">
        <f>SUMIF('1805'!G2:G11,"Old",'1805'!Y2:Y11)+SUMIF('1805'!G2:G11,"Old",'1805'!X2:X11)</f>
        <v>0</v>
      </c>
      <c r="K18" s="43">
        <f t="shared" si="2"/>
        <v>0</v>
      </c>
      <c r="M18" s="322"/>
      <c r="N18" s="323"/>
      <c r="O18" s="322"/>
      <c r="Q18" s="322"/>
      <c r="R18" s="333"/>
      <c r="AQ18" s="324"/>
      <c r="AT18" s="324"/>
    </row>
    <row r="19" spans="1:49" s="170" customFormat="1" ht="21.75" thickBot="1" x14ac:dyDescent="0.3">
      <c r="A19" s="123" t="s">
        <v>103</v>
      </c>
      <c r="B19" s="127">
        <f>COUNTIF('1805'!J2:J11,"Santé Individuelle")</f>
        <v>2</v>
      </c>
      <c r="C19" s="70">
        <f>IF(B19&gt;0,B19/(nbcontratsall+contratsdoublons+contratsreprise),0)</f>
        <v>0.2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SUMIF('1805'!G2:G11,"Re-signature",'1805'!Y2:Y11)+SUMIF('1805'!G2:G11,"Re-signature",'1805'!X2:X11)</f>
        <v>0</v>
      </c>
      <c r="K19" s="43">
        <f t="shared" si="2"/>
        <v>0</v>
      </c>
      <c r="M19" s="322"/>
      <c r="N19" s="323"/>
      <c r="O19" s="322"/>
      <c r="Q19" s="322"/>
      <c r="R19" s="333"/>
      <c r="AQ19" s="324"/>
      <c r="AT19" s="324"/>
    </row>
    <row r="20" spans="1:49" s="170" customFormat="1" ht="19.5" thickBot="1" x14ac:dyDescent="0.3">
      <c r="A20" s="101" t="s">
        <v>85</v>
      </c>
      <c r="B20" s="124">
        <f>SUMIFS('1805'!M2:M11,'1805'!J2:J11,"Prev. Part")*12</f>
        <v>220.20000000000002</v>
      </c>
      <c r="C20" s="69">
        <f>IF(B20&gt;0,B20/G12,0)</f>
        <v>3.1655396080596192E-2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SUMIF('1805'!G2:G11,"Frigo",'1805'!Y2:Y11)+SUMIF('1805'!G2:G11,"Frigo",'1805'!X2:X11)</f>
        <v>0</v>
      </c>
      <c r="K20" s="43">
        <f t="shared" si="2"/>
        <v>0</v>
      </c>
      <c r="M20" s="322"/>
      <c r="N20" s="323"/>
      <c r="O20" s="322"/>
      <c r="Q20" s="322"/>
      <c r="R20" s="333"/>
      <c r="AQ20" s="324"/>
      <c r="AT20" s="324"/>
    </row>
    <row r="21" spans="1:49" s="170" customFormat="1" ht="19.5" thickBot="1" x14ac:dyDescent="0.3">
      <c r="A21" s="394" t="s">
        <v>509</v>
      </c>
      <c r="B21" s="128">
        <f>COUNTIF('1805'!J2:J11,"Prev. Part")</f>
        <v>1</v>
      </c>
      <c r="C21" s="70">
        <f>IF(B21&gt;0,B21/(nbcontratsall+contratsdoublons+contratsreprise),0)</f>
        <v>0.1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SUMIF('1805'!G2:G11,"Shark",'1805'!Y2:Y11)+SUMIF('1805'!G2:G11,"Shark",'1805'!X2:X11)</f>
        <v>0</v>
      </c>
      <c r="K21" s="43">
        <f t="shared" si="2"/>
        <v>0</v>
      </c>
      <c r="M21" s="322"/>
      <c r="N21" s="323"/>
      <c r="O21" s="322"/>
      <c r="Q21" s="322"/>
      <c r="R21" s="333"/>
      <c r="AT21" s="324"/>
      <c r="AW21" s="324"/>
    </row>
    <row r="22" spans="1:49" s="170" customFormat="1" ht="19.5" thickBot="1" x14ac:dyDescent="0.3">
      <c r="F22" s="143" t="s">
        <v>142</v>
      </c>
      <c r="G22" s="346">
        <f>68+2</f>
        <v>70</v>
      </c>
      <c r="I22" s="40" t="s">
        <v>260</v>
      </c>
      <c r="J22" s="174">
        <f>SUMIF('1805'!G2:G11,"Pré 2018 OK",'1805'!Y2:Y11)+SUMIF('1805'!G2:G11,"Pré 2018 OK",'1805'!X2:X11)</f>
        <v>0</v>
      </c>
      <c r="K22" s="173">
        <f>J22/BenefMoinsAnnulat</f>
        <v>0</v>
      </c>
      <c r="L22" s="322"/>
      <c r="M22" s="322"/>
      <c r="N22" s="323"/>
      <c r="O22" s="322"/>
      <c r="Q22" s="322"/>
      <c r="R22" s="333"/>
      <c r="AT22" s="324"/>
      <c r="AW22" s="324"/>
    </row>
    <row r="23" spans="1:49" s="331" customFormat="1" ht="21.75" thickBot="1" x14ac:dyDescent="0.3">
      <c r="A23" s="749" t="s">
        <v>14</v>
      </c>
      <c r="B23" s="750"/>
      <c r="C23" s="751">
        <f>SUM(C25:C30)</f>
        <v>29.840000000000003</v>
      </c>
      <c r="D23" s="752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174">
        <f>SUMIF('1805'!G2:G11,"Pré 2018 à Voir",'1805'!Y2:Y11)+SUMIF('1805'!G2:G11,"Pré 2018 à Voir",'1805'!X2:X11)</f>
        <v>0</v>
      </c>
      <c r="K23" s="173">
        <f>J23/BenefMoinsAnnulat</f>
        <v>0</v>
      </c>
      <c r="AS23" s="342"/>
      <c r="AV23" s="342"/>
    </row>
    <row r="24" spans="1:49" s="170" customFormat="1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F24" s="336"/>
      <c r="I24" s="40" t="s">
        <v>261</v>
      </c>
      <c r="J24" s="174">
        <f>SUMIF('1805'!G2:G11,"Pré 2018 KO",'1805'!Y2:Y11)+SUMIF('1805'!G2:G11,"Pré 2018 KO",'1805'!X2:X11)</f>
        <v>0</v>
      </c>
      <c r="K24" s="173">
        <f>J24/BenefMoinsAnnulat</f>
        <v>0</v>
      </c>
      <c r="L24" s="322"/>
      <c r="M24" s="322"/>
      <c r="N24" s="323"/>
      <c r="O24" s="322"/>
      <c r="Q24" s="322"/>
      <c r="R24" s="333"/>
      <c r="AQ24" s="324"/>
      <c r="AT24" s="324"/>
    </row>
    <row r="25" spans="1:49" s="170" customFormat="1" ht="21.75" thickBot="1" x14ac:dyDescent="0.3">
      <c r="A25" s="351" t="s">
        <v>1131</v>
      </c>
      <c r="B25" s="348" t="s">
        <v>22</v>
      </c>
      <c r="C25" s="352">
        <v>19.920000000000002</v>
      </c>
      <c r="D25" s="350">
        <v>5</v>
      </c>
      <c r="F25" s="149" t="s">
        <v>493</v>
      </c>
      <c r="G25" s="156">
        <f>SUM(G27:G30)</f>
        <v>0</v>
      </c>
      <c r="I25" s="58" t="s">
        <v>174</v>
      </c>
      <c r="J25" s="71">
        <f>SUMIF('1805'!G1:G11,"Annulation",'1805'!Y1:Y11)+SUMIF('1805'!G1:G11,"Annulation",'1805'!X1:X11)</f>
        <v>0</v>
      </c>
      <c r="K25" s="72">
        <f>J25/BenefMoinsAnnulat</f>
        <v>0</v>
      </c>
      <c r="M25" s="322"/>
      <c r="N25" s="323"/>
      <c r="O25" s="322"/>
      <c r="Q25" s="322"/>
      <c r="R25" s="333"/>
      <c r="AQ25" s="324"/>
      <c r="AT25" s="324"/>
    </row>
    <row r="26" spans="1:49" s="170" customFormat="1" ht="31.5" x14ac:dyDescent="0.25">
      <c r="A26" s="351" t="s">
        <v>499</v>
      </c>
      <c r="B26" s="348" t="s">
        <v>22</v>
      </c>
      <c r="C26" s="352">
        <v>9.92</v>
      </c>
      <c r="D26" s="350">
        <v>4</v>
      </c>
      <c r="F26" s="117" t="s">
        <v>500</v>
      </c>
      <c r="G26" s="108" t="s">
        <v>1118</v>
      </c>
      <c r="J26" s="322"/>
      <c r="K26" s="322"/>
      <c r="M26" s="322"/>
      <c r="N26" s="323"/>
      <c r="O26" s="322"/>
      <c r="Q26" s="322"/>
      <c r="R26" s="333"/>
      <c r="AQ26" s="324"/>
      <c r="AT26" s="324"/>
    </row>
    <row r="27" spans="1:49" s="170" customFormat="1" x14ac:dyDescent="0.25">
      <c r="A27" s="351"/>
      <c r="B27" s="348"/>
      <c r="C27" s="353"/>
      <c r="D27" s="350">
        <v>0</v>
      </c>
      <c r="F27" s="354"/>
      <c r="G27" s="355"/>
      <c r="J27" s="322"/>
      <c r="K27" s="322"/>
      <c r="M27" s="322"/>
      <c r="N27" s="323"/>
      <c r="O27" s="322"/>
      <c r="Q27" s="322"/>
      <c r="R27" s="333"/>
      <c r="AQ27" s="324"/>
      <c r="AT27" s="324"/>
    </row>
    <row r="28" spans="1:49" s="170" customFormat="1" x14ac:dyDescent="0.25">
      <c r="A28" s="356"/>
      <c r="B28" s="348"/>
      <c r="C28" s="352"/>
      <c r="D28" s="350">
        <v>0</v>
      </c>
      <c r="F28" s="354"/>
      <c r="G28" s="355"/>
      <c r="J28" s="322"/>
      <c r="K28" s="322"/>
      <c r="Q28" s="322"/>
      <c r="R28" s="333"/>
      <c r="AQ28" s="324"/>
      <c r="AT28" s="324"/>
    </row>
    <row r="29" spans="1:49" s="170" customFormat="1" x14ac:dyDescent="0.25">
      <c r="A29" s="351"/>
      <c r="B29" s="348"/>
      <c r="C29" s="352"/>
      <c r="D29" s="350">
        <v>0</v>
      </c>
      <c r="F29" s="354"/>
      <c r="G29" s="355"/>
      <c r="J29" s="322"/>
      <c r="K29" s="322"/>
      <c r="AQ29" s="324"/>
      <c r="AT29" s="324"/>
    </row>
    <row r="30" spans="1:49" s="170" customFormat="1" ht="16.5" thickBot="1" x14ac:dyDescent="0.3">
      <c r="A30" s="357"/>
      <c r="B30" s="358"/>
      <c r="C30" s="359"/>
      <c r="D30" s="360">
        <v>0</v>
      </c>
      <c r="F30" s="357"/>
      <c r="G30" s="361"/>
      <c r="J30" s="322"/>
      <c r="K30" s="322"/>
      <c r="L30" s="322"/>
      <c r="M30" s="322"/>
      <c r="AQ30" s="324"/>
      <c r="AT30" s="324"/>
    </row>
    <row r="31" spans="1:49" s="170" customFormat="1" ht="16.5" thickBot="1" x14ac:dyDescent="0.3">
      <c r="L31" s="322"/>
      <c r="M31" s="322"/>
      <c r="AS31" s="324"/>
      <c r="AV31" s="324"/>
    </row>
    <row r="32" spans="1:49" s="170" customFormat="1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J32" s="322"/>
      <c r="L32" s="322"/>
      <c r="M32" s="322"/>
      <c r="W32" s="334"/>
      <c r="AS32" s="324"/>
      <c r="AV32" s="324"/>
    </row>
    <row r="33" spans="1:49" s="170" customFormat="1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J33" s="322"/>
      <c r="L33" s="322"/>
      <c r="M33" s="322"/>
      <c r="AR33" s="324"/>
      <c r="AU33" s="324"/>
    </row>
    <row r="34" spans="1:49" s="170" customFormat="1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J34" s="322"/>
      <c r="L34" s="322"/>
      <c r="M34" s="322"/>
      <c r="AR34" s="324"/>
      <c r="AU34" s="324"/>
    </row>
    <row r="35" spans="1:49" s="170" customFormat="1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J35" s="322"/>
      <c r="L35" s="322"/>
      <c r="M35" s="322"/>
      <c r="AR35" s="324"/>
      <c r="AU35" s="324"/>
    </row>
    <row r="36" spans="1:49" s="170" customFormat="1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J36" s="322"/>
      <c r="AR36" s="324"/>
      <c r="AU36" s="324"/>
    </row>
    <row r="37" spans="1:49" s="170" customFormat="1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J37" s="322"/>
      <c r="AR37" s="324"/>
      <c r="AU37" s="324"/>
    </row>
    <row r="38" spans="1:49" s="170" customFormat="1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J38" s="322"/>
      <c r="AR38" s="324"/>
      <c r="AU38" s="324"/>
    </row>
    <row r="39" spans="1:49" s="170" customFormat="1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J39" s="322"/>
      <c r="V39" s="334"/>
      <c r="AR39" s="324"/>
      <c r="AU39" s="324"/>
    </row>
    <row r="40" spans="1:49" s="170" customFormat="1" x14ac:dyDescent="0.25">
      <c r="F40" s="336"/>
      <c r="J40" s="322"/>
      <c r="X40" s="334"/>
      <c r="AT40" s="324"/>
      <c r="AW40" s="324"/>
    </row>
    <row r="41" spans="1:49" s="170" customFormat="1" x14ac:dyDescent="0.25">
      <c r="F41" s="336"/>
      <c r="J41" s="322"/>
      <c r="X41" s="334"/>
      <c r="AT41" s="324"/>
      <c r="AW41" s="324"/>
    </row>
    <row r="42" spans="1:49" s="170" customFormat="1" x14ac:dyDescent="0.25">
      <c r="F42" s="336"/>
      <c r="J42" s="322"/>
      <c r="X42" s="334"/>
      <c r="AT42" s="324"/>
      <c r="AW42" s="324"/>
    </row>
    <row r="43" spans="1:49" s="170" customFormat="1" x14ac:dyDescent="0.25">
      <c r="F43" s="336"/>
      <c r="J43" s="322"/>
      <c r="X43" s="334"/>
      <c r="AT43" s="324"/>
      <c r="AW43" s="324"/>
    </row>
    <row r="44" spans="1:49" s="170" customFormat="1" x14ac:dyDescent="0.25">
      <c r="F44" s="336"/>
      <c r="J44" s="322"/>
      <c r="X44" s="334"/>
      <c r="AT44" s="324"/>
      <c r="AW44" s="324"/>
    </row>
    <row r="45" spans="1:49" s="170" customFormat="1" x14ac:dyDescent="0.25">
      <c r="F45" s="336"/>
      <c r="J45" s="322"/>
      <c r="X45" s="334"/>
      <c r="AT45" s="324"/>
      <c r="AW45" s="324"/>
    </row>
    <row r="46" spans="1:49" s="170" customFormat="1" x14ac:dyDescent="0.25">
      <c r="F46" s="336"/>
      <c r="J46" s="322"/>
      <c r="X46" s="334"/>
      <c r="AT46" s="324"/>
      <c r="AW46" s="324"/>
    </row>
    <row r="47" spans="1:49" s="170" customFormat="1" x14ac:dyDescent="0.25">
      <c r="F47" s="336"/>
      <c r="J47" s="322"/>
      <c r="L47" s="322"/>
      <c r="M47" s="322"/>
      <c r="X47" s="334"/>
      <c r="AT47" s="324"/>
      <c r="AW47" s="324"/>
    </row>
    <row r="48" spans="1:49" s="170" customFormat="1" x14ac:dyDescent="0.25">
      <c r="F48" s="336"/>
      <c r="X48" s="334"/>
      <c r="AT48" s="324"/>
      <c r="AW48" s="324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49" s="170" customFormat="1" x14ac:dyDescent="0.25">
      <c r="X65" s="334"/>
      <c r="AT65" s="324"/>
      <c r="AW65" s="324"/>
    </row>
    <row r="66" spans="6:49" s="170" customFormat="1" x14ac:dyDescent="0.25">
      <c r="X66" s="334"/>
      <c r="AT66" s="324"/>
      <c r="AW66" s="324"/>
    </row>
    <row r="67" spans="6:49" s="170" customFormat="1" x14ac:dyDescent="0.25">
      <c r="X67" s="334"/>
      <c r="AT67" s="324"/>
      <c r="AW67" s="324"/>
    </row>
    <row r="68" spans="6:49" s="170" customFormat="1" x14ac:dyDescent="0.25">
      <c r="X68" s="334"/>
      <c r="AT68" s="324"/>
      <c r="AW68" s="324"/>
    </row>
    <row r="69" spans="6:49" s="170" customFormat="1" x14ac:dyDescent="0.25">
      <c r="J69" s="322"/>
      <c r="X69" s="334"/>
      <c r="AT69" s="324"/>
      <c r="AW69" s="324"/>
    </row>
    <row r="70" spans="6:49" s="170" customFormat="1" x14ac:dyDescent="0.25">
      <c r="F70" s="336"/>
      <c r="J70" s="322"/>
      <c r="X70" s="334"/>
      <c r="AT70" s="324"/>
      <c r="AW70" s="324"/>
    </row>
    <row r="71" spans="6:49" s="170" customFormat="1" x14ac:dyDescent="0.25">
      <c r="F71" s="336"/>
      <c r="J71" s="322"/>
      <c r="X71" s="334"/>
      <c r="AT71" s="324"/>
      <c r="AW71" s="324"/>
    </row>
    <row r="72" spans="6:49" s="170" customFormat="1" x14ac:dyDescent="0.25">
      <c r="F72" s="336"/>
      <c r="J72" s="322"/>
      <c r="X72" s="334"/>
      <c r="AT72" s="324"/>
      <c r="AW72" s="324"/>
    </row>
    <row r="73" spans="6:49" s="170" customFormat="1" x14ac:dyDescent="0.25">
      <c r="F73" s="336"/>
      <c r="J73" s="322"/>
      <c r="X73" s="334"/>
      <c r="AT73" s="324"/>
      <c r="AW73" s="324"/>
    </row>
    <row r="74" spans="6:49" s="170" customFormat="1" x14ac:dyDescent="0.25">
      <c r="F74" s="336"/>
      <c r="J74" s="322"/>
      <c r="X74" s="334"/>
      <c r="AT74" s="324"/>
      <c r="AW74" s="324"/>
    </row>
    <row r="75" spans="6:49" s="170" customFormat="1" x14ac:dyDescent="0.25">
      <c r="F75" s="336"/>
      <c r="J75" s="322"/>
      <c r="X75" s="334"/>
      <c r="AT75" s="324"/>
      <c r="AW75" s="324"/>
    </row>
    <row r="76" spans="6:49" s="170" customFormat="1" x14ac:dyDescent="0.25">
      <c r="F76" s="336"/>
      <c r="J76" s="322"/>
      <c r="L76" s="322"/>
      <c r="M76" s="322"/>
      <c r="X76" s="334"/>
      <c r="AT76" s="324"/>
      <c r="AW76" s="324"/>
    </row>
    <row r="77" spans="6:49" s="170" customFormat="1" x14ac:dyDescent="0.25">
      <c r="F77" s="336"/>
      <c r="J77" s="322"/>
      <c r="L77" s="322"/>
      <c r="M77" s="322"/>
      <c r="X77" s="334"/>
      <c r="AT77" s="324"/>
      <c r="AW77" s="324"/>
    </row>
    <row r="78" spans="6:49" s="170" customFormat="1" x14ac:dyDescent="0.25">
      <c r="F78" s="336"/>
      <c r="J78" s="322"/>
      <c r="K78" s="322"/>
      <c r="L78" s="322"/>
      <c r="M78" s="322"/>
      <c r="N78" s="323"/>
      <c r="O78" s="322"/>
      <c r="X78" s="334"/>
      <c r="AT78" s="324"/>
      <c r="AW78" s="324"/>
    </row>
  </sheetData>
  <mergeCells count="19">
    <mergeCell ref="G32:H32"/>
    <mergeCell ref="E32:F32"/>
    <mergeCell ref="B1:C1"/>
    <mergeCell ref="B9:C9"/>
    <mergeCell ref="A23:B23"/>
    <mergeCell ref="C23:D23"/>
    <mergeCell ref="C32:D32"/>
    <mergeCell ref="A32:B32"/>
    <mergeCell ref="J12:K12"/>
    <mergeCell ref="F11:G11"/>
    <mergeCell ref="I11:K11"/>
    <mergeCell ref="A15:C15"/>
    <mergeCell ref="C3:C5"/>
    <mergeCell ref="B11:C11"/>
    <mergeCell ref="B13:C13"/>
    <mergeCell ref="B10:C10"/>
    <mergeCell ref="G9:H9"/>
    <mergeCell ref="G8:H8"/>
    <mergeCell ref="E4:E5"/>
  </mergeCells>
  <conditionalFormatting sqref="O31 P50:P1048576 P40:P48">
    <cfRule type="containsText" dxfId="489" priority="975" operator="containsText" text="Précompte">
      <formula>NOT(ISERROR(SEARCH("Précompte",O31)))</formula>
    </cfRule>
    <cfRule type="containsText" dxfId="488" priority="976" operator="containsText" text="Linéaire">
      <formula>NOT(ISERROR(SEARCH("Linéaire",O31)))</formula>
    </cfRule>
  </conditionalFormatting>
  <conditionalFormatting sqref="F7:N7 K14:K22">
    <cfRule type="containsErrors" dxfId="487" priority="949">
      <formula>ISERROR(F7)</formula>
    </cfRule>
  </conditionalFormatting>
  <conditionalFormatting sqref="F8 F6:N6 I8:N8 I22:I24 J14:K24">
    <cfRule type="cellIs" dxfId="486" priority="948" operator="equal">
      <formula>0</formula>
    </cfRule>
  </conditionalFormatting>
  <conditionalFormatting sqref="K23">
    <cfRule type="containsErrors" dxfId="485" priority="947">
      <formula>ISERROR(K23)</formula>
    </cfRule>
  </conditionalFormatting>
  <conditionalFormatting sqref="K24">
    <cfRule type="containsErrors" dxfId="484" priority="946">
      <formula>ISERROR(K24)</formula>
    </cfRule>
  </conditionalFormatting>
  <conditionalFormatting sqref="K22:K24">
    <cfRule type="containsText" dxfId="483" priority="944" operator="containsText" text="Précompte">
      <formula>NOT(ISERROR(SEARCH("Précompte",K22)))</formula>
    </cfRule>
    <cfRule type="containsText" dxfId="482" priority="945" operator="containsText" text="Linéaire">
      <formula>NOT(ISERROR(SEARCH("Linéaire",K22)))</formula>
    </cfRule>
  </conditionalFormatting>
  <conditionalFormatting sqref="F9 I9:N9">
    <cfRule type="containsErrors" dxfId="481" priority="924">
      <formula>ISERROR(F9)</formula>
    </cfRule>
  </conditionalFormatting>
  <conditionalFormatting sqref="G9">
    <cfRule type="containsErrors" dxfId="480" priority="923">
      <formula>ISERROR(G9)</formula>
    </cfRule>
  </conditionalFormatting>
  <conditionalFormatting sqref="G8">
    <cfRule type="cellIs" dxfId="479" priority="922" stopIfTrue="1" operator="equal">
      <formula>0</formula>
    </cfRule>
  </conditionalFormatting>
  <conditionalFormatting sqref="J7 J9">
    <cfRule type="expression" dxfId="478" priority="5304">
      <formula>$J6=0</formula>
    </cfRule>
  </conditionalFormatting>
  <conditionalFormatting sqref="I7 I9:N9">
    <cfRule type="expression" dxfId="477" priority="5306">
      <formula>$I6=0</formula>
    </cfRule>
  </conditionalFormatting>
  <conditionalFormatting sqref="H7">
    <cfRule type="expression" dxfId="476" priority="5308">
      <formula>$H6=0</formula>
    </cfRule>
  </conditionalFormatting>
  <conditionalFormatting sqref="G7 G9">
    <cfRule type="expression" dxfId="475" priority="5310">
      <formula>$G6=0</formula>
    </cfRule>
  </conditionalFormatting>
  <conditionalFormatting sqref="F7 F9">
    <cfRule type="expression" dxfId="474" priority="5312">
      <formula>$F6=0</formula>
    </cfRule>
  </conditionalFormatting>
  <conditionalFormatting sqref="J25">
    <cfRule type="cellIs" dxfId="473" priority="5" operator="equal">
      <formula>0</formula>
    </cfRule>
  </conditionalFormatting>
  <conditionalFormatting sqref="K25">
    <cfRule type="containsErrors" dxfId="472" priority="5320">
      <formula>ISERROR(K25)</formula>
    </cfRule>
  </conditionalFormatting>
  <conditionalFormatting sqref="K25">
    <cfRule type="cellIs" dxfId="471" priority="3" operator="equal">
      <formula>0</formula>
    </cfRule>
  </conditionalFormatting>
  <conditionalFormatting sqref="P2">
    <cfRule type="containsText" dxfId="470" priority="1" operator="containsText" text="Précompte">
      <formula>NOT(ISERROR(SEARCH("Précompte",P2)))</formula>
    </cfRule>
    <cfRule type="containsText" dxfId="469" priority="2" operator="containsText" text="Linéaire">
      <formula>NOT(ISERROR(SEARCH("Linéaire",P2)))</formula>
    </cfRule>
  </conditionalFormatting>
  <conditionalFormatting sqref="N7 N9">
    <cfRule type="expression" dxfId="468" priority="5341">
      <formula>$N6=0</formula>
    </cfRule>
  </conditionalFormatting>
  <conditionalFormatting sqref="M7 M9">
    <cfRule type="expression" dxfId="467" priority="5343">
      <formula>$M6=0</formula>
    </cfRule>
  </conditionalFormatting>
  <conditionalFormatting sqref="L7 L9">
    <cfRule type="expression" dxfId="466" priority="5345">
      <formula>$L6=0</formula>
    </cfRule>
  </conditionalFormatting>
  <conditionalFormatting sqref="K7 K9">
    <cfRule type="expression" dxfId="465" priority="5347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9966"/>
  </sheetPr>
  <dimension ref="A1:CG78"/>
  <sheetViews>
    <sheetView zoomScale="80" zoomScaleNormal="80" workbookViewId="0">
      <selection activeCell="G15" sqref="G15"/>
    </sheetView>
  </sheetViews>
  <sheetFormatPr baseColWidth="10" defaultColWidth="9.140625" defaultRowHeight="15.75" x14ac:dyDescent="0.25"/>
  <cols>
    <col min="1" max="1" width="18.140625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2" width="8.42578125" style="322" bestFit="1" customWidth="1"/>
    <col min="13" max="13" width="8.570312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43191</v>
      </c>
      <c r="B1" s="707">
        <f ca="1">TODAY()</f>
        <v>43259</v>
      </c>
      <c r="C1" s="708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SUM('1804'!V2:V18)+SUM('1804'!W2:W18)</f>
        <v>2682.2400000000002</v>
      </c>
      <c r="G2" s="164" t="s">
        <v>1128</v>
      </c>
      <c r="H2" s="165">
        <f>SUM('1804'!X2:X18)+SUM('1804'!Y2:Y18)</f>
        <v>2156.5657719999999</v>
      </c>
      <c r="I2" s="162" t="s">
        <v>29</v>
      </c>
      <c r="J2" s="166">
        <f>F2-H2</f>
        <v>525.67422800000031</v>
      </c>
      <c r="K2" s="167">
        <f>IF(F2&gt;0,(1-SUM(H2/F2)),0)</f>
        <v>0.19598329306848017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18" t="s">
        <v>1121</v>
      </c>
      <c r="B3" s="131">
        <f>SUM('1804'!X2:X18)+SUM('1804'!Y2:Y18)</f>
        <v>2156.5657719999999</v>
      </c>
      <c r="C3" s="742">
        <f>SUM(TotalPrimes+B4+B5)</f>
        <v>2338.4963822619998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325">
        <v>7.7399999999999997E-2</v>
      </c>
      <c r="G4" s="325">
        <v>0.1173</v>
      </c>
      <c r="H4" s="325">
        <v>0.121</v>
      </c>
      <c r="I4" s="325">
        <v>0.13900000000000001</v>
      </c>
      <c r="J4" s="325">
        <v>0.104</v>
      </c>
      <c r="K4" s="325">
        <v>0.1</v>
      </c>
      <c r="L4" s="325">
        <v>0.11840000000000001</v>
      </c>
      <c r="M4" s="325">
        <v>0.08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19" t="s">
        <v>14</v>
      </c>
      <c r="B5" s="132">
        <f>C23</f>
        <v>181.93061026200002</v>
      </c>
      <c r="C5" s="744"/>
      <c r="E5" s="709"/>
      <c r="F5" s="327">
        <v>0</v>
      </c>
      <c r="G5" s="327">
        <v>30</v>
      </c>
      <c r="H5" s="327">
        <v>9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v>-408</v>
      </c>
      <c r="E6" s="157" t="s">
        <v>1120</v>
      </c>
      <c r="F6" s="78">
        <f>SUMIF('1804'!assurance,"APRIL",'1804'!mens)*12</f>
        <v>7552.08</v>
      </c>
      <c r="G6" s="63">
        <f>SUMIF('1804'!assurance,"NEOLIANE",'1804'!mens)*12</f>
        <v>0</v>
      </c>
      <c r="H6" s="63">
        <f>SUMIF('1804'!assurance,"NEOLIANE Prev",'1804'!mens)*12</f>
        <v>370.20000000000005</v>
      </c>
      <c r="I6" s="63">
        <f>SUMIF('1804'!assurance,"ASAF",'1804'!mens)*12</f>
        <v>2157.6000000000004</v>
      </c>
      <c r="J6" s="63">
        <f>SUMIF('1804'!assurance,"SWISSLIFE",'1804'!mens)*12</f>
        <v>0</v>
      </c>
      <c r="K6" s="63">
        <f>SUMIF('1804'!assurance,"ALPTIS",'1804'!mens)*12</f>
        <v>386.40000000000003</v>
      </c>
      <c r="L6" s="63">
        <f>SUMIF('1804'!assurance,"AVIVA",'1804'!mens)*12</f>
        <v>0</v>
      </c>
      <c r="M6" s="63">
        <f>SUMIF('1804'!assurance,"CIPRES",'1804'!mens)*12</f>
        <v>1040.4000000000001</v>
      </c>
      <c r="N6" s="64">
        <f>SUMIF('1804'!assurance,"CEGEMA",'1804'!mens)*12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1930.4963822619998</v>
      </c>
      <c r="E7" s="90">
        <f>G12</f>
        <v>11506.68</v>
      </c>
      <c r="F7" s="79">
        <f t="shared" ref="F7:N7" si="0">F6/TotalCA</f>
        <v>0.65632137158589621</v>
      </c>
      <c r="G7" s="65">
        <f t="shared" si="0"/>
        <v>0</v>
      </c>
      <c r="H7" s="65">
        <f t="shared" si="0"/>
        <v>3.2172616254210598E-2</v>
      </c>
      <c r="I7" s="65">
        <f t="shared" si="0"/>
        <v>0.18750847333896487</v>
      </c>
      <c r="J7" s="65">
        <f t="shared" si="0"/>
        <v>0</v>
      </c>
      <c r="K7" s="65">
        <f t="shared" si="0"/>
        <v>3.3580494112984804E-2</v>
      </c>
      <c r="L7" s="65">
        <f t="shared" si="0"/>
        <v>0</v>
      </c>
      <c r="M7" s="65">
        <f t="shared" si="0"/>
        <v>9.0417044707943567E-2</v>
      </c>
      <c r="N7" s="66">
        <f t="shared" si="0"/>
        <v>0</v>
      </c>
    </row>
    <row r="8" spans="1:85" ht="18.75" x14ac:dyDescent="0.25">
      <c r="A8" s="129">
        <f>A1+185</f>
        <v>43376</v>
      </c>
      <c r="B8" s="332">
        <v>0.1</v>
      </c>
      <c r="C8" s="133">
        <f>-SUM((B3+B4+C25)*B8)</f>
        <v>-222.68713517500001</v>
      </c>
      <c r="E8" s="111" t="s">
        <v>1119</v>
      </c>
      <c r="F8" s="86">
        <f>SUMIF('1804'!assurance,"APRIL",'1804'!Y2:Y18)+SUMIF('1804'!assurance,"APRIL",'1804'!X2:X18)+SUMIF(B25:B30,"APRIL",C25:C30)+SUMIF(B34:B39,"APRIL",C34:C39)</f>
        <v>1812.1928317500001</v>
      </c>
      <c r="G8" s="710">
        <f>SUMIF('1804'!assurance,"NEOLIANE",'1804'!Y2:Y18)+SUMIF('1804'!assurance,"NEOLIANE",'1804'!X2:X18)+SUMIF('1804'!assurance,"NEOLIANE Prev",'1804'!Y2:Y18)+SUMIF('1804'!assurance,"NEOLIANE Prev",'1804'!X2:X18)+SUMIF(B25:B30,"NEOLIANE",C25:C30)+SUMIF(B34:B39,"NEOLIANE",C34:C39)+SUMIF(B25:B30,"NEOLIANE Prev",C25:C30)+SUMIF(B34:B39,"NEOLIANE Prev",C34:C39)</f>
        <v>-145.43768</v>
      </c>
      <c r="H8" s="710"/>
      <c r="I8" s="317">
        <f>SUMIF('1804'!assurance,"ASAF",'1804'!Y2:Y18)+SUMIF('1804'!assurance,"ASAF",'1804'!X2:X18)+SUMIF(B25:B30,"ASAF",C25:C30)+SUMIF(B34:B39,"ASAF",C34:C39)</f>
        <v>464.42340000000002</v>
      </c>
      <c r="J8" s="317">
        <f>SUMIF('1804'!assurance,"SWISSLIFE",'1804'!Y2:Y18)+SUMIF('1804'!assurance,"SWISSLIFE",'1804'!X2:X18)+SUMIF(B25:B30,"SWISSLIFE",C25:C30)+SUMIF(B34:B39,"SWISSLIFE",C34:C39)</f>
        <v>0</v>
      </c>
      <c r="K8" s="317">
        <f>SUMIF('1804'!assurance,"ALPTIS",'1804'!Y2:Y18)+SUMIF('1804'!assurance,"ALPTIS",'1804'!X2:X18)+SUMIF(B25:B30,"ALPTIS",C25:C30)+SUMIF(B34:B39,"ALPTIS",C34:C39)+15</f>
        <v>94.740000000000009</v>
      </c>
      <c r="L8" s="317">
        <f>SUMIF('1804'!assurance,"AVIVA",'1804'!Y2:Y18)+SUMIF('1804'!assurance,"AVIVA",'1804'!X2:X18)+SUMIF(B25:B30,"AVIVA",C25:C30)+SUMIF(B34:B39,"AVIVA",C34:C39)</f>
        <v>0</v>
      </c>
      <c r="M8" s="317">
        <f>SUMIF('1804'!assurance,"CIPRES",'1804'!Y2:Y18)+SUMIF('1804'!assurance,"CIPRES",'1804'!X2:X18)+SUMIF(B25:B30,"CIPRES",C25:C30)+SUMIF(B34:B39,"CIPRES",C34:C39)</f>
        <v>127.57783051200001</v>
      </c>
      <c r="N8" s="88">
        <f>SUMIF('1804'!assurance,"CEGEMA",'1804'!Y2:Y18)+SUMIF('1804'!assurance,"CEGEMA",'1804'!X2:X18)+SUMIF(B25:B30,"CEGEMA",C25:C30)+SUMIF(B34:B39,"CEGEMA",C34:C39)</f>
        <v>0</v>
      </c>
      <c r="O8" s="334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2338.4963822619998</v>
      </c>
      <c r="F9" s="316">
        <f>F8/TotalPrimes</f>
        <v>0.84031419550416575</v>
      </c>
      <c r="G9" s="711">
        <f>G8/TotalPrimes</f>
        <v>-6.7439482666518002E-2</v>
      </c>
      <c r="H9" s="711"/>
      <c r="I9" s="320">
        <f t="shared" ref="I9:N9" si="1">I8/TotalPrimes</f>
        <v>0.2153532278170647</v>
      </c>
      <c r="J9" s="320">
        <f t="shared" si="1"/>
        <v>0</v>
      </c>
      <c r="K9" s="320">
        <f t="shared" si="1"/>
        <v>4.3930957835864239E-2</v>
      </c>
      <c r="L9" s="320">
        <f t="shared" si="1"/>
        <v>0</v>
      </c>
      <c r="M9" s="320">
        <f t="shared" si="1"/>
        <v>5.9157866719587351E-2</v>
      </c>
      <c r="N9" s="68">
        <f t="shared" si="1"/>
        <v>0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38">
        <f>-G25</f>
        <v>-60</v>
      </c>
      <c r="C10" s="739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40">
        <f>SUM(C7+B10+C8+B9)</f>
        <v>1647.8092470869997</v>
      </c>
      <c r="C11" s="741"/>
      <c r="F11" s="729" t="s">
        <v>487</v>
      </c>
      <c r="G11" s="730"/>
      <c r="I11" s="714" t="s">
        <v>488</v>
      </c>
      <c r="J11" s="715"/>
      <c r="K11" s="716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-126.88131202569897</v>
      </c>
      <c r="F12" s="169" t="s">
        <v>104</v>
      </c>
      <c r="G12" s="168">
        <f>SUM('1804'!M2:M18)*12</f>
        <v>11506.68</v>
      </c>
      <c r="I12" s="343" t="s">
        <v>490</v>
      </c>
      <c r="J12" s="717">
        <f>H2-J25</f>
        <v>2428.5657719999999</v>
      </c>
      <c r="K12" s="718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103" t="s">
        <v>494</v>
      </c>
      <c r="B13" s="696">
        <f>B11+C12</f>
        <v>1520.9279350613008</v>
      </c>
      <c r="C13" s="757"/>
      <c r="F13" s="136" t="s">
        <v>102</v>
      </c>
      <c r="G13" s="46">
        <f>COUNT('1804'!N2:N18)-G15-G16</f>
        <v>13</v>
      </c>
      <c r="H13" s="170"/>
      <c r="I13" s="344" t="s">
        <v>1123</v>
      </c>
      <c r="J13" s="118" t="s">
        <v>122</v>
      </c>
      <c r="K13" s="172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137" t="s">
        <v>486</v>
      </c>
      <c r="G14" s="47">
        <f>COUNTIF('1804'!P2:P18,"V")-G15</f>
        <v>13</v>
      </c>
      <c r="I14" s="40" t="s">
        <v>170</v>
      </c>
      <c r="J14" s="44">
        <f>SUMIF('1804'!G2:G18,"Lead",'1804'!Y2:Y18)+SUMIF('1804'!G2:G18,"Lead",'1804'!X2:X18)</f>
        <v>1438.8273900000002</v>
      </c>
      <c r="K14" s="43">
        <f t="shared" ref="K14:K21" si="2">J14/BenefMoinsAnnulat</f>
        <v>0.59245971700205624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719" t="s">
        <v>1124</v>
      </c>
      <c r="B15" s="720"/>
      <c r="C15" s="721"/>
      <c r="F15" s="125" t="s">
        <v>517</v>
      </c>
      <c r="G15" s="345">
        <v>0</v>
      </c>
      <c r="I15" s="40" t="s">
        <v>172</v>
      </c>
      <c r="J15" s="44">
        <f>SUMIF('1804'!G2:G18,"Couplage",'1804'!Y2:Y18)+SUMIF('1804'!G2:G18,"Couplage",'1804'!X2:X18)</f>
        <v>745.61732399999994</v>
      </c>
      <c r="K15" s="43">
        <f t="shared" si="2"/>
        <v>0.30701961322050619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SUMIFS('1804'!M2:M18,'1804'!J2:J18,"Prev. Pro")*12</f>
        <v>6936.7200000000012</v>
      </c>
      <c r="C16" s="69">
        <f>IF(B16&gt;0,B16/G12,0)</f>
        <v>0.60284287040223605</v>
      </c>
      <c r="F16" s="56" t="s">
        <v>148</v>
      </c>
      <c r="G16" s="49">
        <f>COUNTIF('1804'!G2:G18,"Annulation")</f>
        <v>4</v>
      </c>
      <c r="I16" s="40" t="s">
        <v>166</v>
      </c>
      <c r="J16" s="44">
        <f>SUMIF('1804'!G2:G18,"Cabinet",'1804'!Y2:Y18)+SUMIF('1804'!G2:G18,"Cabinet",'1804'!X2:X18)</f>
        <v>0</v>
      </c>
      <c r="K16" s="43">
        <f t="shared" si="2"/>
        <v>0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52" ht="21.75" thickBot="1" x14ac:dyDescent="0.3">
      <c r="A17" s="121" t="s">
        <v>105</v>
      </c>
      <c r="B17" s="126">
        <f>COUNTIF('1804'!J2:J18,"Prev. Pro")</f>
        <v>8</v>
      </c>
      <c r="C17" s="70">
        <f>IF(B17&gt;0,B17/(nbcontratsall+contratsdoublons+contratsreprise),0)</f>
        <v>0.47058823529411764</v>
      </c>
      <c r="F17" s="138" t="s">
        <v>178</v>
      </c>
      <c r="G17" s="45">
        <f>IF(G14&gt;0,G12/G14/12,0)</f>
        <v>73.760769230769242</v>
      </c>
      <c r="H17" s="331"/>
      <c r="I17" s="40" t="s">
        <v>167</v>
      </c>
      <c r="J17" s="44">
        <f>SUMIF('1804'!G2:G18,"Parrainage",'1804'!Y2:Y18)+SUMIF('1804'!G2:G18,"Parrainage",'1804'!X2:X18)</f>
        <v>126.56231999999999</v>
      </c>
      <c r="K17" s="43">
        <f t="shared" si="2"/>
        <v>5.2114017853332403E-2</v>
      </c>
      <c r="L17" s="170"/>
      <c r="S17" s="170"/>
      <c r="T17" s="170"/>
      <c r="U17" s="170"/>
      <c r="V17" s="170"/>
      <c r="W17" s="170"/>
      <c r="X17" s="170"/>
      <c r="Y17" s="170"/>
      <c r="AQ17" s="324"/>
      <c r="AW17" s="170"/>
      <c r="AZ17" s="170"/>
    </row>
    <row r="18" spans="1:52" ht="18.75" x14ac:dyDescent="0.25">
      <c r="A18" s="100" t="s">
        <v>101</v>
      </c>
      <c r="B18" s="122">
        <f>SUMIFS('1804'!M2:M18,'1804'!J2:J18,"Santé Individuelle")*12</f>
        <v>4199.76</v>
      </c>
      <c r="C18" s="69">
        <f>IF(B18&gt;0,B18/G12,0)</f>
        <v>0.36498451334355347</v>
      </c>
      <c r="F18" s="139" t="s">
        <v>27</v>
      </c>
      <c r="G18" s="50">
        <f>IF(B6&gt;0,SUM(-C6/B6),0)</f>
        <v>34</v>
      </c>
      <c r="I18" s="40" t="s">
        <v>171</v>
      </c>
      <c r="J18" s="44">
        <f>SUMIF('1804'!G2:G18,"Old",'1804'!Y2:Y18)+SUMIF('1804'!G2:G18,"Old",'1804'!X2:X18)</f>
        <v>15.9528</v>
      </c>
      <c r="K18" s="43">
        <f t="shared" si="2"/>
        <v>6.5688152999300361E-3</v>
      </c>
      <c r="L18" s="170"/>
      <c r="S18" s="170"/>
      <c r="T18" s="170"/>
      <c r="U18" s="170"/>
      <c r="V18" s="170"/>
      <c r="W18" s="170"/>
      <c r="X18" s="170"/>
      <c r="Y18" s="170"/>
      <c r="AQ18" s="324"/>
      <c r="AW18" s="170"/>
      <c r="AZ18" s="170"/>
    </row>
    <row r="19" spans="1:52" ht="21.75" thickBot="1" x14ac:dyDescent="0.3">
      <c r="A19" s="123" t="s">
        <v>103</v>
      </c>
      <c r="B19" s="127">
        <f>COUNTIF('1804'!J2:J18,"Santé Individuelle")</f>
        <v>5</v>
      </c>
      <c r="C19" s="70">
        <f>IF(B19&gt;0,B19/(nbcontratsall+contratsdoublons+contratsreprise),0)</f>
        <v>0.29411764705882354</v>
      </c>
      <c r="F19" s="140" t="s">
        <v>497</v>
      </c>
      <c r="G19" s="51">
        <f>IF(G14&gt;0,G14/G18,0)</f>
        <v>0.38235294117647056</v>
      </c>
      <c r="H19" s="331"/>
      <c r="I19" s="40" t="s">
        <v>169</v>
      </c>
      <c r="J19" s="44">
        <f>SUMIF('1804'!G2:G18,"Re-signature",'1804'!Y2:Y18)+SUMIF('1804'!G2:G18,"Re-signature",'1804'!X2:X18)</f>
        <v>0</v>
      </c>
      <c r="K19" s="43">
        <f t="shared" si="2"/>
        <v>0</v>
      </c>
      <c r="L19" s="170"/>
      <c r="S19" s="170"/>
      <c r="T19" s="170"/>
      <c r="U19" s="170"/>
      <c r="V19" s="170"/>
      <c r="W19" s="170"/>
      <c r="X19" s="170"/>
      <c r="Y19" s="170"/>
      <c r="AQ19" s="324"/>
      <c r="AW19" s="170"/>
      <c r="AZ19" s="170"/>
    </row>
    <row r="20" spans="1:52" ht="19.5" thickBot="1" x14ac:dyDescent="0.3">
      <c r="A20" s="101" t="s">
        <v>85</v>
      </c>
      <c r="B20" s="124">
        <f>SUMIFS('1804'!M2:M18,'1804'!J2:J18,"Prev. Part")*12</f>
        <v>370.20000000000005</v>
      </c>
      <c r="C20" s="69">
        <f>IF(B20&gt;0,B20/G12,0)</f>
        <v>3.2172616254210598E-2</v>
      </c>
      <c r="F20" s="141" t="s">
        <v>110</v>
      </c>
      <c r="G20" s="52">
        <f>IF(H2&gt;0,IF(G18&gt;0,H2/G18,0),0)</f>
        <v>63.428405058823529</v>
      </c>
      <c r="I20" s="40" t="s">
        <v>173</v>
      </c>
      <c r="J20" s="44">
        <f>SUMIF('1804'!G2:G18,"Frigo",'1804'!Y2:Y18)+SUMIF('1804'!G2:G18,"Frigo",'1804'!X2:X18)</f>
        <v>101.60593799999999</v>
      </c>
      <c r="K20" s="43">
        <f t="shared" si="2"/>
        <v>4.1837836624175236E-2</v>
      </c>
      <c r="L20" s="170"/>
      <c r="S20" s="170"/>
      <c r="T20" s="170"/>
      <c r="U20" s="170"/>
      <c r="V20" s="170"/>
      <c r="W20" s="170"/>
      <c r="X20" s="170"/>
      <c r="Y20" s="170"/>
      <c r="AQ20" s="324"/>
      <c r="AW20" s="170"/>
      <c r="AZ20" s="170"/>
    </row>
    <row r="21" spans="1:52" ht="19.5" thickBot="1" x14ac:dyDescent="0.3">
      <c r="A21" s="125" t="s">
        <v>509</v>
      </c>
      <c r="B21" s="128">
        <f>COUNTIF('1804'!J2:J18,"Prev. Part")</f>
        <v>4</v>
      </c>
      <c r="C21" s="70">
        <f>IF(B21&gt;0,B21/(nbcontratsall+contratsdoublons+contratsreprise),0)</f>
        <v>0.23529411764705882</v>
      </c>
      <c r="F21" s="142" t="s">
        <v>111</v>
      </c>
      <c r="G21" s="53">
        <f>IF(C6&lt;0,TotalPrimes/(-C6),0)</f>
        <v>5.2857004215686274</v>
      </c>
      <c r="I21" s="40" t="s">
        <v>168</v>
      </c>
      <c r="J21" s="44">
        <f>SUMIF('1804'!G2:G18,"Shark",'1804'!Y2:Y18)+SUMIF('1804'!G2:G18,"Shark",'1804'!X2:X18)</f>
        <v>0</v>
      </c>
      <c r="K21" s="43">
        <f t="shared" si="2"/>
        <v>0</v>
      </c>
      <c r="L21" s="170"/>
      <c r="S21" s="170"/>
      <c r="T21" s="170"/>
      <c r="U21" s="170"/>
      <c r="V21" s="170"/>
      <c r="W21" s="170"/>
      <c r="X21" s="170"/>
      <c r="Y21" s="170"/>
      <c r="AZ21" s="170"/>
    </row>
    <row r="22" spans="1:52" ht="19.5" thickBot="1" x14ac:dyDescent="0.3">
      <c r="F22" s="143" t="s">
        <v>142</v>
      </c>
      <c r="G22" s="346">
        <v>12</v>
      </c>
      <c r="I22" s="40" t="s">
        <v>260</v>
      </c>
      <c r="J22" s="174">
        <f>SUMIF('1804'!G2:G18,"Pré 2018 OK",'1804'!Y2:Y18)+SUMIF('1804'!G2:G18,"Pré 2018 OK",'1804'!X2:X18)</f>
        <v>0</v>
      </c>
      <c r="K22" s="173">
        <f>J22/BenefMoinsAnnulat</f>
        <v>0</v>
      </c>
      <c r="S22" s="170"/>
      <c r="T22" s="170"/>
      <c r="U22" s="170"/>
      <c r="V22" s="170"/>
      <c r="W22" s="170"/>
      <c r="X22" s="170"/>
      <c r="Y22" s="170"/>
      <c r="AZ22" s="170"/>
    </row>
    <row r="23" spans="1:52" s="331" customFormat="1" ht="21.75" thickBot="1" x14ac:dyDescent="0.3">
      <c r="A23" s="749" t="s">
        <v>14</v>
      </c>
      <c r="B23" s="750"/>
      <c r="C23" s="751">
        <f>SUM(C25:C30)</f>
        <v>181.93061026200002</v>
      </c>
      <c r="D23" s="752"/>
      <c r="F23" s="144" t="s">
        <v>1122</v>
      </c>
      <c r="G23" s="55">
        <f>IF(G22&gt;0,G22/G18,0)</f>
        <v>0.35294117647058826</v>
      </c>
      <c r="H23" s="170"/>
      <c r="I23" s="40" t="s">
        <v>262</v>
      </c>
      <c r="J23" s="174">
        <f>SUMIF('1804'!G2:G18,"Pré 2018 à Voir",'1804'!Y2:Y18)+SUMIF('1804'!G2:G18,"Pré 2018 à Voir",'1804'!X2:X18)</f>
        <v>0</v>
      </c>
      <c r="K23" s="173">
        <f>J23/BenefMoinsAnnulat</f>
        <v>0</v>
      </c>
      <c r="AS23" s="342"/>
      <c r="AV23" s="342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SUMIF('1804'!G2:G18,"Pré 2018 KO",'1804'!Y2:Y18)+SUMIF('1804'!G2:G18,"Pré 2018 KO",'1804'!X2:X18)</f>
        <v>0</v>
      </c>
      <c r="K24" s="173">
        <f>J24/BenefMoinsAnnulat</f>
        <v>0</v>
      </c>
      <c r="S24" s="170"/>
      <c r="T24" s="170"/>
      <c r="U24" s="170"/>
      <c r="V24" s="170"/>
      <c r="W24" s="170"/>
      <c r="X24" s="170"/>
      <c r="Y24" s="170"/>
      <c r="AQ24" s="324"/>
      <c r="AW24" s="170"/>
      <c r="AZ24" s="170"/>
    </row>
    <row r="25" spans="1:52" ht="21.75" thickBot="1" x14ac:dyDescent="0.3">
      <c r="A25" s="347" t="s">
        <v>526</v>
      </c>
      <c r="B25" s="348" t="s">
        <v>33</v>
      </c>
      <c r="C25" s="349">
        <f>(480+2517+5712)*0.07/4/2*(1-txapril)</f>
        <v>70.305579750000007</v>
      </c>
      <c r="D25" s="350">
        <v>0</v>
      </c>
      <c r="F25" s="149" t="s">
        <v>493</v>
      </c>
      <c r="G25" s="156">
        <f>SUM(G27:G30)</f>
        <v>60</v>
      </c>
      <c r="I25" s="58" t="s">
        <v>174</v>
      </c>
      <c r="J25" s="71">
        <f>SUMIF('1804'!G1:G18,"Annulation",'1804'!Y1:Y18)+SUMIF('1804'!G1:G18,"Annulation",'1804'!X1:X18)</f>
        <v>-272</v>
      </c>
      <c r="K25" s="72">
        <f>J25/BenefMoinsAnnulat</f>
        <v>-0.11200026086837232</v>
      </c>
      <c r="L25" s="170"/>
      <c r="S25" s="170"/>
      <c r="T25" s="170"/>
      <c r="U25" s="170"/>
      <c r="V25" s="170"/>
      <c r="W25" s="170"/>
      <c r="X25" s="170"/>
      <c r="Y25" s="170"/>
      <c r="AQ25" s="324"/>
      <c r="AW25" s="170"/>
      <c r="AZ25" s="170"/>
    </row>
    <row r="26" spans="1:52" ht="31.5" x14ac:dyDescent="0.25">
      <c r="A26" s="351" t="s">
        <v>499</v>
      </c>
      <c r="B26" s="348" t="s">
        <v>22</v>
      </c>
      <c r="C26" s="352">
        <f>(0.0165*9721+3*1.25+0.0212*3311*2*3+0.5*2*3)*0.1*(1-txaviv)</f>
        <v>51.865030512000011</v>
      </c>
      <c r="D26" s="350">
        <v>3</v>
      </c>
      <c r="F26" s="117" t="s">
        <v>500</v>
      </c>
      <c r="G26" s="108" t="s">
        <v>1118</v>
      </c>
      <c r="L26" s="170"/>
      <c r="S26" s="170"/>
      <c r="T26" s="170"/>
      <c r="U26" s="170"/>
      <c r="V26" s="170"/>
      <c r="W26" s="170"/>
      <c r="X26" s="170"/>
      <c r="Y26" s="170"/>
      <c r="AQ26" s="324"/>
      <c r="AW26" s="170"/>
      <c r="AZ26" s="170"/>
    </row>
    <row r="27" spans="1:52" x14ac:dyDescent="0.25">
      <c r="A27" s="351" t="s">
        <v>1131</v>
      </c>
      <c r="B27" s="348" t="s">
        <v>22</v>
      </c>
      <c r="C27" s="353">
        <f>4*14.94</f>
        <v>59.76</v>
      </c>
      <c r="D27" s="350">
        <v>4</v>
      </c>
      <c r="F27" s="354" t="s">
        <v>256</v>
      </c>
      <c r="G27" s="355">
        <v>60</v>
      </c>
      <c r="L27" s="170"/>
      <c r="S27" s="170"/>
      <c r="T27" s="170"/>
      <c r="U27" s="170"/>
      <c r="V27" s="170"/>
      <c r="W27" s="170"/>
      <c r="X27" s="170"/>
      <c r="Y27" s="170"/>
      <c r="AQ27" s="324"/>
      <c r="AW27" s="170"/>
      <c r="AZ27" s="170"/>
    </row>
    <row r="28" spans="1:52" x14ac:dyDescent="0.25">
      <c r="A28" s="356"/>
      <c r="B28" s="348"/>
      <c r="C28" s="352"/>
      <c r="D28" s="350">
        <v>0</v>
      </c>
      <c r="F28" s="354"/>
      <c r="G28" s="355"/>
      <c r="L28" s="170"/>
      <c r="M28" s="170"/>
      <c r="N28" s="170"/>
      <c r="O28" s="170"/>
      <c r="S28" s="170"/>
      <c r="T28" s="170"/>
      <c r="U28" s="170"/>
      <c r="V28" s="170"/>
      <c r="W28" s="170"/>
      <c r="X28" s="170"/>
      <c r="Y28" s="170"/>
      <c r="AQ28" s="324"/>
      <c r="AW28" s="170"/>
      <c r="AZ28" s="170"/>
    </row>
    <row r="29" spans="1:52" x14ac:dyDescent="0.25">
      <c r="A29" s="351"/>
      <c r="B29" s="348"/>
      <c r="C29" s="352"/>
      <c r="D29" s="350">
        <v>0</v>
      </c>
      <c r="F29" s="354"/>
      <c r="G29" s="355"/>
      <c r="L29" s="170"/>
      <c r="M29" s="170"/>
      <c r="N29" s="170"/>
      <c r="O29" s="170"/>
      <c r="Q29" s="170"/>
      <c r="R29" s="170"/>
      <c r="S29" s="170"/>
      <c r="T29" s="170"/>
      <c r="U29" s="170"/>
      <c r="V29" s="170"/>
      <c r="W29" s="170"/>
      <c r="X29" s="170"/>
      <c r="Y29" s="170"/>
      <c r="AQ29" s="324"/>
      <c r="AW29" s="170"/>
      <c r="AZ29" s="170"/>
    </row>
    <row r="30" spans="1:52" ht="16.5" thickBot="1" x14ac:dyDescent="0.3">
      <c r="A30" s="357"/>
      <c r="B30" s="358"/>
      <c r="C30" s="359"/>
      <c r="D30" s="360">
        <v>0</v>
      </c>
      <c r="F30" s="357"/>
      <c r="G30" s="361"/>
      <c r="N30" s="170"/>
      <c r="O30" s="170"/>
      <c r="Q30" s="170"/>
      <c r="R30" s="170"/>
      <c r="S30" s="170"/>
      <c r="T30" s="170"/>
      <c r="U30" s="170"/>
      <c r="V30" s="170"/>
      <c r="W30" s="170"/>
      <c r="X30" s="170"/>
      <c r="Y30" s="170"/>
      <c r="AQ30" s="324"/>
      <c r="AW30" s="170"/>
      <c r="AZ30" s="170"/>
    </row>
    <row r="31" spans="1:52" ht="16.5" thickBot="1" x14ac:dyDescent="0.3">
      <c r="F31" s="170"/>
      <c r="J31" s="170"/>
      <c r="K31" s="170"/>
      <c r="N31" s="170"/>
      <c r="O31" s="170"/>
      <c r="Q31" s="170"/>
      <c r="R31" s="170"/>
      <c r="S31" s="170"/>
      <c r="T31" s="170"/>
      <c r="U31" s="170"/>
      <c r="V31" s="170"/>
      <c r="W31" s="170"/>
      <c r="X31" s="170"/>
      <c r="Y31" s="170"/>
      <c r="AS31" s="324"/>
      <c r="AT31" s="170"/>
      <c r="AV31" s="324"/>
      <c r="AW31" s="170"/>
      <c r="AZ31" s="170"/>
    </row>
    <row r="32" spans="1:52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K32" s="170"/>
      <c r="N32" s="170"/>
      <c r="O32" s="170"/>
      <c r="Q32" s="170"/>
      <c r="R32" s="170"/>
      <c r="S32" s="170"/>
      <c r="T32" s="170"/>
      <c r="U32" s="170"/>
      <c r="V32" s="170"/>
      <c r="X32" s="170"/>
      <c r="Y32" s="170"/>
      <c r="AS32" s="324"/>
      <c r="AT32" s="170"/>
      <c r="AV32" s="324"/>
      <c r="AW32" s="170"/>
      <c r="AZ32" s="170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70"/>
      <c r="N33" s="170"/>
      <c r="O33" s="170"/>
      <c r="Q33" s="170"/>
      <c r="R33" s="170"/>
      <c r="S33" s="170"/>
      <c r="T33" s="170"/>
      <c r="U33" s="170"/>
      <c r="V33" s="170"/>
      <c r="W33" s="170"/>
      <c r="X33" s="170"/>
      <c r="Y33" s="170"/>
      <c r="AR33" s="324"/>
      <c r="AT33" s="170"/>
      <c r="AU33" s="324"/>
      <c r="AW33" s="170"/>
      <c r="AZ33" s="170"/>
    </row>
    <row r="34" spans="1:52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K34" s="170"/>
      <c r="N34" s="170"/>
      <c r="O34" s="170"/>
      <c r="Q34" s="170"/>
      <c r="R34" s="170"/>
      <c r="S34" s="170"/>
      <c r="T34" s="170"/>
      <c r="U34" s="170"/>
      <c r="V34" s="170"/>
      <c r="W34" s="170"/>
      <c r="X34" s="170"/>
      <c r="Y34" s="170"/>
      <c r="AR34" s="324"/>
      <c r="AT34" s="170"/>
      <c r="AU34" s="324"/>
      <c r="AW34" s="170"/>
      <c r="AZ34" s="170"/>
    </row>
    <row r="35" spans="1:52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K35" s="170"/>
      <c r="N35" s="170"/>
      <c r="O35" s="170"/>
      <c r="Q35" s="170"/>
      <c r="R35" s="170"/>
      <c r="S35" s="170"/>
      <c r="T35" s="170"/>
      <c r="U35" s="170"/>
      <c r="V35" s="170"/>
      <c r="W35" s="170"/>
      <c r="X35" s="170"/>
      <c r="Y35" s="170"/>
      <c r="AR35" s="324"/>
      <c r="AT35" s="170"/>
      <c r="AU35" s="324"/>
      <c r="AW35" s="170"/>
      <c r="AZ35" s="170"/>
    </row>
    <row r="36" spans="1:52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K36" s="170"/>
      <c r="L36" s="170"/>
      <c r="M36" s="170"/>
      <c r="N36" s="170"/>
      <c r="O36" s="170"/>
      <c r="Q36" s="170"/>
      <c r="R36" s="170"/>
      <c r="S36" s="170"/>
      <c r="T36" s="170"/>
      <c r="U36" s="170"/>
      <c r="V36" s="170"/>
      <c r="W36" s="170"/>
      <c r="X36" s="170"/>
      <c r="Y36" s="170"/>
      <c r="AR36" s="324"/>
      <c r="AT36" s="170"/>
      <c r="AU36" s="324"/>
      <c r="AW36" s="170"/>
      <c r="AZ36" s="170"/>
    </row>
    <row r="37" spans="1:52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K37" s="170"/>
      <c r="L37" s="170"/>
      <c r="M37" s="170"/>
      <c r="N37" s="170"/>
      <c r="O37" s="170"/>
      <c r="Q37" s="170"/>
      <c r="R37" s="170"/>
      <c r="S37" s="170"/>
      <c r="T37" s="170"/>
      <c r="U37" s="170"/>
      <c r="V37" s="170"/>
      <c r="W37" s="170"/>
      <c r="X37" s="170"/>
      <c r="Y37" s="170"/>
      <c r="AR37" s="324"/>
      <c r="AT37" s="170"/>
      <c r="AU37" s="324"/>
      <c r="AW37" s="170"/>
      <c r="AZ37" s="170"/>
    </row>
    <row r="38" spans="1:52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K38" s="170"/>
      <c r="L38" s="170"/>
      <c r="M38" s="170"/>
      <c r="N38" s="170"/>
      <c r="O38" s="170"/>
      <c r="Q38" s="170"/>
      <c r="R38" s="170"/>
      <c r="S38" s="170"/>
      <c r="T38" s="170"/>
      <c r="U38" s="170"/>
      <c r="V38" s="170"/>
      <c r="W38" s="170"/>
      <c r="X38" s="170"/>
      <c r="Y38" s="170"/>
      <c r="AR38" s="324"/>
      <c r="AT38" s="170"/>
      <c r="AU38" s="324"/>
      <c r="AW38" s="170"/>
      <c r="AZ38" s="170"/>
    </row>
    <row r="39" spans="1:52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K39" s="170"/>
      <c r="L39" s="170"/>
      <c r="M39" s="170"/>
      <c r="N39" s="170"/>
      <c r="O39" s="170"/>
      <c r="Q39" s="170"/>
      <c r="R39" s="170"/>
      <c r="S39" s="170"/>
      <c r="T39" s="170"/>
      <c r="U39" s="170"/>
      <c r="W39" s="170"/>
      <c r="X39" s="170"/>
      <c r="Y39" s="170"/>
      <c r="AR39" s="324"/>
      <c r="AT39" s="170"/>
      <c r="AU39" s="324"/>
      <c r="AW39" s="170"/>
      <c r="AZ39" s="170"/>
    </row>
    <row r="40" spans="1:52" x14ac:dyDescent="0.25">
      <c r="K40" s="170"/>
      <c r="L40" s="170"/>
      <c r="M40" s="170"/>
      <c r="N40" s="170"/>
      <c r="O40" s="170"/>
      <c r="Q40" s="170"/>
      <c r="R40" s="170"/>
      <c r="S40" s="170"/>
      <c r="T40" s="170"/>
      <c r="U40" s="170"/>
      <c r="V40" s="170"/>
      <c r="W40" s="170"/>
      <c r="Y40" s="170"/>
      <c r="AZ40" s="170"/>
    </row>
    <row r="41" spans="1:52" x14ac:dyDescent="0.25">
      <c r="K41" s="170"/>
      <c r="L41" s="170"/>
      <c r="M41" s="170"/>
      <c r="N41" s="170"/>
      <c r="O41" s="170"/>
      <c r="Q41" s="170"/>
      <c r="R41" s="170"/>
      <c r="S41" s="170"/>
      <c r="T41" s="170"/>
      <c r="U41" s="170"/>
      <c r="V41" s="170"/>
      <c r="W41" s="170"/>
      <c r="Y41" s="170"/>
      <c r="AZ41" s="170"/>
    </row>
    <row r="42" spans="1:52" x14ac:dyDescent="0.25">
      <c r="K42" s="170"/>
      <c r="L42" s="170"/>
      <c r="M42" s="170"/>
      <c r="N42" s="170"/>
      <c r="O42" s="170"/>
      <c r="Q42" s="170"/>
      <c r="R42" s="170"/>
      <c r="S42" s="170"/>
      <c r="T42" s="170"/>
      <c r="U42" s="170"/>
      <c r="V42" s="170"/>
      <c r="W42" s="170"/>
      <c r="Y42" s="170"/>
      <c r="AZ42" s="170"/>
    </row>
    <row r="43" spans="1:52" x14ac:dyDescent="0.25">
      <c r="K43" s="170"/>
      <c r="L43" s="170"/>
      <c r="M43" s="170"/>
      <c r="N43" s="170"/>
      <c r="O43" s="170"/>
      <c r="Q43" s="170"/>
      <c r="R43" s="170"/>
      <c r="S43" s="170"/>
      <c r="T43" s="170"/>
      <c r="U43" s="170"/>
      <c r="V43" s="170"/>
      <c r="W43" s="170"/>
      <c r="Y43" s="170"/>
      <c r="AZ43" s="170"/>
    </row>
    <row r="44" spans="1:52" x14ac:dyDescent="0.25">
      <c r="K44" s="170"/>
      <c r="L44" s="170"/>
      <c r="M44" s="170"/>
      <c r="N44" s="170"/>
      <c r="O44" s="170"/>
      <c r="Q44" s="170"/>
      <c r="R44" s="170"/>
      <c r="S44" s="170"/>
      <c r="T44" s="170"/>
      <c r="U44" s="170"/>
      <c r="V44" s="170"/>
      <c r="W44" s="170"/>
      <c r="Y44" s="170"/>
      <c r="AZ44" s="170"/>
    </row>
    <row r="45" spans="1:52" x14ac:dyDescent="0.25">
      <c r="K45" s="170"/>
      <c r="L45" s="170"/>
      <c r="M45" s="170"/>
      <c r="N45" s="170"/>
      <c r="O45" s="170"/>
      <c r="Q45" s="170"/>
      <c r="R45" s="170"/>
      <c r="S45" s="170"/>
      <c r="T45" s="170"/>
      <c r="U45" s="170"/>
      <c r="V45" s="170"/>
      <c r="W45" s="170"/>
      <c r="Y45" s="170"/>
      <c r="AZ45" s="170"/>
    </row>
    <row r="46" spans="1:52" x14ac:dyDescent="0.25">
      <c r="K46" s="170"/>
      <c r="L46" s="170"/>
      <c r="M46" s="170"/>
      <c r="N46" s="170"/>
      <c r="O46" s="170"/>
      <c r="Q46" s="170"/>
      <c r="R46" s="170"/>
      <c r="S46" s="170"/>
      <c r="T46" s="170"/>
      <c r="U46" s="170"/>
      <c r="V46" s="170"/>
      <c r="W46" s="170"/>
      <c r="Y46" s="170"/>
      <c r="AZ46" s="170"/>
    </row>
    <row r="47" spans="1:52" x14ac:dyDescent="0.25">
      <c r="K47" s="170"/>
      <c r="N47" s="170"/>
      <c r="O47" s="170"/>
      <c r="Q47" s="170"/>
      <c r="R47" s="170"/>
      <c r="S47" s="170"/>
      <c r="T47" s="170"/>
      <c r="U47" s="170"/>
      <c r="V47" s="170"/>
      <c r="W47" s="170"/>
      <c r="Y47" s="170"/>
      <c r="AZ47" s="170"/>
    </row>
    <row r="48" spans="1:52" x14ac:dyDescent="0.25">
      <c r="J48" s="170"/>
      <c r="K48" s="170"/>
      <c r="L48" s="170"/>
      <c r="M48" s="170"/>
      <c r="N48" s="170"/>
      <c r="O48" s="170"/>
      <c r="Q48" s="170"/>
      <c r="R48" s="170"/>
      <c r="S48" s="170"/>
      <c r="T48" s="170"/>
      <c r="U48" s="170"/>
      <c r="V48" s="170"/>
      <c r="W48" s="170"/>
      <c r="Y48" s="170"/>
      <c r="AZ48" s="170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52" x14ac:dyDescent="0.25">
      <c r="F65" s="170"/>
      <c r="J65" s="170"/>
      <c r="K65" s="170"/>
      <c r="L65" s="170"/>
      <c r="M65" s="170"/>
      <c r="N65" s="170"/>
      <c r="O65" s="170"/>
      <c r="Q65" s="170"/>
      <c r="R65" s="170"/>
      <c r="S65" s="170"/>
      <c r="T65" s="170"/>
      <c r="U65" s="170"/>
      <c r="V65" s="170"/>
      <c r="W65" s="170"/>
      <c r="Y65" s="170"/>
      <c r="AZ65" s="170"/>
    </row>
    <row r="66" spans="6:52" x14ac:dyDescent="0.25">
      <c r="F66" s="170"/>
      <c r="J66" s="170"/>
      <c r="K66" s="170"/>
      <c r="L66" s="170"/>
      <c r="M66" s="170"/>
      <c r="N66" s="170"/>
      <c r="O66" s="170"/>
      <c r="Q66" s="170"/>
      <c r="R66" s="170"/>
      <c r="S66" s="170"/>
      <c r="T66" s="170"/>
      <c r="U66" s="170"/>
      <c r="V66" s="170"/>
      <c r="W66" s="170"/>
      <c r="Y66" s="170"/>
      <c r="AZ66" s="170"/>
    </row>
    <row r="67" spans="6:52" x14ac:dyDescent="0.25">
      <c r="F67" s="170"/>
      <c r="J67" s="170"/>
      <c r="K67" s="170"/>
      <c r="L67" s="170"/>
      <c r="M67" s="170"/>
      <c r="N67" s="170"/>
      <c r="O67" s="170"/>
      <c r="Q67" s="170"/>
      <c r="R67" s="170"/>
      <c r="S67" s="170"/>
      <c r="T67" s="170"/>
      <c r="U67" s="170"/>
      <c r="V67" s="170"/>
      <c r="W67" s="170"/>
      <c r="Y67" s="170"/>
      <c r="AZ67" s="170"/>
    </row>
    <row r="68" spans="6:52" x14ac:dyDescent="0.25">
      <c r="F68" s="170"/>
      <c r="J68" s="170"/>
      <c r="K68" s="170"/>
      <c r="L68" s="170"/>
      <c r="M68" s="170"/>
      <c r="N68" s="170"/>
      <c r="O68" s="170"/>
      <c r="Q68" s="170"/>
      <c r="R68" s="170"/>
      <c r="S68" s="170"/>
      <c r="T68" s="170"/>
      <c r="U68" s="170"/>
      <c r="V68" s="170"/>
      <c r="W68" s="170"/>
      <c r="Y68" s="170"/>
      <c r="AZ68" s="170"/>
    </row>
    <row r="69" spans="6:52" x14ac:dyDescent="0.25">
      <c r="F69" s="170"/>
      <c r="K69" s="170"/>
      <c r="L69" s="170"/>
      <c r="M69" s="170"/>
      <c r="N69" s="170"/>
      <c r="O69" s="170"/>
      <c r="Q69" s="170"/>
      <c r="R69" s="170"/>
      <c r="S69" s="170"/>
      <c r="T69" s="170"/>
      <c r="U69" s="170"/>
      <c r="V69" s="170"/>
      <c r="W69" s="170"/>
      <c r="Y69" s="170"/>
      <c r="AZ69" s="170"/>
    </row>
    <row r="70" spans="6:52" x14ac:dyDescent="0.25">
      <c r="K70" s="170"/>
      <c r="L70" s="170"/>
      <c r="M70" s="170"/>
      <c r="N70" s="170"/>
      <c r="O70" s="170"/>
      <c r="Q70" s="170"/>
      <c r="R70" s="170"/>
      <c r="S70" s="170"/>
      <c r="T70" s="170"/>
      <c r="U70" s="170"/>
      <c r="V70" s="170"/>
      <c r="W70" s="170"/>
      <c r="Y70" s="170"/>
      <c r="AZ70" s="170"/>
    </row>
    <row r="71" spans="6:52" x14ac:dyDescent="0.25">
      <c r="K71" s="170"/>
      <c r="L71" s="170"/>
      <c r="M71" s="170"/>
      <c r="N71" s="170"/>
      <c r="O71" s="170"/>
      <c r="Q71" s="170"/>
      <c r="R71" s="170"/>
      <c r="S71" s="170"/>
      <c r="T71" s="170"/>
      <c r="U71" s="170"/>
      <c r="V71" s="170"/>
      <c r="W71" s="170"/>
      <c r="Y71" s="170"/>
      <c r="AZ71" s="170"/>
    </row>
    <row r="72" spans="6:52" x14ac:dyDescent="0.25">
      <c r="K72" s="170"/>
      <c r="L72" s="170"/>
      <c r="M72" s="170"/>
      <c r="N72" s="170"/>
      <c r="O72" s="170"/>
      <c r="Q72" s="170"/>
      <c r="R72" s="170"/>
      <c r="S72" s="170"/>
      <c r="T72" s="170"/>
      <c r="U72" s="170"/>
      <c r="V72" s="170"/>
      <c r="W72" s="170"/>
      <c r="Y72" s="170"/>
      <c r="AZ72" s="170"/>
    </row>
    <row r="73" spans="6:52" x14ac:dyDescent="0.25">
      <c r="K73" s="170"/>
      <c r="L73" s="170"/>
      <c r="M73" s="170"/>
      <c r="N73" s="170"/>
      <c r="O73" s="170"/>
      <c r="Q73" s="170"/>
      <c r="R73" s="170"/>
      <c r="S73" s="170"/>
      <c r="T73" s="170"/>
      <c r="U73" s="170"/>
      <c r="V73" s="170"/>
      <c r="W73" s="170"/>
      <c r="Y73" s="170"/>
      <c r="AZ73" s="170"/>
    </row>
    <row r="74" spans="6:52" x14ac:dyDescent="0.25">
      <c r="K74" s="170"/>
      <c r="L74" s="170"/>
      <c r="M74" s="170"/>
      <c r="N74" s="170"/>
      <c r="O74" s="170"/>
      <c r="Q74" s="170"/>
      <c r="R74" s="170"/>
      <c r="S74" s="170"/>
      <c r="T74" s="170"/>
      <c r="U74" s="170"/>
      <c r="V74" s="170"/>
      <c r="W74" s="170"/>
      <c r="Y74" s="170"/>
      <c r="AZ74" s="170"/>
    </row>
    <row r="75" spans="6:52" x14ac:dyDescent="0.25">
      <c r="K75" s="170"/>
      <c r="L75" s="170"/>
      <c r="M75" s="170"/>
      <c r="N75" s="170"/>
      <c r="O75" s="170"/>
      <c r="Q75" s="170"/>
      <c r="R75" s="170"/>
      <c r="S75" s="170"/>
      <c r="T75" s="170"/>
      <c r="U75" s="170"/>
      <c r="V75" s="170"/>
      <c r="W75" s="170"/>
      <c r="Y75" s="170"/>
      <c r="AZ75" s="170"/>
    </row>
    <row r="76" spans="6:52" x14ac:dyDescent="0.25">
      <c r="K76" s="170"/>
      <c r="N76" s="170"/>
      <c r="O76" s="170"/>
      <c r="Q76" s="170"/>
      <c r="R76" s="170"/>
      <c r="S76" s="170"/>
      <c r="T76" s="170"/>
      <c r="U76" s="170"/>
      <c r="V76" s="170"/>
      <c r="W76" s="170"/>
      <c r="Y76" s="170"/>
      <c r="AZ76" s="170"/>
    </row>
    <row r="77" spans="6:52" x14ac:dyDescent="0.25">
      <c r="K77" s="170"/>
      <c r="N77" s="170"/>
      <c r="O77" s="170"/>
      <c r="Q77" s="170"/>
      <c r="R77" s="170"/>
      <c r="S77" s="170"/>
      <c r="T77" s="170"/>
      <c r="U77" s="170"/>
      <c r="V77" s="170"/>
      <c r="W77" s="170"/>
      <c r="Y77" s="170"/>
      <c r="AZ77" s="170"/>
    </row>
    <row r="78" spans="6:52" x14ac:dyDescent="0.25">
      <c r="Q78" s="170"/>
      <c r="R78" s="170"/>
      <c r="S78" s="170"/>
      <c r="T78" s="170"/>
      <c r="U78" s="170"/>
      <c r="V78" s="170"/>
      <c r="W78" s="170"/>
      <c r="Y78" s="170"/>
      <c r="AZ78" s="170"/>
    </row>
  </sheetData>
  <mergeCells count="19"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  <mergeCell ref="B10:C10"/>
    <mergeCell ref="B11:C11"/>
    <mergeCell ref="F11:G11"/>
    <mergeCell ref="B1:C1"/>
    <mergeCell ref="C3:C5"/>
    <mergeCell ref="E4:E5"/>
    <mergeCell ref="G8:H8"/>
    <mergeCell ref="B9:C9"/>
    <mergeCell ref="G9:H9"/>
  </mergeCells>
  <conditionalFormatting sqref="O31 P50:P1048576 P40:P48">
    <cfRule type="containsText" dxfId="464" priority="14" operator="containsText" text="Précompte">
      <formula>NOT(ISERROR(SEARCH("Précompte",O31)))</formula>
    </cfRule>
    <cfRule type="containsText" dxfId="463" priority="15" operator="containsText" text="Linéaire">
      <formula>NOT(ISERROR(SEARCH("Linéaire",O31)))</formula>
    </cfRule>
  </conditionalFormatting>
  <conditionalFormatting sqref="F7:N7 K14:K22">
    <cfRule type="containsErrors" dxfId="462" priority="13">
      <formula>ISERROR(F7)</formula>
    </cfRule>
  </conditionalFormatting>
  <conditionalFormatting sqref="F8 F6:N6 I8:N8 I22:I24 J14:K24">
    <cfRule type="cellIs" dxfId="461" priority="12" operator="equal">
      <formula>0</formula>
    </cfRule>
  </conditionalFormatting>
  <conditionalFormatting sqref="K23">
    <cfRule type="containsErrors" dxfId="460" priority="11">
      <formula>ISERROR(K23)</formula>
    </cfRule>
  </conditionalFormatting>
  <conditionalFormatting sqref="K24">
    <cfRule type="containsErrors" dxfId="459" priority="10">
      <formula>ISERROR(K24)</formula>
    </cfRule>
  </conditionalFormatting>
  <conditionalFormatting sqref="K22:K24">
    <cfRule type="containsText" dxfId="458" priority="8" operator="containsText" text="Précompte">
      <formula>NOT(ISERROR(SEARCH("Précompte",K22)))</formula>
    </cfRule>
    <cfRule type="containsText" dxfId="457" priority="9" operator="containsText" text="Linéaire">
      <formula>NOT(ISERROR(SEARCH("Linéaire",K22)))</formula>
    </cfRule>
  </conditionalFormatting>
  <conditionalFormatting sqref="F9 I9:N9">
    <cfRule type="containsErrors" dxfId="456" priority="7">
      <formula>ISERROR(F9)</formula>
    </cfRule>
  </conditionalFormatting>
  <conditionalFormatting sqref="G9">
    <cfRule type="containsErrors" dxfId="455" priority="6">
      <formula>ISERROR(G9)</formula>
    </cfRule>
  </conditionalFormatting>
  <conditionalFormatting sqref="G8">
    <cfRule type="cellIs" dxfId="454" priority="5" stopIfTrue="1" operator="equal">
      <formula>0</formula>
    </cfRule>
  </conditionalFormatting>
  <conditionalFormatting sqref="J7 J9">
    <cfRule type="expression" dxfId="453" priority="16">
      <formula>$J6=0</formula>
    </cfRule>
  </conditionalFormatting>
  <conditionalFormatting sqref="I7 I9:N9">
    <cfRule type="expression" dxfId="452" priority="17">
      <formula>$I6=0</formula>
    </cfRule>
  </conditionalFormatting>
  <conditionalFormatting sqref="H7">
    <cfRule type="expression" dxfId="451" priority="18">
      <formula>$H6=0</formula>
    </cfRule>
  </conditionalFormatting>
  <conditionalFormatting sqref="G7 G9">
    <cfRule type="expression" dxfId="450" priority="19">
      <formula>$G6=0</formula>
    </cfRule>
  </conditionalFormatting>
  <conditionalFormatting sqref="F7 F9">
    <cfRule type="expression" dxfId="449" priority="20">
      <formula>$F6=0</formula>
    </cfRule>
  </conditionalFormatting>
  <conditionalFormatting sqref="J25">
    <cfRule type="cellIs" dxfId="448" priority="4" operator="equal">
      <formula>0</formula>
    </cfRule>
  </conditionalFormatting>
  <conditionalFormatting sqref="K25">
    <cfRule type="containsErrors" dxfId="447" priority="21">
      <formula>ISERROR(K25)</formula>
    </cfRule>
  </conditionalFormatting>
  <conditionalFormatting sqref="K25">
    <cfRule type="cellIs" dxfId="446" priority="3" operator="equal">
      <formula>0</formula>
    </cfRule>
  </conditionalFormatting>
  <conditionalFormatting sqref="P2">
    <cfRule type="containsText" dxfId="445" priority="1" operator="containsText" text="Précompte">
      <formula>NOT(ISERROR(SEARCH("Précompte",P2)))</formula>
    </cfRule>
    <cfRule type="containsText" dxfId="444" priority="2" operator="containsText" text="Linéaire">
      <formula>NOT(ISERROR(SEARCH("Linéaire",P2)))</formula>
    </cfRule>
  </conditionalFormatting>
  <conditionalFormatting sqref="N7 N9">
    <cfRule type="expression" dxfId="443" priority="22">
      <formula>$N6=0</formula>
    </cfRule>
  </conditionalFormatting>
  <conditionalFormatting sqref="M7 M9">
    <cfRule type="expression" dxfId="442" priority="23">
      <formula>$M6=0</formula>
    </cfRule>
  </conditionalFormatting>
  <conditionalFormatting sqref="L7 L9">
    <cfRule type="expression" dxfId="441" priority="24">
      <formula>$L6=0</formula>
    </cfRule>
  </conditionalFormatting>
  <conditionalFormatting sqref="K7 K9">
    <cfRule type="expression" dxfId="44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39997558519241921"/>
  </sheetPr>
  <dimension ref="A1:CG78"/>
  <sheetViews>
    <sheetView topLeftCell="A16" zoomScale="80" zoomScaleNormal="80" workbookViewId="0">
      <selection activeCell="H28" sqref="H28"/>
    </sheetView>
  </sheetViews>
  <sheetFormatPr baseColWidth="10" defaultColWidth="9.140625" defaultRowHeight="15.75" x14ac:dyDescent="0.25"/>
  <cols>
    <col min="1" max="1" width="17.7109375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43160</v>
      </c>
      <c r="B1" s="707">
        <f ca="1">TODAY()</f>
        <v>43259</v>
      </c>
      <c r="C1" s="708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SUM('1803'!V2:V18)+SUM('1803'!W2:W18)</f>
        <v>4133.7540000000008</v>
      </c>
      <c r="G2" s="164" t="s">
        <v>1128</v>
      </c>
      <c r="H2" s="165">
        <f>SUM('1803'!X2:X18)+SUM('1803'!Y2:Y18)</f>
        <v>3154.8295028823532</v>
      </c>
      <c r="I2" s="162" t="s">
        <v>29</v>
      </c>
      <c r="J2" s="166">
        <f>F2-H2</f>
        <v>978.92449711764766</v>
      </c>
      <c r="K2" s="167">
        <f>IF(F2&gt;0,(1-SUM(H2/F2)),0)</f>
        <v>0.23681247048509602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SUM('1803'!X2:X18)+SUM('1803'!Y2:Y18)</f>
        <v>3154.8295028823532</v>
      </c>
      <c r="C3" s="742">
        <f>SUM(TotalPrimes+B4+B5)</f>
        <v>3314.182016482353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129.57999999999998</v>
      </c>
      <c r="C4" s="743"/>
      <c r="E4" s="703" t="s">
        <v>29</v>
      </c>
      <c r="F4" s="84">
        <v>0.1133</v>
      </c>
      <c r="G4" s="84">
        <v>0.1173</v>
      </c>
      <c r="H4" s="84">
        <v>0.06</v>
      </c>
      <c r="I4" s="84">
        <v>0.14599999999999999</v>
      </c>
      <c r="J4" s="84">
        <v>0.13900000000000001</v>
      </c>
      <c r="K4" s="84">
        <v>0.12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29.7725136</v>
      </c>
      <c r="C5" s="744"/>
      <c r="E5" s="709"/>
      <c r="F5" s="61">
        <v>0</v>
      </c>
      <c r="G5" s="61">
        <v>30</v>
      </c>
      <c r="H5" s="61">
        <v>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-660</v>
      </c>
      <c r="E6" s="157" t="s">
        <v>1120</v>
      </c>
      <c r="F6" s="78">
        <f>SUMIF('1803'!assurance,"APRIL",'1803'!mens)*12</f>
        <v>12568.439999999999</v>
      </c>
      <c r="G6" s="63">
        <f>SUMIF('1803'!assurance,"NEOLIANE",'1803'!mens)*12</f>
        <v>0</v>
      </c>
      <c r="H6" s="63">
        <f>SUMIF('1803'!assurance,"NEOLIANE Prev",'1803'!mens)*12</f>
        <v>132.96</v>
      </c>
      <c r="I6" s="63">
        <f>SUMIF('1803'!assurance,"ASAF",'1803'!mens)*12</f>
        <v>0</v>
      </c>
      <c r="J6" s="63">
        <f>SUMIF('1803'!assurance,"SWISSLIFE",'1803'!mens)*12</f>
        <v>1280.4000000000001</v>
      </c>
      <c r="K6" s="63">
        <f>SUMIF('1803'!assurance,"ALPTIS",'1803'!mens)*12</f>
        <v>2473.44</v>
      </c>
      <c r="L6" s="63">
        <f>SUMIF('1803'!assurance,"AVIVA",'1803'!mens)*12</f>
        <v>0</v>
      </c>
      <c r="M6" s="63">
        <f>SUMIF('1803'!assurance,"CIPRES",'1803'!mens)*12</f>
        <v>0</v>
      </c>
      <c r="N6" s="64">
        <f>SUMIF('1803'!assurance,"CEGEMA",'1803'!mens)*12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2654.182016482353</v>
      </c>
      <c r="E7" s="90">
        <f>G12</f>
        <v>16455.239999999998</v>
      </c>
      <c r="F7" s="79">
        <f t="shared" ref="F7:N7" si="0">F6/TotalCA</f>
        <v>0.76379560553355652</v>
      </c>
      <c r="G7" s="65">
        <f t="shared" si="0"/>
        <v>0</v>
      </c>
      <c r="H7" s="65">
        <f t="shared" si="0"/>
        <v>8.0801009283365064E-3</v>
      </c>
      <c r="I7" s="65">
        <f t="shared" si="0"/>
        <v>0</v>
      </c>
      <c r="J7" s="65">
        <f t="shared" si="0"/>
        <v>7.7811080239486033E-2</v>
      </c>
      <c r="K7" s="65">
        <f t="shared" si="0"/>
        <v>0.15031321329862102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43345</v>
      </c>
      <c r="B8" s="60">
        <v>0.1</v>
      </c>
      <c r="C8" s="133">
        <f>-SUM((B3+B4+B5)*B8)</f>
        <v>-331.41820164823531</v>
      </c>
      <c r="E8" s="111" t="s">
        <v>1119</v>
      </c>
      <c r="F8" s="86">
        <f>SUMIF('1803'!assurance,"APRIL",'1803'!Y2:Y18)+SUMIF('1803'!assurance,"APRIL",'1803'!X2:X18)+SUMIF(B25:B30,"APRIL",C25:C30)+SUMIF(B34:B39,"APRIL",C34:C39)</f>
        <v>2289.8736428823531</v>
      </c>
      <c r="G8" s="710">
        <f>SUMIF('1803'!assurance,"NEOLIANE",'1803'!Y2:Y18)+SUMIF('1803'!assurance,"NEOLIANE",'1803'!X2:X18)+SUMIF('1803'!assurance,"NEOLIANE Prev",'1803'!Y2:Y18)+SUMIF('1803'!assurance,"NEOLIANE Prev",'1803'!X2:X18)+SUMIF(B25:B30,"NEOLIANE",C25:C30)+SUMIF(B34:B39,"NEOLIANE",C34:C39)+SUMIF(B25:B30,"NEOLIANE Prev",C25:C30)+SUMIF(B34:B39,"NEOLIANE Prev",C34:C39)</f>
        <v>45.192959999999999</v>
      </c>
      <c r="H8" s="710"/>
      <c r="I8" s="87">
        <f>SUMIF('1803'!assurance,"ASAF",'1803'!Y2:Y18)+SUMIF('1803'!assurance,"ASAF",'1803'!X2:X18)+SUMIF(B25:B30,"ASAF",C25:C30)+SUMIF(B34:B39,"ASAF",C34:C39)</f>
        <v>129.57999999999998</v>
      </c>
      <c r="J8" s="87">
        <f>SUMIF('1803'!assurance,"SWISSLIFE",'1803'!Y2:Y18)+SUMIF('1803'!assurance,"SWISSLIFE",'1803'!X2:X18)+SUMIF(B25:B30,"SWISSLIFE",C25:C30)+SUMIF(B34:B39,"SWISSLIFE",C34:C39)</f>
        <v>275.60609999999997</v>
      </c>
      <c r="K8" s="87">
        <f>SUMIF('1803'!assurance,"ALPTIS",'1803'!Y2:Y18)+SUMIF('1803'!assurance,"ALPTIS",'1803'!X2:X18)+SUMIF(B25:B30,"ALPTIS",C25:C30)+SUMIF(B34:B39,"ALPTIS",C34:C39)</f>
        <v>544.15679999999998</v>
      </c>
      <c r="L8" s="87">
        <f>SUMIF('1803'!assurance,"AVIVA",'1803'!Y2:Y18)+SUMIF('1803'!assurance,"AVIVA",'1803'!X2:X18)+SUMIF(B25:B30,"AVIVA",C25:C30)+SUMIF(B34:B39,"AVIVA",C34:C39)</f>
        <v>0</v>
      </c>
      <c r="M8" s="87">
        <f>SUMIF('1803'!assurance,"CIPRES",'1803'!Y2:Y18)+SUMIF('1803'!assurance,"CIPRES",'1803'!X2:X18)+SUMIF(B25:B30,"CIPRES",C25:C30)+SUMIF(B34:B39,"CIPRES",C34:C39)</f>
        <v>29.7725136</v>
      </c>
      <c r="N8" s="88">
        <f>SUMIF('1803'!assurance,"CEGEMA",'1803'!Y2:Y18)+SUMIF('1803'!assurance,"CEGEMA",'1803'!X2:X18)+SUMIF(B25:B30,"CEGEMA",C25:C30)+SUMIF(B34:B39,"CEGEMA",C34:C39)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3314.182016482353</v>
      </c>
      <c r="F9" s="77">
        <f>F8/TotalPrimes</f>
        <v>0.72583118700717464</v>
      </c>
      <c r="G9" s="760">
        <f>G8/TotalPrimes</f>
        <v>1.4325008675971321E-2</v>
      </c>
      <c r="H9" s="761"/>
      <c r="I9" s="67">
        <f t="shared" ref="I9:N9" si="1">I8/TotalPrimes</f>
        <v>4.1073534998202453E-2</v>
      </c>
      <c r="J9" s="67">
        <f t="shared" si="1"/>
        <v>8.7360061692144511E-2</v>
      </c>
      <c r="K9" s="67">
        <f t="shared" si="1"/>
        <v>0.17248374262470947</v>
      </c>
      <c r="L9" s="67">
        <f t="shared" si="1"/>
        <v>0</v>
      </c>
      <c r="M9" s="67">
        <f t="shared" si="1"/>
        <v>9.4371228533265839E-3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38">
        <f>-G25</f>
        <v>-211</v>
      </c>
      <c r="C10" s="739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40">
        <f>SUM(C7+B10+C8+B9)</f>
        <v>2111.7638148341175</v>
      </c>
      <c r="C11" s="741"/>
      <c r="F11" s="729" t="s">
        <v>487</v>
      </c>
      <c r="G11" s="730"/>
      <c r="I11" s="714" t="s">
        <v>488</v>
      </c>
      <c r="J11" s="715"/>
      <c r="K11" s="716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-162.60581374222704</v>
      </c>
      <c r="F12" s="169" t="s">
        <v>104</v>
      </c>
      <c r="G12" s="168">
        <f>SUM('1803'!M2:M18)*12</f>
        <v>16455.239999999998</v>
      </c>
      <c r="I12" s="57" t="s">
        <v>490</v>
      </c>
      <c r="J12" s="717">
        <f>H2-J25</f>
        <v>3651.064797</v>
      </c>
      <c r="K12" s="718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696">
        <f>B11+C12</f>
        <v>1949.1580010918906</v>
      </c>
      <c r="C13" s="757"/>
      <c r="F13" s="136" t="s">
        <v>102</v>
      </c>
      <c r="G13" s="46">
        <f>COUNT('1803'!N2:N18)-G15-G16</f>
        <v>14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COUNTIF('1803'!P2:P18,"V")-G15</f>
        <v>14</v>
      </c>
      <c r="I14" s="40" t="s">
        <v>170</v>
      </c>
      <c r="J14" s="44">
        <f>SUMIF('1803'!G2:G18,"Lead",'1803'!Y2:Y18)+SUMIF('1803'!G2:G18,"Lead",'1803'!X2:X18)</f>
        <v>2259.435144</v>
      </c>
      <c r="K14" s="43">
        <f t="shared" ref="K14:K21" si="2">J14/BenefMoinsAnnulat</f>
        <v>0.61884279508173301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719" t="s">
        <v>1124</v>
      </c>
      <c r="B15" s="720"/>
      <c r="C15" s="721"/>
      <c r="F15" s="125" t="s">
        <v>517</v>
      </c>
      <c r="G15" s="48">
        <v>2</v>
      </c>
      <c r="I15" s="40" t="s">
        <v>172</v>
      </c>
      <c r="J15" s="44">
        <f>SUMIF('1803'!G2:G18,"Couplage",'1803'!Y2:Y18)+SUMIF('1803'!G2:G18,"Couplage",'1803'!X2:X18)</f>
        <v>587.01649799999996</v>
      </c>
      <c r="K15" s="43">
        <f t="shared" si="2"/>
        <v>0.16077953436551951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SUMIFS('1803'!M2:M18,'1803'!J2:J18,"Prev. Pro")*12</f>
        <v>11135.999999999998</v>
      </c>
      <c r="C16" s="69">
        <f>IF(B16&gt;0,B16/G12,0)</f>
        <v>0.67674491529749792</v>
      </c>
      <c r="F16" s="56" t="s">
        <v>148</v>
      </c>
      <c r="G16" s="49">
        <f>COUNTIF('1803'!G2:G18,"Annulation")</f>
        <v>1</v>
      </c>
      <c r="I16" s="40" t="s">
        <v>166</v>
      </c>
      <c r="J16" s="44">
        <f>SUMIF('1803'!G2:G18,"Cabinet",'1803'!Y2:Y18)+SUMIF('1803'!G2:G18,"Cabinet",'1803'!X2:X18)</f>
        <v>0</v>
      </c>
      <c r="K16" s="43">
        <f t="shared" si="2"/>
        <v>0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COUNTIF('1803'!J2:J18,"Prev. Pro")</f>
        <v>10</v>
      </c>
      <c r="C17" s="70">
        <f>IF(B17&gt;0,B17/(nbcontratsall+contratsdoublons+contratsreprise),0)</f>
        <v>0.58823529411764708</v>
      </c>
      <c r="F17" s="138" t="s">
        <v>178</v>
      </c>
      <c r="G17" s="45">
        <f>IF(G14&gt;0,G12/G14/12,0)</f>
        <v>97.947857142857131</v>
      </c>
      <c r="H17" s="33"/>
      <c r="I17" s="40" t="s">
        <v>167</v>
      </c>
      <c r="J17" s="44">
        <f>SUMIF('1803'!G2:G18,"Parrainage",'1803'!Y2:Y18)+SUMIF('1803'!G2:G18,"Parrainage",'1803'!X2:X18)</f>
        <v>322.52275500000002</v>
      </c>
      <c r="K17" s="43">
        <f t="shared" si="2"/>
        <v>8.8336628609004667E-2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SUMIFS('1803'!M2:M18,'1803'!J2:J18,"Santé Individuelle")*12</f>
        <v>5186.28</v>
      </c>
      <c r="C18" s="69">
        <f>IF(B18&gt;0,B18/G12,0)</f>
        <v>0.31517498377416558</v>
      </c>
      <c r="F18" s="139" t="s">
        <v>27</v>
      </c>
      <c r="G18" s="50">
        <f>IF(B6&gt;0,SUM(-C6/B6),0)</f>
        <v>55</v>
      </c>
      <c r="I18" s="40" t="s">
        <v>171</v>
      </c>
      <c r="J18" s="44">
        <f>SUMIF('1803'!G2:G18,"Old",'1803'!Y2:Y18)+SUMIF('1803'!G2:G18,"Old",'1803'!X2:X18)</f>
        <v>198.92399999999998</v>
      </c>
      <c r="K18" s="43">
        <f t="shared" si="2"/>
        <v>5.4483831720393318E-2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COUNTIF('1803'!J2:J18,"Santé Individuelle")</f>
        <v>5</v>
      </c>
      <c r="C19" s="70">
        <f>IF(B19&gt;0,B19/(nbcontratsall+contratsdoublons+contratsreprise),0)</f>
        <v>0.29411764705882354</v>
      </c>
      <c r="F19" s="140" t="s">
        <v>497</v>
      </c>
      <c r="G19" s="51">
        <f>IF(G14&gt;0,G14/G18,0)</f>
        <v>0.25454545454545452</v>
      </c>
      <c r="H19" s="33"/>
      <c r="I19" s="40" t="s">
        <v>169</v>
      </c>
      <c r="J19" s="44">
        <f>SUMIF('1803'!G2:G18,"Re-signature",'1803'!Y2:Y18)+SUMIF('1803'!G2:G18,"Re-signature",'1803'!X2:X18)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SUMIFS('1803'!M2:M18,'1803'!J2:J18,"Prev. Part")*12</f>
        <v>132.96</v>
      </c>
      <c r="C20" s="69">
        <f>IF(B20&gt;0,B20/G12,0)</f>
        <v>8.0801009283365064E-3</v>
      </c>
      <c r="F20" s="141" t="s">
        <v>110</v>
      </c>
      <c r="G20" s="52">
        <f>IF(H2&gt;0,IF(G18&gt;0,H2/G18,0),0)</f>
        <v>57.360536416042784</v>
      </c>
      <c r="I20" s="40" t="s">
        <v>173</v>
      </c>
      <c r="J20" s="44">
        <f>SUMIF('1803'!G2:G18,"Frigo",'1803'!Y2:Y18)+SUMIF('1803'!G2:G18,"Frigo",'1803'!X2:X18)</f>
        <v>283.16640000000001</v>
      </c>
      <c r="K20" s="43">
        <f t="shared" si="2"/>
        <v>7.7557210223349535E-2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COUNTIF('1803'!J2:J18,"Prev. Part")</f>
        <v>2</v>
      </c>
      <c r="C21" s="70">
        <f>IF(B21&gt;0,B21/(nbcontratsall+contratsdoublons+contratsreprise),0)</f>
        <v>0.11764705882352941</v>
      </c>
      <c r="F21" s="142" t="s">
        <v>111</v>
      </c>
      <c r="G21" s="53">
        <f>IF(C6&lt;0,TotalPrimes/(-C6),0)</f>
        <v>4.780044701336899</v>
      </c>
      <c r="I21" s="40" t="s">
        <v>168</v>
      </c>
      <c r="J21" s="44">
        <f>SUMIF('1803'!G2:G18,"Shark",'1803'!Y2:Y18)+SUMIF('1803'!G2:G18,"Shark",'1803'!X2:X18)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58</v>
      </c>
      <c r="I22" s="40" t="s">
        <v>260</v>
      </c>
      <c r="J22" s="174">
        <f>SUMIF('1803'!G2:G18,"Pré 2018 OK",'1803'!Y2:Y18)+SUMIF('1803'!G2:G18,"Pré 2018 OK",'1803'!X2:X18)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9" t="s">
        <v>14</v>
      </c>
      <c r="B23" s="750"/>
      <c r="C23" s="751">
        <f>SUM(C25:C30)</f>
        <v>29.7725136</v>
      </c>
      <c r="D23" s="752"/>
      <c r="F23" s="144" t="s">
        <v>1122</v>
      </c>
      <c r="G23" s="55">
        <f>IF(G22&gt;0,G22/G18,0)</f>
        <v>1.0545454545454545</v>
      </c>
      <c r="H23" s="19"/>
      <c r="I23" s="40" t="s">
        <v>262</v>
      </c>
      <c r="J23" s="174">
        <f>SUMIF('1803'!G2:G18,"Pré 2018 à Voir",'1803'!Y2:Y18)+SUMIF('1803'!G2:G18,"Pré 2018 à Voir",'1803'!X2:X18)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SUMIF('1803'!G2:G18,"Pré 2018 KO",'1803'!Y2:Y18)+SUMIF('1803'!G2:G18,"Pré 2018 KO",'1803'!X2:X18)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4.75" thickBot="1" x14ac:dyDescent="0.3">
      <c r="A25" s="148" t="s">
        <v>499</v>
      </c>
      <c r="B25" s="75" t="s">
        <v>22</v>
      </c>
      <c r="C25" s="26">
        <f>112.57*3*0.1*(1-txaviv)</f>
        <v>29.7725136</v>
      </c>
      <c r="D25" s="95">
        <v>3</v>
      </c>
      <c r="F25" s="149" t="s">
        <v>493</v>
      </c>
      <c r="G25" s="156">
        <f>SUM(G27:G30)</f>
        <v>211</v>
      </c>
      <c r="I25" s="58" t="s">
        <v>174</v>
      </c>
      <c r="J25" s="71">
        <f>SUMIF('1803'!G1:G18,"Annulation",'1803'!Y1:Y18)+SUMIF('1803'!G1:G18,"Annulation",'1803'!X1:X18)</f>
        <v>-496.23529411764707</v>
      </c>
      <c r="K25" s="72">
        <f>J25/BenefMoinsAnnulat</f>
        <v>-0.13591522520372487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 t="s">
        <v>257</v>
      </c>
      <c r="G27" s="73">
        <v>181</v>
      </c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 t="s">
        <v>507</v>
      </c>
      <c r="G28" s="73">
        <v>30</v>
      </c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53" t="s">
        <v>137</v>
      </c>
      <c r="B32" s="754"/>
      <c r="C32" s="751">
        <f>SUM(C34:C39)</f>
        <v>129.57999999999998</v>
      </c>
      <c r="D32" s="752"/>
      <c r="E32" s="755" t="s">
        <v>1125</v>
      </c>
      <c r="F32" s="756"/>
      <c r="G32" s="747">
        <f>SUM(G34:G39)</f>
        <v>41.83</v>
      </c>
      <c r="H32" s="748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 t="s">
        <v>138</v>
      </c>
      <c r="B34" s="91" t="s">
        <v>43</v>
      </c>
      <c r="C34" s="26">
        <v>24</v>
      </c>
      <c r="D34" s="146">
        <v>12</v>
      </c>
      <c r="E34" s="31" t="s">
        <v>155</v>
      </c>
      <c r="F34" s="93" t="s">
        <v>43</v>
      </c>
      <c r="G34" s="26">
        <v>41.83</v>
      </c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 t="s">
        <v>139</v>
      </c>
      <c r="B35" s="91" t="s">
        <v>43</v>
      </c>
      <c r="C35" s="26">
        <v>105.58</v>
      </c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439" priority="14" operator="containsText" text="Précompte">
      <formula>NOT(ISERROR(SEARCH("Précompte",O31)))</formula>
    </cfRule>
    <cfRule type="containsText" dxfId="438" priority="15" operator="containsText" text="Linéaire">
      <formula>NOT(ISERROR(SEARCH("Linéaire",O31)))</formula>
    </cfRule>
  </conditionalFormatting>
  <conditionalFormatting sqref="F7:N7 K14:K22">
    <cfRule type="containsErrors" dxfId="437" priority="13">
      <formula>ISERROR(F7)</formula>
    </cfRule>
  </conditionalFormatting>
  <conditionalFormatting sqref="F8 F6:N6 I8:N8 I22:I24 J14:K24">
    <cfRule type="cellIs" dxfId="436" priority="12" operator="equal">
      <formula>0</formula>
    </cfRule>
  </conditionalFormatting>
  <conditionalFormatting sqref="K23">
    <cfRule type="containsErrors" dxfId="435" priority="11">
      <formula>ISERROR(K23)</formula>
    </cfRule>
  </conditionalFormatting>
  <conditionalFormatting sqref="K24">
    <cfRule type="containsErrors" dxfId="434" priority="10">
      <formula>ISERROR(K24)</formula>
    </cfRule>
  </conditionalFormatting>
  <conditionalFormatting sqref="K22:K24">
    <cfRule type="containsText" dxfId="433" priority="8" operator="containsText" text="Précompte">
      <formula>NOT(ISERROR(SEARCH("Précompte",K22)))</formula>
    </cfRule>
    <cfRule type="containsText" dxfId="432" priority="9" operator="containsText" text="Linéaire">
      <formula>NOT(ISERROR(SEARCH("Linéaire",K22)))</formula>
    </cfRule>
  </conditionalFormatting>
  <conditionalFormatting sqref="F9 I9:N9">
    <cfRule type="containsErrors" dxfId="431" priority="7">
      <formula>ISERROR(F9)</formula>
    </cfRule>
  </conditionalFormatting>
  <conditionalFormatting sqref="G9">
    <cfRule type="containsErrors" dxfId="430" priority="6">
      <formula>ISERROR(G9)</formula>
    </cfRule>
  </conditionalFormatting>
  <conditionalFormatting sqref="G8">
    <cfRule type="cellIs" dxfId="429" priority="5" stopIfTrue="1" operator="equal">
      <formula>0</formula>
    </cfRule>
  </conditionalFormatting>
  <conditionalFormatting sqref="J7 J9">
    <cfRule type="expression" dxfId="428" priority="16">
      <formula>$J6=0</formula>
    </cfRule>
  </conditionalFormatting>
  <conditionalFormatting sqref="I7 I9:N9">
    <cfRule type="expression" dxfId="427" priority="17">
      <formula>$I6=0</formula>
    </cfRule>
  </conditionalFormatting>
  <conditionalFormatting sqref="H7">
    <cfRule type="expression" dxfId="426" priority="18">
      <formula>$H6=0</formula>
    </cfRule>
  </conditionalFormatting>
  <conditionalFormatting sqref="G7 G9">
    <cfRule type="expression" dxfId="425" priority="19">
      <formula>$G6=0</formula>
    </cfRule>
  </conditionalFormatting>
  <conditionalFormatting sqref="F7 F9">
    <cfRule type="expression" dxfId="424" priority="20">
      <formula>$F6=0</formula>
    </cfRule>
  </conditionalFormatting>
  <conditionalFormatting sqref="J25">
    <cfRule type="cellIs" dxfId="423" priority="4" operator="equal">
      <formula>0</formula>
    </cfRule>
  </conditionalFormatting>
  <conditionalFormatting sqref="K25">
    <cfRule type="containsErrors" dxfId="422" priority="21">
      <formula>ISERROR(K25)</formula>
    </cfRule>
  </conditionalFormatting>
  <conditionalFormatting sqref="K25">
    <cfRule type="cellIs" dxfId="421" priority="3" operator="equal">
      <formula>0</formula>
    </cfRule>
  </conditionalFormatting>
  <conditionalFormatting sqref="P2">
    <cfRule type="containsText" dxfId="420" priority="1" operator="containsText" text="Précompte">
      <formula>NOT(ISERROR(SEARCH("Précompte",P2)))</formula>
    </cfRule>
    <cfRule type="containsText" dxfId="419" priority="2" operator="containsText" text="Linéaire">
      <formula>NOT(ISERROR(SEARCH("Linéaire",P2)))</formula>
    </cfRule>
  </conditionalFormatting>
  <conditionalFormatting sqref="N7 N9">
    <cfRule type="expression" dxfId="418" priority="22">
      <formula>$N6=0</formula>
    </cfRule>
  </conditionalFormatting>
  <conditionalFormatting sqref="M7 M9">
    <cfRule type="expression" dxfId="417" priority="23">
      <formula>$M6=0</formula>
    </cfRule>
  </conditionalFormatting>
  <conditionalFormatting sqref="L7 L9">
    <cfRule type="expression" dxfId="416" priority="24">
      <formula>$L6=0</formula>
    </cfRule>
  </conditionalFormatting>
  <conditionalFormatting sqref="K7 K9">
    <cfRule type="expression" dxfId="41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Matrice!$B$41:$O$41</xm:f>
          </x14:formula1>
          <xm:sqref>D25:D30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Matrice!$B$15:$CR$15</xm:f>
          </x14:formula1>
          <xm:sqref>A1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CG78"/>
  <sheetViews>
    <sheetView zoomScale="80" zoomScaleNormal="80" workbookViewId="0"/>
  </sheetViews>
  <sheetFormatPr baseColWidth="10" defaultColWidth="9.140625" defaultRowHeight="15.75" x14ac:dyDescent="0.25"/>
  <cols>
    <col min="1" max="1" width="17.85546875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43132</v>
      </c>
      <c r="B1" s="707">
        <f ca="1">TODAY()</f>
        <v>43259</v>
      </c>
      <c r="C1" s="708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SUM('1802'!V2:V19)+SUM('1802'!W2:W19)</f>
        <v>2734.3757999999998</v>
      </c>
      <c r="G2" s="164" t="s">
        <v>1128</v>
      </c>
      <c r="H2" s="165">
        <f>SUM('1802'!X2:X19)+SUM('1802'!Y2:Y19)</f>
        <v>1269.8967428188232</v>
      </c>
      <c r="I2" s="162" t="s">
        <v>29</v>
      </c>
      <c r="J2" s="166">
        <f>F2-H2</f>
        <v>1464.4790571811766</v>
      </c>
      <c r="K2" s="167">
        <f>IF(F2&gt;0,(1-SUM(H2/F2)),0)</f>
        <v>0.53558075564491781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SUM('1802'!X2:X19)+SUM('1802'!Y2:Y19)</f>
        <v>1269.8967428188232</v>
      </c>
      <c r="C3" s="742">
        <f>SUM(TotalPrimes+B4+B5)</f>
        <v>1269.8967428188232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84">
        <v>0.11</v>
      </c>
      <c r="G4" s="84">
        <v>0.11</v>
      </c>
      <c r="H4" s="84">
        <v>5.3499999999999999E-2</v>
      </c>
      <c r="I4" s="84">
        <v>0.14599999999999999</v>
      </c>
      <c r="J4" s="84">
        <v>0.104</v>
      </c>
      <c r="K4" s="84">
        <v>0.10879999999999999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0</v>
      </c>
      <c r="C5" s="744"/>
      <c r="E5" s="70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-897</v>
      </c>
      <c r="E6" s="157" t="s">
        <v>1120</v>
      </c>
      <c r="F6" s="78">
        <f>SUMIF('1802'!assurance,"APRIL",'1802'!mens)*12</f>
        <v>2226.6000000000004</v>
      </c>
      <c r="G6" s="63">
        <f>SUMIF('1802'!assurance,"NEOLIANE",'1802'!mens)*12</f>
        <v>816.12000000000012</v>
      </c>
      <c r="H6" s="63">
        <f>SUMIF('1802'!assurance,"NEOLIANE Prev",'1802'!mens)*12</f>
        <v>0</v>
      </c>
      <c r="I6" s="63">
        <f>SUMIF('1802'!assurance,"ASAF",'1802'!mens)*12</f>
        <v>2018.0400000000002</v>
      </c>
      <c r="J6" s="63">
        <f>SUMIF('1802'!assurance,"SWISSLIFE",'1802'!mens)*12</f>
        <v>1878.96</v>
      </c>
      <c r="K6" s="63">
        <f>SUMIF('1802'!assurance,"ALPTIS",'1802'!mens)*12</f>
        <v>5659.68</v>
      </c>
      <c r="L6" s="63">
        <f>SUMIF('1802'!assurance,"AVIVA",'1802'!mens)*12</f>
        <v>0</v>
      </c>
      <c r="M6" s="63">
        <f>SUMIF('1802'!assurance,"CIPRES",'1802'!mens)*12</f>
        <v>0</v>
      </c>
      <c r="N6" s="64">
        <f>SUMIF('1802'!assurance,"CEGEMA",'1802'!mens)*12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372.89674281882321</v>
      </c>
      <c r="E7" s="90">
        <f>G12</f>
        <v>12599.400000000001</v>
      </c>
      <c r="F7" s="79">
        <f t="shared" ref="F7:N7" si="0">F6/TotalCA</f>
        <v>0.17672270108100385</v>
      </c>
      <c r="G7" s="65">
        <f t="shared" si="0"/>
        <v>6.4774513072051051E-2</v>
      </c>
      <c r="H7" s="65">
        <f t="shared" si="0"/>
        <v>0</v>
      </c>
      <c r="I7" s="65">
        <f t="shared" si="0"/>
        <v>0.1601695318824706</v>
      </c>
      <c r="J7" s="65">
        <f t="shared" si="0"/>
        <v>0.1491309109957617</v>
      </c>
      <c r="K7" s="65">
        <f t="shared" si="0"/>
        <v>0.44920234296871275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43317</v>
      </c>
      <c r="B8" s="60">
        <v>0.1</v>
      </c>
      <c r="C8" s="133">
        <f>-SUM((B3+B4)*B8)</f>
        <v>-126.98967428188233</v>
      </c>
      <c r="E8" s="111" t="s">
        <v>1119</v>
      </c>
      <c r="F8" s="86">
        <f>SUMIF('1802'!assurance,"APRIL",'1802'!Y2:Y19)+SUMIF('1802'!assurance,"APRIL",'1802'!X2:X19)+SUMIF(B25:B30,"APRIL",C25:C30)+SUMIF(B34:B39,"APRIL",C34:C39)</f>
        <v>495.41849999999999</v>
      </c>
      <c r="G8" s="710">
        <f>SUMIF('1802'!assurance,"NEOLIANE",'1802'!Y2:Y19)+SUMIF('1802'!assurance,"NEOLIANE",'1802'!X2:X19)+SUMIF('1802'!assurance,"NEOLIANE Prev",'1802'!Y2:Y19)+SUMIF('1802'!assurance,"NEOLIANE Prev",'1802'!X2:X19)+SUMIF(B25:B30,"NEOLIANE",C25:C30)+SUMIF(B34:B39,"NEOLIANE",C34:C39)+SUMIF(B25:B30,"NEOLIANE Prev",C25:C30)+SUMIF(B34:B39,"NEOLIANE Prev",C34:C39)</f>
        <v>139.26935999999998</v>
      </c>
      <c r="H8" s="710"/>
      <c r="I8" s="87">
        <f>SUMIF('1802'!assurance,"ASAF",'1802'!Y2:Y19)+SUMIF('1802'!assurance,"ASAF",'1802'!X2:X19)+SUMIF(B25:B30,"ASAF",C25:C30)+SUMIF(B34:B39,"ASAF",C34:C39)</f>
        <v>301.59607799999998</v>
      </c>
      <c r="J8" s="87">
        <f>SUMIF('1802'!assurance,"SWISSLIFE",'1802'!Y2:Y19)+SUMIF('1802'!assurance,"SWISSLIFE",'1802'!X2:X19)+SUMIF(B25:B30,"SWISSLIFE",C25:C30)+SUMIF(B34:B39,"SWISSLIFE",C34:C39)</f>
        <v>420.88703999999996</v>
      </c>
      <c r="K8" s="87">
        <f>SUMIF('1802'!assurance,"ALPTIS",'1802'!Y2:Y19)+SUMIF('1802'!assurance,"ALPTIS",'1802'!X2:X19)+SUMIF(B25:B30,"ALPTIS",C25:C30)+SUMIF(B34:B39,"ALPTIS",C34:C39)</f>
        <v>-87.274235181176778</v>
      </c>
      <c r="L8" s="87">
        <f>SUMIF('1802'!assurance,"AVIVA",'1802'!Y2:Y19)+SUMIF('1802'!assurance,"AVIVA",'1802'!X2:X19)+SUMIF(B25:B30,"AVIVA",C25:C30)+SUMIF(B34:B39,"AVIVA",C34:C39)</f>
        <v>0</v>
      </c>
      <c r="M8" s="87">
        <f>SUMIF('1802'!assurance,"CIPRES",'1802'!Y2:Y19)+SUMIF('1802'!assurance,"CIPRES",'1802'!X2:X19)+SUMIF(B25:B30,"CIPRES",C25:C30)+SUMIF(B34:B39,"CIPRES",C34:C39)</f>
        <v>0</v>
      </c>
      <c r="N8" s="88">
        <f>SUMIF('1802'!assurance,"CEGEMA",'1802'!Y2:Y19)+SUMIF('1802'!assurance,"CEGEMA",'1802'!X2:X19)+SUMIF(B25:B30,"CEGEMA",C25:C30)+SUMIF(B34:B39,"CEGEMA",C34:C39)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1269.8967428188232</v>
      </c>
      <c r="F9" s="77">
        <f>F8/TotalPrimes</f>
        <v>0.39012502615000533</v>
      </c>
      <c r="G9" s="760">
        <f>G8/TotalPrimes</f>
        <v>0.10966983007678255</v>
      </c>
      <c r="H9" s="761"/>
      <c r="I9" s="67">
        <f t="shared" ref="I9:N9" si="1">I8/TotalPrimes</f>
        <v>0.2374965363959744</v>
      </c>
      <c r="J9" s="67">
        <f t="shared" si="1"/>
        <v>0.33143406531285835</v>
      </c>
      <c r="K9" s="67">
        <f t="shared" si="1"/>
        <v>-6.872545793562071E-2</v>
      </c>
      <c r="L9" s="67">
        <f t="shared" si="1"/>
        <v>0</v>
      </c>
      <c r="M9" s="67">
        <f t="shared" si="1"/>
        <v>0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38">
        <f>-G25</f>
        <v>0</v>
      </c>
      <c r="C10" s="739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40">
        <f>SUM(C7+B10+C8+B9)</f>
        <v>245.90706853694087</v>
      </c>
      <c r="C11" s="741"/>
      <c r="F11" s="729" t="s">
        <v>487</v>
      </c>
      <c r="G11" s="730"/>
      <c r="I11" s="714" t="s">
        <v>488</v>
      </c>
      <c r="J11" s="715"/>
      <c r="K11" s="716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-18.934844277344446</v>
      </c>
      <c r="F12" s="169" t="s">
        <v>104</v>
      </c>
      <c r="G12" s="168">
        <f>SUM('1802'!M2:M19)*12</f>
        <v>12599.400000000001</v>
      </c>
      <c r="I12" s="57" t="s">
        <v>490</v>
      </c>
      <c r="J12" s="717">
        <f>H2-J25</f>
        <v>2416.77909576</v>
      </c>
      <c r="K12" s="718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696">
        <f>B11+C12</f>
        <v>226.97222425959643</v>
      </c>
      <c r="C13" s="757"/>
      <c r="F13" s="136" t="s">
        <v>102</v>
      </c>
      <c r="G13" s="46">
        <f>COUNT('1802'!N2:N19)-G15-G16</f>
        <v>14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COUNTIF('1802'!P2:P19,"V")-G15</f>
        <v>14</v>
      </c>
      <c r="I14" s="40" t="s">
        <v>170</v>
      </c>
      <c r="J14" s="44">
        <f>SUMIF('1802'!G2:G19,"Lead",'1802'!Y2:Y19)+SUMIF('1802'!G2:G19,"Lead",'1802'!X2:X19)</f>
        <v>540.46918799999992</v>
      </c>
      <c r="K14" s="43">
        <f t="shared" ref="K14:K21" si="2">J14/BenefMoinsAnnulat</f>
        <v>0.22363201872616312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719" t="s">
        <v>1124</v>
      </c>
      <c r="B15" s="720"/>
      <c r="C15" s="721"/>
      <c r="F15" s="125" t="s">
        <v>517</v>
      </c>
      <c r="G15" s="48">
        <v>0</v>
      </c>
      <c r="I15" s="40" t="s">
        <v>172</v>
      </c>
      <c r="J15" s="44">
        <f>SUMIF('1802'!G2:G19,"Couplage",'1802'!Y2:Y19)+SUMIF('1802'!G2:G19,"Couplage",'1802'!X2:X19)</f>
        <v>603.44019288000004</v>
      </c>
      <c r="K15" s="43">
        <f t="shared" si="2"/>
        <v>0.24968777408687298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SUMIFS('1802'!M2:M19,'1802'!J2:J19,"Prev. Pro")*12</f>
        <v>2839.6800000000003</v>
      </c>
      <c r="C16" s="69">
        <f>IF(B16&gt;0,B16/G12,0)</f>
        <v>0.22538216105528835</v>
      </c>
      <c r="F16" s="56" t="s">
        <v>148</v>
      </c>
      <c r="G16" s="49">
        <f>COUNTIF('1802'!G2:G19,"Annulation")</f>
        <v>4</v>
      </c>
      <c r="I16" s="40" t="s">
        <v>166</v>
      </c>
      <c r="J16" s="44">
        <f>SUMIF('1802'!G2:G19,"Cabinet",'1802'!Y2:Y19)+SUMIF('1802'!G2:G19,"Cabinet",'1802'!X2:X19)</f>
        <v>203.37407999999999</v>
      </c>
      <c r="K16" s="43">
        <f t="shared" si="2"/>
        <v>8.4150876824778773E-2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COUNTIF('1802'!J2:J19,"Prev. Pro")</f>
        <v>6</v>
      </c>
      <c r="C17" s="70">
        <f>IF(B17&gt;0,B17/(nbcontratsall+contratsdoublons+contratsreprise),0)</f>
        <v>0.33333333333333331</v>
      </c>
      <c r="F17" s="138" t="s">
        <v>178</v>
      </c>
      <c r="G17" s="45">
        <f>IF(G14&gt;0,G12/G14/12,0)</f>
        <v>74.996428571428581</v>
      </c>
      <c r="H17" s="33"/>
      <c r="I17" s="40" t="s">
        <v>167</v>
      </c>
      <c r="J17" s="44">
        <f>SUMIF('1802'!G2:G19,"Parrainage",'1802'!Y2:Y19)+SUMIF('1802'!G2:G19,"Parrainage",'1802'!X2:X19)</f>
        <v>849.43135200000006</v>
      </c>
      <c r="K17" s="43">
        <f t="shared" si="2"/>
        <v>0.35147248397267394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SUMIFS('1802'!M2:M19,'1802'!J2:J19,"Santé Individuelle")*12</f>
        <v>9759.7199999999993</v>
      </c>
      <c r="C18" s="69">
        <f>IF(B18&gt;0,B18/G12,0)</f>
        <v>0.77461783894471148</v>
      </c>
      <c r="F18" s="139" t="s">
        <v>27</v>
      </c>
      <c r="G18" s="50">
        <f>IF(B6&gt;0,SUM(-C6/B6),0)</f>
        <v>74.75</v>
      </c>
      <c r="I18" s="40" t="s">
        <v>171</v>
      </c>
      <c r="J18" s="44">
        <f>SUMIF('1802'!G2:G19,"Old",'1802'!Y2:Y19)+SUMIF('1802'!G2:G19,"Old",'1802'!X2:X19)</f>
        <v>74.511359999999996</v>
      </c>
      <c r="K18" s="43">
        <f t="shared" si="2"/>
        <v>3.0830852571806341E-2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COUNTIF('1802'!J2:J19,"Santé Individuelle")</f>
        <v>12</v>
      </c>
      <c r="C19" s="70">
        <f>IF(B19&gt;0,B19/(nbcontratsall+contratsdoublons+contratsreprise),0)</f>
        <v>0.66666666666666663</v>
      </c>
      <c r="F19" s="140" t="s">
        <v>497</v>
      </c>
      <c r="G19" s="51">
        <f>IF(G14&gt;0,G14/G18,0)</f>
        <v>0.18729096989966554</v>
      </c>
      <c r="H19" s="33"/>
      <c r="I19" s="40" t="s">
        <v>169</v>
      </c>
      <c r="J19" s="44">
        <f>SUMIF('1802'!G2:G19,"Re-signature",'1802'!Y2:Y19)+SUMIF('1802'!G2:G19,"Re-signature",'1802'!X2:X19)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SUMIFS('1802'!M2:M19,'1802'!J2:J19,"Prev.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16.988585188211683</v>
      </c>
      <c r="I20" s="40" t="s">
        <v>173</v>
      </c>
      <c r="J20" s="44">
        <f>SUMIF('1802'!G2:G19,"Frigo",'1802'!Y2:Y19)+SUMIF('1802'!G2:G19,"Frigo",'1802'!X2:X19)</f>
        <v>145.55292287999998</v>
      </c>
      <c r="K20" s="43">
        <f t="shared" si="2"/>
        <v>6.0225993817704812E-2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COUNTIF('1802'!J2:J19,"Prev.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1.4157154323509735</v>
      </c>
      <c r="I21" s="40" t="s">
        <v>168</v>
      </c>
      <c r="J21" s="44">
        <f>SUMIF('1802'!G2:G19,"Shark",'1802'!Y2:Y19)+SUMIF('1802'!G2:G19,"Shark",'1802'!X2:X19)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64</v>
      </c>
      <c r="I22" s="40" t="s">
        <v>260</v>
      </c>
      <c r="J22" s="174">
        <f>SUMIF('1802'!G2:G19,"Pré 2018 OK",'1802'!Y2:Y19)+SUMIF('1802'!G2:G19,"Pré 2018 OK",'1802'!X2:X19)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9" t="s">
        <v>14</v>
      </c>
      <c r="B23" s="750"/>
      <c r="C23" s="751">
        <f>SUM(C25:C30)</f>
        <v>0</v>
      </c>
      <c r="D23" s="752"/>
      <c r="F23" s="144" t="s">
        <v>1122</v>
      </c>
      <c r="G23" s="55">
        <f>IF(G22&gt;0,G22/G18,0)</f>
        <v>0.85618729096989965</v>
      </c>
      <c r="H23" s="19"/>
      <c r="I23" s="40" t="s">
        <v>262</v>
      </c>
      <c r="J23" s="174">
        <f>SUMIF('1802'!G2:G19,"Pré 2018 à Voir",'1802'!Y2:Y19)+SUMIF('1802'!G2:G19,"Pré 2018 à Voir",'1802'!X2:X19)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SUMIF('1802'!G2:G19,"Pré 2018 KO",'1802'!Y2:Y19)+SUMIF('1802'!G2:G19,"Pré 2018 KO",'1802'!X2:X19)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32"/>
      <c r="B25" s="75"/>
      <c r="C25" s="26"/>
      <c r="D25" s="95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SUMIF('1802'!G1:G19,"Annulation",'1802'!Y1:Y19)+SUMIF('1802'!G1:G19,"Annulation",'1802'!X1:X19)</f>
        <v>-1146.8823529411768</v>
      </c>
      <c r="K25" s="72">
        <f>J25/BenefMoinsAnnulat</f>
        <v>-0.47454993091973879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/>
      <c r="G27" s="73"/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/>
      <c r="G28" s="73"/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/>
      <c r="B34" s="91" t="s">
        <v>43</v>
      </c>
      <c r="C34" s="26"/>
      <c r="D34" s="146">
        <v>12</v>
      </c>
      <c r="E34" s="31"/>
      <c r="F34" s="93" t="s">
        <v>43</v>
      </c>
      <c r="G34" s="26"/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/>
      <c r="B35" s="91" t="s">
        <v>43</v>
      </c>
      <c r="C35" s="26"/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414" priority="14" operator="containsText" text="Précompte">
      <formula>NOT(ISERROR(SEARCH("Précompte",O31)))</formula>
    </cfRule>
    <cfRule type="containsText" dxfId="413" priority="15" operator="containsText" text="Linéaire">
      <formula>NOT(ISERROR(SEARCH("Linéaire",O31)))</formula>
    </cfRule>
  </conditionalFormatting>
  <conditionalFormatting sqref="F7:N7 K14:K22">
    <cfRule type="containsErrors" dxfId="412" priority="13">
      <formula>ISERROR(F7)</formula>
    </cfRule>
  </conditionalFormatting>
  <conditionalFormatting sqref="F8 F6:N6 I8:N8 I22:I24 J14:K24">
    <cfRule type="cellIs" dxfId="411" priority="12" operator="equal">
      <formula>0</formula>
    </cfRule>
  </conditionalFormatting>
  <conditionalFormatting sqref="K23">
    <cfRule type="containsErrors" dxfId="410" priority="11">
      <formula>ISERROR(K23)</formula>
    </cfRule>
  </conditionalFormatting>
  <conditionalFormatting sqref="K24">
    <cfRule type="containsErrors" dxfId="409" priority="10">
      <formula>ISERROR(K24)</formula>
    </cfRule>
  </conditionalFormatting>
  <conditionalFormatting sqref="K22:K24">
    <cfRule type="containsText" dxfId="408" priority="8" operator="containsText" text="Précompte">
      <formula>NOT(ISERROR(SEARCH("Précompte",K22)))</formula>
    </cfRule>
    <cfRule type="containsText" dxfId="407" priority="9" operator="containsText" text="Linéaire">
      <formula>NOT(ISERROR(SEARCH("Linéaire",K22)))</formula>
    </cfRule>
  </conditionalFormatting>
  <conditionalFormatting sqref="F9 I9:N9">
    <cfRule type="containsErrors" dxfId="406" priority="7">
      <formula>ISERROR(F9)</formula>
    </cfRule>
  </conditionalFormatting>
  <conditionalFormatting sqref="G9">
    <cfRule type="containsErrors" dxfId="405" priority="6">
      <formula>ISERROR(G9)</formula>
    </cfRule>
  </conditionalFormatting>
  <conditionalFormatting sqref="G8">
    <cfRule type="cellIs" dxfId="404" priority="5" stopIfTrue="1" operator="equal">
      <formula>0</formula>
    </cfRule>
  </conditionalFormatting>
  <conditionalFormatting sqref="J7 J9">
    <cfRule type="expression" dxfId="403" priority="16">
      <formula>$J6=0</formula>
    </cfRule>
  </conditionalFormatting>
  <conditionalFormatting sqref="I7 I9:N9">
    <cfRule type="expression" dxfId="402" priority="17">
      <formula>$I6=0</formula>
    </cfRule>
  </conditionalFormatting>
  <conditionalFormatting sqref="H7">
    <cfRule type="expression" dxfId="401" priority="18">
      <formula>$H6=0</formula>
    </cfRule>
  </conditionalFormatting>
  <conditionalFormatting sqref="G7 G9">
    <cfRule type="expression" dxfId="400" priority="19">
      <formula>$G6=0</formula>
    </cfRule>
  </conditionalFormatting>
  <conditionalFormatting sqref="F7 F9">
    <cfRule type="expression" dxfId="399" priority="20">
      <formula>$F6=0</formula>
    </cfRule>
  </conditionalFormatting>
  <conditionalFormatting sqref="J25">
    <cfRule type="cellIs" dxfId="398" priority="4" operator="equal">
      <formula>0</formula>
    </cfRule>
  </conditionalFormatting>
  <conditionalFormatting sqref="K25">
    <cfRule type="containsErrors" dxfId="397" priority="21">
      <formula>ISERROR(K25)</formula>
    </cfRule>
  </conditionalFormatting>
  <conditionalFormatting sqref="K25">
    <cfRule type="cellIs" dxfId="396" priority="3" operator="equal">
      <formula>0</formula>
    </cfRule>
  </conditionalFormatting>
  <conditionalFormatting sqref="P2">
    <cfRule type="containsText" dxfId="395" priority="1" operator="containsText" text="Précompte">
      <formula>NOT(ISERROR(SEARCH("Précompte",P2)))</formula>
    </cfRule>
    <cfRule type="containsText" dxfId="394" priority="2" operator="containsText" text="Linéaire">
      <formula>NOT(ISERROR(SEARCH("Linéaire",P2)))</formula>
    </cfRule>
  </conditionalFormatting>
  <conditionalFormatting sqref="N7 N9">
    <cfRule type="expression" dxfId="393" priority="22">
      <formula>$N6=0</formula>
    </cfRule>
  </conditionalFormatting>
  <conditionalFormatting sqref="M7 M9">
    <cfRule type="expression" dxfId="392" priority="23">
      <formula>$M6=0</formula>
    </cfRule>
  </conditionalFormatting>
  <conditionalFormatting sqref="L7 L9">
    <cfRule type="expression" dxfId="391" priority="24">
      <formula>$L6=0</formula>
    </cfRule>
  </conditionalFormatting>
  <conditionalFormatting sqref="K7 K9">
    <cfRule type="expression" dxfId="390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0.59999389629810485"/>
  </sheetPr>
  <dimension ref="A1:CG78"/>
  <sheetViews>
    <sheetView zoomScale="80" zoomScaleNormal="80" workbookViewId="0">
      <selection activeCell="O13" sqref="O13"/>
    </sheetView>
  </sheetViews>
  <sheetFormatPr baseColWidth="10" defaultColWidth="9.140625" defaultRowHeight="15.75" x14ac:dyDescent="0.25"/>
  <cols>
    <col min="1" max="1" width="18" style="19" bestFit="1" customWidth="1"/>
    <col min="2" max="2" width="22.42578125" style="19" bestFit="1" customWidth="1"/>
    <col min="3" max="3" width="11.42578125" style="19" bestFit="1" customWidth="1"/>
    <col min="4" max="4" width="8.7109375" style="19" bestFit="1" customWidth="1"/>
    <col min="5" max="5" width="15.5703125" style="19" bestFit="1" customWidth="1"/>
    <col min="6" max="6" width="15.85546875" style="28" bestFit="1" customWidth="1"/>
    <col min="7" max="7" width="11.7109375" style="19" bestFit="1" customWidth="1"/>
    <col min="8" max="8" width="11.28515625" style="19" bestFit="1" customWidth="1"/>
    <col min="9" max="9" width="16.42578125" style="19" bestFit="1" customWidth="1"/>
    <col min="10" max="10" width="10.85546875" style="20" bestFit="1" customWidth="1"/>
    <col min="11" max="11" width="8.5703125" style="20" bestFit="1" customWidth="1"/>
    <col min="12" max="13" width="8.42578125" style="20" bestFit="1" customWidth="1"/>
    <col min="14" max="14" width="9.42578125" style="21" bestFit="1" customWidth="1"/>
    <col min="15" max="15" width="8.85546875" style="20" bestFit="1" customWidth="1"/>
    <col min="16" max="16" width="18.7109375" style="19" bestFit="1" customWidth="1"/>
    <col min="17" max="17" width="14.7109375" style="20" customWidth="1"/>
    <col min="18" max="18" width="11.42578125" style="22" bestFit="1" customWidth="1"/>
    <col min="19" max="19" width="16.42578125" style="23" bestFit="1" customWidth="1"/>
    <col min="20" max="20" width="10.28515625" style="24" bestFit="1" customWidth="1"/>
    <col min="21" max="21" width="13.42578125" style="23" bestFit="1" customWidth="1"/>
    <col min="22" max="22" width="19.140625" style="23" bestFit="1" customWidth="1"/>
    <col min="23" max="23" width="11.7109375" style="23" bestFit="1" customWidth="1"/>
    <col min="24" max="24" width="12.7109375" style="23" bestFit="1" customWidth="1"/>
    <col min="25" max="25" width="22.28515625" style="20" bestFit="1" customWidth="1"/>
    <col min="26" max="26" width="10.7109375" style="19" bestFit="1" customWidth="1"/>
    <col min="27" max="27" width="12.42578125" style="19" bestFit="1" customWidth="1"/>
    <col min="28" max="28" width="17.42578125" style="19" bestFit="1" customWidth="1"/>
    <col min="29" max="29" width="20.42578125" style="19" customWidth="1"/>
    <col min="30" max="30" width="35" style="19" bestFit="1" customWidth="1"/>
    <col min="31" max="31" width="21" style="19" bestFit="1" customWidth="1"/>
    <col min="32" max="32" width="10.85546875" style="19" bestFit="1" customWidth="1"/>
    <col min="33" max="33" width="23" style="19" bestFit="1" customWidth="1"/>
    <col min="34" max="34" width="6.140625" style="19" bestFit="1" customWidth="1"/>
    <col min="35" max="35" width="5.7109375" style="19" customWidth="1"/>
    <col min="36" max="36" width="2.28515625" style="19" bestFit="1" customWidth="1"/>
    <col min="37" max="37" width="13.5703125" style="19" bestFit="1" customWidth="1"/>
    <col min="38" max="38" width="15.5703125" style="19" bestFit="1" customWidth="1"/>
    <col min="39" max="39" width="13" style="19" bestFit="1" customWidth="1"/>
    <col min="40" max="40" width="12.140625" style="19" bestFit="1" customWidth="1"/>
    <col min="41" max="41" width="12.85546875" style="19" bestFit="1" customWidth="1"/>
    <col min="42" max="42" width="17.85546875" style="19" bestFit="1" customWidth="1"/>
    <col min="43" max="43" width="9.28515625" style="19" bestFit="1" customWidth="1"/>
    <col min="44" max="44" width="14.140625" style="19" bestFit="1" customWidth="1"/>
    <col min="45" max="45" width="13" style="19" bestFit="1" customWidth="1"/>
    <col min="46" max="46" width="12.140625" style="25" bestFit="1" customWidth="1"/>
    <col min="47" max="47" width="12.85546875" style="19" bestFit="1" customWidth="1"/>
    <col min="48" max="48" width="17.85546875" style="19" bestFit="1" customWidth="1"/>
    <col min="49" max="49" width="14.140625" style="25" bestFit="1" customWidth="1"/>
    <col min="50" max="50" width="8" style="19" bestFit="1" customWidth="1"/>
    <col min="51" max="51" width="13" style="19" bestFit="1" customWidth="1"/>
    <col min="52" max="52" width="32.85546875" style="25" bestFit="1" customWidth="1"/>
    <col min="53" max="53" width="33.140625" style="19" bestFit="1" customWidth="1"/>
    <col min="54" max="54" width="17.7109375" style="19" bestFit="1" customWidth="1"/>
    <col min="55" max="55" width="32.5703125" style="19" bestFit="1" customWidth="1"/>
    <col min="56" max="56" width="21.7109375" style="19" bestFit="1" customWidth="1"/>
    <col min="57" max="57" width="22" style="19" bestFit="1" customWidth="1"/>
    <col min="58" max="58" width="11.85546875" style="19" bestFit="1" customWidth="1"/>
    <col min="59" max="59" width="7.28515625" style="19" customWidth="1"/>
    <col min="60" max="60" width="5.28515625" style="19" bestFit="1" customWidth="1"/>
    <col min="61" max="61" width="10.7109375" style="19" bestFit="1" customWidth="1"/>
    <col min="62" max="62" width="7.28515625" style="19" customWidth="1"/>
    <col min="63" max="63" width="5.28515625" style="19" bestFit="1" customWidth="1"/>
    <col min="64" max="64" width="10.7109375" style="19" customWidth="1"/>
    <col min="65" max="65" width="7.28515625" style="19" customWidth="1"/>
    <col min="66" max="66" width="6.7109375" style="19" bestFit="1" customWidth="1"/>
    <col min="67" max="67" width="10.85546875" style="19" bestFit="1" customWidth="1"/>
    <col min="68" max="68" width="7.28515625" style="19" customWidth="1"/>
    <col min="69" max="69" width="6.7109375" style="19" bestFit="1" customWidth="1"/>
    <col min="70" max="70" width="10.7109375" style="19" customWidth="1"/>
    <col min="71" max="71" width="7.28515625" style="19" customWidth="1"/>
    <col min="72" max="72" width="6.7109375" style="19" bestFit="1" customWidth="1"/>
    <col min="73" max="73" width="10.7109375" style="19" customWidth="1"/>
    <col min="74" max="74" width="7.28515625" style="19" customWidth="1"/>
    <col min="75" max="75" width="8" style="19" bestFit="1" customWidth="1"/>
    <col min="76" max="76" width="10.7109375" style="19" customWidth="1"/>
    <col min="77" max="77" width="7.28515625" style="19" customWidth="1"/>
    <col min="78" max="78" width="6.7109375" style="19" bestFit="1" customWidth="1"/>
    <col min="79" max="79" width="10.7109375" style="19" customWidth="1"/>
    <col min="80" max="80" width="7.28515625" style="19" customWidth="1"/>
    <col min="81" max="81" width="6.42578125" style="19" bestFit="1" customWidth="1"/>
    <col min="82" max="82" width="10.7109375" style="19" customWidth="1"/>
    <col min="83" max="83" width="7.28515625" style="19" customWidth="1"/>
    <col min="84" max="84" width="6.42578125" style="19" bestFit="1" customWidth="1"/>
    <col min="85" max="85" width="8" style="19" bestFit="1" customWidth="1"/>
    <col min="86" max="86" width="10.7109375" style="19" bestFit="1" customWidth="1"/>
    <col min="87" max="87" width="11.42578125" style="19" bestFit="1" customWidth="1"/>
    <col min="88" max="88" width="12.5703125" style="19" bestFit="1" customWidth="1"/>
    <col min="89" max="89" width="8.140625" style="19" bestFit="1" customWidth="1"/>
    <col min="90" max="90" width="10.7109375" style="19" bestFit="1" customWidth="1"/>
    <col min="91" max="91" width="10.5703125" style="19" bestFit="1" customWidth="1"/>
    <col min="92" max="92" width="37.28515625" style="19" customWidth="1"/>
    <col min="93" max="93" width="15.5703125" style="19" customWidth="1"/>
    <col min="94" max="94" width="7.7109375" style="19" bestFit="1" customWidth="1"/>
    <col min="95" max="95" width="9.140625" style="19"/>
    <col min="96" max="96" width="13.140625" style="19" bestFit="1" customWidth="1"/>
    <col min="97" max="97" width="17.140625" style="19" bestFit="1" customWidth="1"/>
    <col min="98" max="98" width="10.140625" style="19" bestFit="1" customWidth="1"/>
    <col min="99" max="99" width="18.28515625" style="19" bestFit="1" customWidth="1"/>
    <col min="100" max="100" width="12.140625" style="19" bestFit="1" customWidth="1"/>
    <col min="101" max="101" width="16.28515625" style="19" bestFit="1" customWidth="1"/>
    <col min="102" max="102" width="18.85546875" style="19" bestFit="1" customWidth="1"/>
    <col min="103" max="103" width="11.7109375" style="19" customWidth="1"/>
    <col min="104" max="104" width="11.5703125" style="19" bestFit="1" customWidth="1"/>
    <col min="105" max="105" width="13" style="19" bestFit="1" customWidth="1"/>
    <col min="106" max="106" width="11.7109375" style="19" bestFit="1" customWidth="1"/>
    <col min="107" max="107" width="10.140625" style="19" bestFit="1" customWidth="1"/>
    <col min="108" max="108" width="24.85546875" style="19" bestFit="1" customWidth="1"/>
    <col min="109" max="109" width="15" style="19" bestFit="1" customWidth="1"/>
    <col min="110" max="110" width="12.85546875" style="19" bestFit="1" customWidth="1"/>
    <col min="111" max="111" width="6.85546875" style="19" customWidth="1"/>
    <col min="112" max="112" width="18.140625" style="19" bestFit="1" customWidth="1"/>
    <col min="113" max="113" width="6" style="19" bestFit="1" customWidth="1"/>
    <col min="114" max="114" width="5.140625" style="19" bestFit="1" customWidth="1"/>
    <col min="115" max="16384" width="9.140625" style="19"/>
  </cols>
  <sheetData>
    <row r="1" spans="1:85" ht="27" thickBot="1" x14ac:dyDescent="0.3">
      <c r="A1" s="59">
        <v>43101</v>
      </c>
      <c r="B1" s="707">
        <f ca="1">TODAY()</f>
        <v>43259</v>
      </c>
      <c r="C1" s="708"/>
      <c r="F1" s="19"/>
      <c r="H1" s="20"/>
      <c r="J1" s="19"/>
      <c r="K1" s="19"/>
      <c r="L1" s="19"/>
      <c r="M1" s="19"/>
      <c r="N1" s="19"/>
      <c r="O1" s="19"/>
      <c r="Q1" s="19"/>
      <c r="R1" s="19"/>
      <c r="S1" s="19"/>
      <c r="T1" s="19"/>
      <c r="U1" s="19"/>
      <c r="V1" s="19"/>
      <c r="W1" s="19"/>
      <c r="X1" s="19"/>
      <c r="Y1" s="19"/>
      <c r="AT1" s="19"/>
      <c r="AW1" s="19"/>
      <c r="AZ1" s="19"/>
    </row>
    <row r="2" spans="1:85" ht="16.5" thickBot="1" x14ac:dyDescent="0.3">
      <c r="E2" s="161" t="s">
        <v>1127</v>
      </c>
      <c r="F2" s="163">
        <f>SUM('1801'!V2:V6)+SUM('1801'!W2:W6)</f>
        <v>970.90800000000024</v>
      </c>
      <c r="G2" s="164" t="s">
        <v>1128</v>
      </c>
      <c r="H2" s="165">
        <f>SUM('1801'!X2:X6)+SUM('1801'!Y2:Y6)</f>
        <v>869.89298160000021</v>
      </c>
      <c r="I2" s="162" t="s">
        <v>29</v>
      </c>
      <c r="J2" s="166">
        <f>F2-H2</f>
        <v>101.01501840000003</v>
      </c>
      <c r="K2" s="167">
        <f>IF(F2&gt;0,(1-SUM(H2/F2)),0)</f>
        <v>0.10404180251887929</v>
      </c>
      <c r="O2" s="19"/>
      <c r="Q2" s="19"/>
      <c r="R2" s="19"/>
      <c r="S2" s="19"/>
      <c r="T2" s="19"/>
      <c r="U2" s="19"/>
      <c r="V2" s="19"/>
      <c r="W2" s="19"/>
      <c r="X2" s="19"/>
      <c r="Y2" s="19"/>
      <c r="AZ2" s="19"/>
    </row>
    <row r="3" spans="1:85" ht="32.25" thickBot="1" x14ac:dyDescent="0.3">
      <c r="A3" s="112" t="s">
        <v>1121</v>
      </c>
      <c r="B3" s="131">
        <f>SUM('1801'!X2:X6)+SUM('1801'!Y2:Y6)</f>
        <v>869.89298160000021</v>
      </c>
      <c r="C3" s="742">
        <f>SUM(TotalPrimes+B4+B5)</f>
        <v>869.89298160000021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9"/>
      <c r="Q3" s="19"/>
      <c r="R3" s="19"/>
      <c r="S3" s="19"/>
      <c r="T3" s="19"/>
      <c r="U3" s="19"/>
      <c r="V3" s="19"/>
      <c r="W3" s="19"/>
      <c r="X3" s="19"/>
      <c r="Y3" s="19"/>
      <c r="AT3" s="19"/>
      <c r="AW3" s="19"/>
      <c r="AZ3" s="19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84">
        <v>0.11</v>
      </c>
      <c r="G4" s="84">
        <v>0.115</v>
      </c>
      <c r="H4" s="84">
        <v>5.3400000000000003E-2</v>
      </c>
      <c r="I4" s="84">
        <v>0.14599999999999999</v>
      </c>
      <c r="J4" s="84">
        <v>0.104</v>
      </c>
      <c r="K4" s="84">
        <v>5.6000000000000001E-2</v>
      </c>
      <c r="L4" s="84">
        <v>0.11840000000000001</v>
      </c>
      <c r="M4" s="84">
        <v>0.11840000000000001</v>
      </c>
      <c r="N4" s="85">
        <v>0.11840000000000001</v>
      </c>
      <c r="O4" s="19"/>
      <c r="Q4" s="19"/>
      <c r="R4" s="19"/>
      <c r="S4" s="19"/>
      <c r="T4" s="19"/>
      <c r="U4" s="19"/>
      <c r="V4" s="19"/>
      <c r="W4" s="19"/>
      <c r="X4" s="19"/>
      <c r="Y4" s="19"/>
      <c r="AT4" s="19"/>
      <c r="AW4" s="19"/>
      <c r="AZ4" s="19"/>
    </row>
    <row r="5" spans="1:85" ht="16.5" thickBot="1" x14ac:dyDescent="0.3">
      <c r="A5" s="113" t="s">
        <v>14</v>
      </c>
      <c r="B5" s="132">
        <f>C23</f>
        <v>0</v>
      </c>
      <c r="C5" s="744"/>
      <c r="E5" s="709"/>
      <c r="F5" s="61">
        <v>0</v>
      </c>
      <c r="G5" s="61">
        <v>30</v>
      </c>
      <c r="H5" s="61">
        <v>14.16</v>
      </c>
      <c r="I5" s="61">
        <v>0</v>
      </c>
      <c r="J5" s="61">
        <v>0</v>
      </c>
      <c r="K5" s="61">
        <v>0</v>
      </c>
      <c r="L5" s="61">
        <v>0</v>
      </c>
      <c r="M5" s="61">
        <v>0</v>
      </c>
      <c r="N5" s="62">
        <v>0</v>
      </c>
      <c r="O5" s="19"/>
      <c r="Q5" s="19"/>
      <c r="R5" s="19"/>
      <c r="S5" s="19"/>
      <c r="T5" s="19"/>
      <c r="U5" s="19"/>
      <c r="V5" s="19"/>
      <c r="W5" s="19"/>
      <c r="X5" s="19"/>
      <c r="Y5" s="19"/>
      <c r="AT5" s="19"/>
      <c r="AW5" s="19"/>
      <c r="AZ5" s="19"/>
    </row>
    <row r="6" spans="1:85" ht="19.5" thickBot="1" x14ac:dyDescent="0.3">
      <c r="A6" s="106" t="s">
        <v>498</v>
      </c>
      <c r="B6" s="98">
        <v>12</v>
      </c>
      <c r="C6" s="105">
        <v>-624</v>
      </c>
      <c r="E6" s="157" t="s">
        <v>1120</v>
      </c>
      <c r="F6" s="78">
        <f>SUMIF('1801'!assurance,"APRIL",'1801'!mens)*12</f>
        <v>0</v>
      </c>
      <c r="G6" s="63">
        <f>SUMIF('1801'!assurance,"NEOLIANE",'1801'!mens)*12</f>
        <v>1510.32</v>
      </c>
      <c r="H6" s="63">
        <f>SUMIF('1801'!assurance,"NEOLIANE Prev",'1801'!mens)*12</f>
        <v>120.24</v>
      </c>
      <c r="I6" s="63">
        <f>SUMIF('1801'!assurance,"ASAF",'1801'!mens)*12</f>
        <v>0</v>
      </c>
      <c r="J6" s="63">
        <f>SUMIF('1801'!assurance,"SWISSLIFE",'1801'!mens)*12</f>
        <v>0</v>
      </c>
      <c r="K6" s="63">
        <f>SUMIF('1801'!assurance,"ALPTIS",'1801'!mens)*12</f>
        <v>2726.16</v>
      </c>
      <c r="L6" s="63">
        <f>SUMIF('1801'!assurance,"AVIVA",'1801'!mens)*12</f>
        <v>0</v>
      </c>
      <c r="M6" s="63">
        <f>SUMIF('1801'!assurance,"CIPRES",'1801'!mens)*12</f>
        <v>0</v>
      </c>
      <c r="N6" s="64">
        <f>SUMIF('1801'!assurance,"CEGEMA",'1801'!mens)*12</f>
        <v>0</v>
      </c>
      <c r="O6" s="19"/>
      <c r="Q6" s="19"/>
      <c r="R6" s="19"/>
      <c r="S6" s="19"/>
      <c r="T6" s="19"/>
      <c r="U6" s="19"/>
      <c r="V6" s="19"/>
      <c r="W6" s="19"/>
      <c r="X6" s="19"/>
      <c r="Y6" s="19"/>
      <c r="AT6" s="19"/>
      <c r="AW6" s="19"/>
      <c r="AZ6" s="19"/>
    </row>
    <row r="7" spans="1:85" s="33" customFormat="1" ht="21.75" thickBot="1" x14ac:dyDescent="0.3">
      <c r="A7" s="107" t="s">
        <v>484</v>
      </c>
      <c r="B7" s="135" t="s">
        <v>501</v>
      </c>
      <c r="C7" s="102">
        <f>C3+C6</f>
        <v>245.89298160000021</v>
      </c>
      <c r="E7" s="90">
        <f>G12</f>
        <v>4356.7199999999993</v>
      </c>
      <c r="F7" s="79">
        <f t="shared" ref="F7:N7" si="0">F6/TotalCA</f>
        <v>0</v>
      </c>
      <c r="G7" s="65">
        <f t="shared" si="0"/>
        <v>0.34666446317413102</v>
      </c>
      <c r="H7" s="65">
        <f t="shared" si="0"/>
        <v>2.7598744009254671E-2</v>
      </c>
      <c r="I7" s="65">
        <f t="shared" si="0"/>
        <v>0</v>
      </c>
      <c r="J7" s="65">
        <f t="shared" si="0"/>
        <v>0</v>
      </c>
      <c r="K7" s="65">
        <f t="shared" si="0"/>
        <v>0.62573679281661443</v>
      </c>
      <c r="L7" s="65">
        <f t="shared" si="0"/>
        <v>0</v>
      </c>
      <c r="M7" s="65">
        <f t="shared" si="0"/>
        <v>0</v>
      </c>
      <c r="N7" s="66">
        <f t="shared" si="0"/>
        <v>0</v>
      </c>
    </row>
    <row r="8" spans="1:85" ht="18.75" x14ac:dyDescent="0.25">
      <c r="A8" s="129">
        <f>A1+185</f>
        <v>43286</v>
      </c>
      <c r="B8" s="60">
        <v>0.1</v>
      </c>
      <c r="C8" s="133">
        <f>-SUM((B3+B4)*B8)</f>
        <v>-86.989298160000033</v>
      </c>
      <c r="E8" s="111" t="s">
        <v>1119</v>
      </c>
      <c r="F8" s="86">
        <f>SUMIF('1801'!assurance,"APRIL",'1801'!Y2:Y6)+SUMIF('1801'!assurance,"APRIL",'1801'!X2:X6)+SUMIF(B25:B30,"APRIL",C25:C30)+SUMIF(B34:B39,"APRIL",C34:C39)</f>
        <v>0</v>
      </c>
      <c r="G8" s="710">
        <f>SUMIF('1801'!assurance,"NEOLIANE",'1801'!Y2:Y6)+SUMIF('1801'!assurance,"NEOLIANE",'1801'!X2:X6)+SUMIF('1801'!assurance,"NEOLIANE Prev",'1801'!Y2:Y6)+SUMIF('1801'!assurance,"NEOLIANE Prev",'1801'!X2:X6)+SUMIF(B25:B30,"NEOLIANE",C25:C30)+SUMIF(B34:B39,"NEOLIANE",C34:C39)+SUMIF(B25:B30,"NEOLIANE Prev",C25:C30)+SUMIF(B34:B39,"NEOLIANE Prev",C34:C39)</f>
        <v>355.19397359999999</v>
      </c>
      <c r="H8" s="710"/>
      <c r="I8" s="87">
        <f>SUMIF('1801'!assurance,"ASAF",'1801'!Y2:Y6)+SUMIF('1801'!assurance,"ASAF",'1801'!X2:X6)+SUMIF(B25:B30,"ASAF",C25:C30)+SUMIF(B34:B39,"ASAF",C34:C39)</f>
        <v>0</v>
      </c>
      <c r="J8" s="87">
        <f>SUMIF('1801'!assurance,"SWISSLIFE",'1801'!Y2:Y6)+SUMIF('1801'!assurance,"SWISSLIFE",'1801'!X2:X6)+SUMIF(B25:B30,"SWISSLIFE",C25:C30)+SUMIF(B34:B39,"SWISSLIFE",C34:C39)</f>
        <v>0</v>
      </c>
      <c r="K8" s="87">
        <f>SUMIF('1801'!assurance,"ALPTIS",'1801'!Y2:Y6)+SUMIF('1801'!assurance,"ALPTIS",'1801'!X2:X6)+SUMIF(B25:B30,"ALPTIS",C25:C30)+SUMIF(B34:B39,"ALPTIS",C34:C39)</f>
        <v>514.69900800000005</v>
      </c>
      <c r="L8" s="87">
        <f>SUMIF('1801'!assurance,"AVIVA",'1801'!Y2:Y6)+SUMIF('1801'!assurance,"AVIVA",'1801'!X2:X6)+SUMIF(B25:B30,"AVIVA",C25:C30)+SUMIF(B34:B39,"AVIVA",C34:C39)</f>
        <v>0</v>
      </c>
      <c r="M8" s="87">
        <f>SUMIF('1801'!assurance,"CIPRES",'1801'!Y2:Y6)+SUMIF('1801'!assurance,"CIPRES",'1801'!X2:X6)+SUMIF(B25:B30,"CIPRES",C25:C30)+SUMIF(B34:B39,"CIPRES",C34:C39)</f>
        <v>0</v>
      </c>
      <c r="N8" s="88">
        <f>SUMIF('1801'!assurance,"CEGEMA",'1801'!Y2:Y6)+SUMIF('1801'!assurance,"CEGEMA",'1801'!X2:X6)+SUMIF(B25:B30,"CEGEMA",C25:C30)+SUMIF(B34:B39,"CEGEMA",C34:C39)</f>
        <v>0</v>
      </c>
      <c r="O8" s="19"/>
      <c r="Q8" s="19"/>
      <c r="R8" s="19"/>
      <c r="S8" s="19"/>
      <c r="T8" s="19"/>
      <c r="U8" s="19"/>
      <c r="V8" s="19"/>
      <c r="W8" s="19"/>
      <c r="X8" s="19"/>
      <c r="Y8" s="19"/>
      <c r="AT8" s="19"/>
      <c r="AW8" s="19"/>
      <c r="AZ8" s="19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869.89298160000021</v>
      </c>
      <c r="F9" s="77">
        <f>F8/TotalPrimes</f>
        <v>0</v>
      </c>
      <c r="G9" s="711">
        <f>G8/TotalPrimes</f>
        <v>0.40831916237177734</v>
      </c>
      <c r="H9" s="711"/>
      <c r="I9" s="67">
        <f t="shared" ref="I9:N9" si="1">I8/TotalPrimes</f>
        <v>0</v>
      </c>
      <c r="J9" s="67">
        <f t="shared" si="1"/>
        <v>0</v>
      </c>
      <c r="K9" s="67">
        <f t="shared" si="1"/>
        <v>0.59168083762822243</v>
      </c>
      <c r="L9" s="67">
        <f t="shared" si="1"/>
        <v>0</v>
      </c>
      <c r="M9" s="67">
        <f t="shared" si="1"/>
        <v>0</v>
      </c>
      <c r="N9" s="68">
        <f t="shared" si="1"/>
        <v>0</v>
      </c>
      <c r="O9" s="21"/>
      <c r="P9" s="20"/>
      <c r="Q9" s="19"/>
      <c r="R9" s="20"/>
      <c r="S9" s="22"/>
      <c r="T9" s="23"/>
      <c r="U9" s="24"/>
      <c r="W9" s="20"/>
      <c r="X9" s="20"/>
      <c r="Y9" s="19"/>
      <c r="Z9" s="20"/>
      <c r="AT9" s="19"/>
      <c r="AU9" s="25"/>
      <c r="AW9" s="19"/>
      <c r="AX9" s="25"/>
      <c r="AZ9" s="19"/>
      <c r="BA9" s="25"/>
      <c r="CA9" s="25"/>
      <c r="CD9" s="25"/>
      <c r="CG9" s="25"/>
    </row>
    <row r="10" spans="1:85" ht="19.5" thickBot="1" x14ac:dyDescent="0.3">
      <c r="A10" s="109" t="s">
        <v>492</v>
      </c>
      <c r="B10" s="738">
        <f>-G25</f>
        <v>0</v>
      </c>
      <c r="C10" s="739"/>
      <c r="K10" s="19"/>
      <c r="O10" s="21"/>
      <c r="P10" s="20"/>
      <c r="Q10" s="19"/>
      <c r="R10" s="20"/>
      <c r="S10" s="22"/>
      <c r="T10" s="23"/>
      <c r="U10" s="24"/>
      <c r="W10" s="20"/>
      <c r="X10" s="20"/>
      <c r="Y10" s="19"/>
      <c r="Z10" s="20"/>
      <c r="AT10" s="19"/>
      <c r="AU10" s="25"/>
      <c r="AW10" s="19"/>
      <c r="AX10" s="25"/>
      <c r="AZ10" s="19"/>
      <c r="BA10" s="25"/>
      <c r="CA10" s="25"/>
      <c r="CD10" s="25"/>
      <c r="CG10" s="25"/>
    </row>
    <row r="11" spans="1:85" s="33" customFormat="1" ht="27" thickBot="1" x14ac:dyDescent="0.3">
      <c r="A11" s="110" t="s">
        <v>1126</v>
      </c>
      <c r="B11" s="740">
        <f>SUM(C7+B10+C8+B9)</f>
        <v>158.90368344000018</v>
      </c>
      <c r="C11" s="741"/>
      <c r="F11" s="729" t="s">
        <v>487</v>
      </c>
      <c r="G11" s="730"/>
      <c r="I11" s="714" t="s">
        <v>488</v>
      </c>
      <c r="J11" s="715"/>
      <c r="K11" s="716"/>
      <c r="L11" s="35"/>
      <c r="M11" s="34"/>
      <c r="O11" s="34"/>
      <c r="P11" s="36"/>
      <c r="Q11" s="37"/>
      <c r="R11" s="38"/>
      <c r="S11" s="37"/>
      <c r="T11" s="34"/>
      <c r="U11" s="34"/>
      <c r="W11" s="34"/>
      <c r="AR11" s="39"/>
      <c r="AU11" s="39"/>
      <c r="AX11" s="39"/>
      <c r="BX11" s="39"/>
      <c r="CA11" s="39"/>
      <c r="CD11" s="39"/>
    </row>
    <row r="12" spans="1:85" ht="21.75" thickBot="1" x14ac:dyDescent="0.3">
      <c r="A12" s="134" t="s">
        <v>108</v>
      </c>
      <c r="B12" s="60">
        <v>7.6999999999999999E-2</v>
      </c>
      <c r="C12" s="104">
        <f>SUM(-B11*B12)</f>
        <v>-12.235583624880014</v>
      </c>
      <c r="F12" s="169" t="s">
        <v>104</v>
      </c>
      <c r="G12" s="168">
        <f>SUM('1801'!M2:M6)*12</f>
        <v>4356.7199999999993</v>
      </c>
      <c r="I12" s="57" t="s">
        <v>490</v>
      </c>
      <c r="J12" s="717">
        <f>H2-J25</f>
        <v>869.89298160000021</v>
      </c>
      <c r="K12" s="718"/>
      <c r="L12" s="21"/>
      <c r="N12" s="19"/>
      <c r="P12" s="22"/>
      <c r="Q12" s="23"/>
      <c r="R12" s="24"/>
      <c r="T12" s="20"/>
      <c r="U12" s="20"/>
      <c r="V12" s="19"/>
      <c r="W12" s="20"/>
      <c r="X12" s="19"/>
      <c r="Y12" s="19"/>
      <c r="AR12" s="25"/>
      <c r="AT12" s="19"/>
      <c r="AU12" s="25"/>
      <c r="AW12" s="19"/>
      <c r="AX12" s="25"/>
      <c r="AZ12" s="19"/>
      <c r="BX12" s="25"/>
      <c r="CA12" s="25"/>
      <c r="CD12" s="25"/>
    </row>
    <row r="13" spans="1:85" s="33" customFormat="1" ht="21.75" thickBot="1" x14ac:dyDescent="0.3">
      <c r="A13" s="103" t="s">
        <v>494</v>
      </c>
      <c r="B13" s="696">
        <f>B11+C12</f>
        <v>146.66809981512017</v>
      </c>
      <c r="C13" s="757"/>
      <c r="F13" s="136" t="s">
        <v>102</v>
      </c>
      <c r="G13" s="46">
        <f>COUNT('1801'!N2:N6)-G15-G16</f>
        <v>3</v>
      </c>
      <c r="H13" s="19"/>
      <c r="I13" s="41" t="s">
        <v>1123</v>
      </c>
      <c r="J13" s="118" t="s">
        <v>122</v>
      </c>
      <c r="K13" s="119" t="s">
        <v>118</v>
      </c>
      <c r="L13" s="35"/>
      <c r="S13" s="37"/>
      <c r="T13" s="34"/>
      <c r="U13" s="34"/>
      <c r="W13" s="34"/>
      <c r="AR13" s="39"/>
      <c r="AU13" s="39"/>
      <c r="AX13" s="39"/>
      <c r="BX13" s="39"/>
      <c r="CA13" s="39"/>
      <c r="CD13" s="39"/>
    </row>
    <row r="14" spans="1:85" ht="19.5" thickBot="1" x14ac:dyDescent="0.3">
      <c r="F14" s="137" t="s">
        <v>486</v>
      </c>
      <c r="G14" s="47">
        <f>COUNTIF('1801'!P2:P6,"V")-G15</f>
        <v>-1</v>
      </c>
      <c r="I14" s="40" t="s">
        <v>170</v>
      </c>
      <c r="J14" s="44">
        <f>SUMIF('1801'!G2:G6,"Lead",'1801'!Y2:Y6)+SUMIF('1801'!G2:G6,"Lead",'1801'!X2:X6)</f>
        <v>9.5118911999999973</v>
      </c>
      <c r="K14" s="43">
        <f t="shared" ref="K14:K21" si="2">J14/BenefMoinsAnnulat</f>
        <v>1.0934553331496835E-2</v>
      </c>
      <c r="L14" s="21"/>
      <c r="T14" s="20"/>
      <c r="U14" s="20"/>
      <c r="V14" s="19"/>
      <c r="W14" s="20"/>
      <c r="X14" s="19"/>
      <c r="Y14" s="19"/>
      <c r="AR14" s="25"/>
      <c r="AT14" s="19"/>
      <c r="AU14" s="25"/>
      <c r="AW14" s="19"/>
      <c r="AX14" s="25"/>
      <c r="AZ14" s="19"/>
      <c r="BX14" s="25"/>
      <c r="CA14" s="25"/>
      <c r="CD14" s="25"/>
    </row>
    <row r="15" spans="1:85" ht="21.75" thickBot="1" x14ac:dyDescent="0.3">
      <c r="A15" s="719" t="s">
        <v>1124</v>
      </c>
      <c r="B15" s="720"/>
      <c r="C15" s="721"/>
      <c r="F15" s="125" t="s">
        <v>517</v>
      </c>
      <c r="G15" s="48">
        <v>2</v>
      </c>
      <c r="I15" s="40" t="s">
        <v>172</v>
      </c>
      <c r="J15" s="44">
        <f>SUMIF('1801'!G2:G6,"Couplage",'1801'!Y2:Y6)+SUMIF('1801'!G2:G6,"Couplage",'1801'!X2:X6)</f>
        <v>0</v>
      </c>
      <c r="K15" s="43">
        <f t="shared" si="2"/>
        <v>0</v>
      </c>
      <c r="L15" s="19"/>
      <c r="S15" s="19"/>
      <c r="T15" s="19"/>
      <c r="U15" s="19"/>
      <c r="V15" s="19"/>
      <c r="W15" s="19"/>
      <c r="X15" s="19"/>
      <c r="Y15" s="19"/>
      <c r="AQ15" s="25"/>
      <c r="AW15" s="19"/>
      <c r="AZ15" s="19"/>
    </row>
    <row r="16" spans="1:85" ht="19.5" thickBot="1" x14ac:dyDescent="0.3">
      <c r="A16" s="99" t="s">
        <v>16</v>
      </c>
      <c r="B16" s="120">
        <f>SUMIFS('1801'!M2:M6,'1801'!J2:J6,"Prev. Pro")*12</f>
        <v>2726.16</v>
      </c>
      <c r="C16" s="69">
        <f>IF(B16&gt;0,B16/G12,0)</f>
        <v>0.62573679281661443</v>
      </c>
      <c r="F16" s="56" t="s">
        <v>148</v>
      </c>
      <c r="G16" s="49">
        <f>COUNTIF('1801'!G2:G6,"Annulation")</f>
        <v>0</v>
      </c>
      <c r="I16" s="40" t="s">
        <v>166</v>
      </c>
      <c r="J16" s="44">
        <f>SUMIF('1801'!G2:G6,"Cabinet",'1801'!Y2:Y6)+SUMIF('1801'!G2:G6,"Cabinet",'1801'!X2:X6)</f>
        <v>0</v>
      </c>
      <c r="K16" s="43">
        <f t="shared" si="2"/>
        <v>0</v>
      </c>
      <c r="L16" s="19"/>
      <c r="S16" s="19"/>
      <c r="T16" s="19"/>
      <c r="U16" s="19"/>
      <c r="V16" s="19"/>
      <c r="W16" s="19"/>
      <c r="X16" s="19"/>
      <c r="Y16" s="19"/>
      <c r="AQ16" s="25"/>
      <c r="AW16" s="19"/>
      <c r="AZ16" s="19"/>
    </row>
    <row r="17" spans="1:52" ht="21.75" thickBot="1" x14ac:dyDescent="0.3">
      <c r="A17" s="121" t="s">
        <v>105</v>
      </c>
      <c r="B17" s="126">
        <f>COUNTIF('1801'!J2:J6,"Prev. Pro")</f>
        <v>1</v>
      </c>
      <c r="C17" s="70">
        <f>IF(B17&gt;0,B17/(nbcontratsall+contratsdoublons+contratsreprise),0)</f>
        <v>0.2</v>
      </c>
      <c r="F17" s="138" t="s">
        <v>178</v>
      </c>
      <c r="G17" s="45">
        <f>IF(G14&gt;0,G12/G14/12,0)</f>
        <v>0</v>
      </c>
      <c r="H17" s="33"/>
      <c r="I17" s="40" t="s">
        <v>167</v>
      </c>
      <c r="J17" s="44">
        <f>SUMIF('1801'!G2:G6,"Parrainage",'1801'!Y2:Y6)+SUMIF('1801'!G2:G6,"Parrainage",'1801'!X2:X6)</f>
        <v>345.68208239999996</v>
      </c>
      <c r="K17" s="43">
        <f t="shared" si="2"/>
        <v>0.39738460904028045</v>
      </c>
      <c r="L17" s="19"/>
      <c r="S17" s="19"/>
      <c r="T17" s="19"/>
      <c r="U17" s="19"/>
      <c r="V17" s="19"/>
      <c r="W17" s="19"/>
      <c r="X17" s="19"/>
      <c r="Y17" s="19"/>
      <c r="AQ17" s="25"/>
      <c r="AW17" s="19"/>
      <c r="AZ17" s="19"/>
    </row>
    <row r="18" spans="1:52" ht="18.75" x14ac:dyDescent="0.25">
      <c r="A18" s="100" t="s">
        <v>101</v>
      </c>
      <c r="B18" s="122">
        <f>SUMIFS('1801'!M2:M6,'1801'!J2:J6,"Santé Individuelle")*12</f>
        <v>1510.32</v>
      </c>
      <c r="C18" s="69">
        <f>IF(B18&gt;0,B18/G12,0)</f>
        <v>0.34666446317413102</v>
      </c>
      <c r="F18" s="139" t="s">
        <v>27</v>
      </c>
      <c r="G18" s="50">
        <f>IF(B6&gt;0,SUM(-C6/B6),0)</f>
        <v>52</v>
      </c>
      <c r="I18" s="40" t="s">
        <v>171</v>
      </c>
      <c r="J18" s="44">
        <f>SUMIF('1801'!G2:G6,"Old",'1801'!Y2:Y6)+SUMIF('1801'!G2:G6,"Old",'1801'!X2:X6)</f>
        <v>514.69900800000005</v>
      </c>
      <c r="K18" s="43">
        <f t="shared" si="2"/>
        <v>0.59168083762822243</v>
      </c>
      <c r="L18" s="19"/>
      <c r="S18" s="19"/>
      <c r="T18" s="19"/>
      <c r="U18" s="19"/>
      <c r="V18" s="19"/>
      <c r="W18" s="19"/>
      <c r="X18" s="19"/>
      <c r="Y18" s="19"/>
      <c r="AQ18" s="25"/>
      <c r="AW18" s="19"/>
      <c r="AZ18" s="19"/>
    </row>
    <row r="19" spans="1:52" ht="21.75" thickBot="1" x14ac:dyDescent="0.3">
      <c r="A19" s="123" t="s">
        <v>103</v>
      </c>
      <c r="B19" s="127">
        <f>COUNTIF('1801'!J2:J6,"Santé Individuelle")</f>
        <v>1</v>
      </c>
      <c r="C19" s="70">
        <f>IF(B19&gt;0,B19/(nbcontratsall+contratsdoublons+contratsreprise),0)</f>
        <v>0.2</v>
      </c>
      <c r="F19" s="140" t="s">
        <v>497</v>
      </c>
      <c r="G19" s="51">
        <f>IF(G14&gt;0,G14/G18,0)</f>
        <v>0</v>
      </c>
      <c r="H19" s="33"/>
      <c r="I19" s="40" t="s">
        <v>169</v>
      </c>
      <c r="J19" s="44">
        <f>SUMIF('1801'!G2:G6,"Re-signature",'1801'!Y2:Y6)+SUMIF('1801'!G2:G6,"Re-signature",'1801'!X2:X6)</f>
        <v>0</v>
      </c>
      <c r="K19" s="43">
        <f t="shared" si="2"/>
        <v>0</v>
      </c>
      <c r="L19" s="19"/>
      <c r="S19" s="19"/>
      <c r="T19" s="19"/>
      <c r="U19" s="19"/>
      <c r="V19" s="19"/>
      <c r="W19" s="19"/>
      <c r="X19" s="19"/>
      <c r="Y19" s="19"/>
      <c r="AQ19" s="25"/>
      <c r="AW19" s="19"/>
      <c r="AZ19" s="19"/>
    </row>
    <row r="20" spans="1:52" ht="19.5" thickBot="1" x14ac:dyDescent="0.3">
      <c r="A20" s="101" t="s">
        <v>85</v>
      </c>
      <c r="B20" s="124">
        <f>SUMIFS('1801'!M2:M6,'1801'!J2:J6,"Prev. Part")*12</f>
        <v>120.24</v>
      </c>
      <c r="C20" s="69">
        <f>IF(B20&gt;0,B20/G12,0)</f>
        <v>2.7598744009254671E-2</v>
      </c>
      <c r="F20" s="141" t="s">
        <v>110</v>
      </c>
      <c r="G20" s="52">
        <f>IF(H2&gt;0,IF(G18&gt;0,H2/G18,0),0)</f>
        <v>16.728711184615388</v>
      </c>
      <c r="I20" s="40" t="s">
        <v>173</v>
      </c>
      <c r="J20" s="44">
        <f>SUMIF('1801'!G2:G6,"Frigo",'1801'!Y2:Y6)+SUMIF('1801'!G2:G6,"Frigo",'1801'!X2:X6)</f>
        <v>0</v>
      </c>
      <c r="K20" s="43">
        <f t="shared" si="2"/>
        <v>0</v>
      </c>
      <c r="L20" s="19"/>
      <c r="S20" s="19"/>
      <c r="T20" s="19"/>
      <c r="U20" s="19"/>
      <c r="V20" s="19"/>
      <c r="W20" s="19"/>
      <c r="X20" s="19"/>
      <c r="Y20" s="19"/>
      <c r="AQ20" s="25"/>
      <c r="AW20" s="19"/>
      <c r="AZ20" s="19"/>
    </row>
    <row r="21" spans="1:52" ht="19.5" thickBot="1" x14ac:dyDescent="0.3">
      <c r="A21" s="125" t="s">
        <v>509</v>
      </c>
      <c r="B21" s="128">
        <f>COUNTIF('1801'!J2:J6,"Prev. Part")</f>
        <v>3</v>
      </c>
      <c r="C21" s="70">
        <f>IF(B21&gt;0,B21/(nbcontratsall+contratsdoublons+contratsreprise),0)</f>
        <v>0.6</v>
      </c>
      <c r="F21" s="142" t="s">
        <v>111</v>
      </c>
      <c r="G21" s="53">
        <f>IF(C6&lt;0,TotalPrimes/(-C6),0)</f>
        <v>1.3940592653846158</v>
      </c>
      <c r="I21" s="40" t="s">
        <v>168</v>
      </c>
      <c r="J21" s="44">
        <f>SUMIF('1801'!G2:G6,"Shark",'1801'!Y2:Y6)+SUMIF('1801'!G2:G6,"Shark",'1801'!X2:X6)</f>
        <v>0</v>
      </c>
      <c r="K21" s="43">
        <f t="shared" si="2"/>
        <v>0</v>
      </c>
      <c r="L21" s="19"/>
      <c r="S21" s="19"/>
      <c r="T21" s="19"/>
      <c r="U21" s="19"/>
      <c r="V21" s="19"/>
      <c r="W21" s="19"/>
      <c r="X21" s="19"/>
      <c r="Y21" s="19"/>
      <c r="AZ21" s="19"/>
    </row>
    <row r="22" spans="1:52" ht="19.5" thickBot="1" x14ac:dyDescent="0.3">
      <c r="F22" s="143" t="s">
        <v>142</v>
      </c>
      <c r="G22" s="54">
        <v>40</v>
      </c>
      <c r="I22" s="40" t="s">
        <v>260</v>
      </c>
      <c r="J22" s="174">
        <f>SUMIF('1801'!G2:G6,"Pré 2018 OK",'1801'!Y2:Y6)+SUMIF('1801'!G2:G6,"Pré 2018 OK",'1801'!X2:X6)</f>
        <v>0</v>
      </c>
      <c r="K22" s="173">
        <f>J22/BenefMoinsAnnulat</f>
        <v>0</v>
      </c>
      <c r="S22" s="19"/>
      <c r="T22" s="19"/>
      <c r="U22" s="19"/>
      <c r="V22" s="19"/>
      <c r="W22" s="19"/>
      <c r="X22" s="19"/>
      <c r="Y22" s="19"/>
      <c r="AZ22" s="19"/>
    </row>
    <row r="23" spans="1:52" s="33" customFormat="1" ht="21.75" thickBot="1" x14ac:dyDescent="0.3">
      <c r="A23" s="749" t="s">
        <v>14</v>
      </c>
      <c r="B23" s="750"/>
      <c r="C23" s="751">
        <f>SUM(C25:C30)</f>
        <v>0</v>
      </c>
      <c r="D23" s="752"/>
      <c r="F23" s="144" t="s">
        <v>1122</v>
      </c>
      <c r="G23" s="55">
        <f>IF(G22&gt;0,G22/G18,0)</f>
        <v>0.76923076923076927</v>
      </c>
      <c r="H23" s="19"/>
      <c r="I23" s="40" t="s">
        <v>262</v>
      </c>
      <c r="J23" s="174">
        <f>SUMIF('1801'!G2:G6,"Pré 2018 à Voir",'1801'!Y2:Y6)+SUMIF('1801'!G2:G6,"Pré 2018 à Voir",'1801'!X2:X6)</f>
        <v>0</v>
      </c>
      <c r="K23" s="173">
        <f>J23/BenefMoinsAnnulat</f>
        <v>0</v>
      </c>
      <c r="AS23" s="39"/>
      <c r="AV23" s="39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174">
        <f>SUMIF('1801'!G2:G6,"Pré 2018 KO",'1801'!Y2:Y6)+SUMIF('1801'!G2:G6,"Pré 2018 KO",'1801'!X2:X6)</f>
        <v>0</v>
      </c>
      <c r="K24" s="173">
        <f>J24/BenefMoinsAnnulat</f>
        <v>0</v>
      </c>
      <c r="S24" s="19"/>
      <c r="T24" s="19"/>
      <c r="U24" s="19"/>
      <c r="V24" s="19"/>
      <c r="W24" s="19"/>
      <c r="X24" s="19"/>
      <c r="Y24" s="19"/>
      <c r="AQ24" s="25"/>
      <c r="AW24" s="19"/>
      <c r="AZ24" s="19"/>
    </row>
    <row r="25" spans="1:52" ht="21.75" thickBot="1" x14ac:dyDescent="0.3">
      <c r="A25" s="32"/>
      <c r="B25" s="75"/>
      <c r="C25" s="26"/>
      <c r="D25" s="95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SUMIF('1801'!G1:G6,"Annulation",'1801'!Y1:Y6)+SUMIF('1801'!G1:G6,"Annulation",'1801'!X1:X6)</f>
        <v>0</v>
      </c>
      <c r="K25" s="72">
        <f>J25/BenefMoinsAnnulat</f>
        <v>0</v>
      </c>
      <c r="L25" s="19"/>
      <c r="S25" s="19"/>
      <c r="T25" s="19"/>
      <c r="U25" s="19"/>
      <c r="V25" s="19"/>
      <c r="W25" s="19"/>
      <c r="X25" s="19"/>
      <c r="Y25" s="19"/>
      <c r="AQ25" s="25"/>
      <c r="AW25" s="19"/>
      <c r="AZ25" s="19"/>
    </row>
    <row r="26" spans="1:52" x14ac:dyDescent="0.25">
      <c r="A26" s="32"/>
      <c r="B26" s="75"/>
      <c r="C26" s="26"/>
      <c r="D26" s="95">
        <v>0</v>
      </c>
      <c r="F26" s="117" t="s">
        <v>500</v>
      </c>
      <c r="G26" s="108" t="s">
        <v>1118</v>
      </c>
      <c r="L26" s="19"/>
      <c r="S26" s="19"/>
      <c r="T26" s="19"/>
      <c r="U26" s="19"/>
      <c r="V26" s="19"/>
      <c r="W26" s="19"/>
      <c r="X26" s="19"/>
      <c r="Y26" s="19"/>
      <c r="AQ26" s="25"/>
      <c r="AW26" s="19"/>
      <c r="AZ26" s="19"/>
    </row>
    <row r="27" spans="1:52" x14ac:dyDescent="0.25">
      <c r="A27" s="32"/>
      <c r="B27" s="75"/>
      <c r="C27" s="29"/>
      <c r="D27" s="95">
        <v>0</v>
      </c>
      <c r="F27" s="31"/>
      <c r="G27" s="73"/>
      <c r="L27" s="19"/>
      <c r="S27" s="19"/>
      <c r="T27" s="19"/>
      <c r="U27" s="19"/>
      <c r="V27" s="19"/>
      <c r="W27" s="19"/>
      <c r="X27" s="19"/>
      <c r="Y27" s="19"/>
      <c r="AQ27" s="25"/>
      <c r="AW27" s="19"/>
      <c r="AZ27" s="19"/>
    </row>
    <row r="28" spans="1:52" x14ac:dyDescent="0.25">
      <c r="A28" s="145"/>
      <c r="B28" s="75"/>
      <c r="C28" s="26"/>
      <c r="D28" s="95">
        <v>0</v>
      </c>
      <c r="F28" s="31"/>
      <c r="G28" s="73"/>
      <c r="L28" s="19"/>
      <c r="M28" s="19"/>
      <c r="N28" s="19"/>
      <c r="O28" s="19"/>
      <c r="S28" s="19"/>
      <c r="T28" s="19"/>
      <c r="U28" s="19"/>
      <c r="V28" s="19"/>
      <c r="W28" s="19"/>
      <c r="X28" s="19"/>
      <c r="Y28" s="19"/>
      <c r="AQ28" s="25"/>
      <c r="AW28" s="19"/>
      <c r="AZ28" s="19"/>
    </row>
    <row r="29" spans="1:52" x14ac:dyDescent="0.25">
      <c r="A29" s="32"/>
      <c r="B29" s="75"/>
      <c r="C29" s="26"/>
      <c r="D29" s="95">
        <v>0</v>
      </c>
      <c r="F29" s="31"/>
      <c r="G29" s="73"/>
      <c r="L29" s="19"/>
      <c r="M29" s="19"/>
      <c r="N29" s="19"/>
      <c r="O29" s="19"/>
      <c r="Q29" s="19"/>
      <c r="R29" s="19"/>
      <c r="S29" s="19"/>
      <c r="T29" s="19"/>
      <c r="U29" s="19"/>
      <c r="V29" s="19"/>
      <c r="W29" s="19"/>
      <c r="X29" s="19"/>
      <c r="Y29" s="19"/>
      <c r="AQ29" s="25"/>
      <c r="AW29" s="19"/>
      <c r="AZ29" s="19"/>
    </row>
    <row r="30" spans="1:52" ht="16.5" thickBot="1" x14ac:dyDescent="0.3">
      <c r="A30" s="30"/>
      <c r="B30" s="76"/>
      <c r="C30" s="27"/>
      <c r="D30" s="96">
        <v>0</v>
      </c>
      <c r="F30" s="30"/>
      <c r="G30" s="74"/>
      <c r="N30" s="19"/>
      <c r="O30" s="19"/>
      <c r="Q30" s="19"/>
      <c r="R30" s="19"/>
      <c r="S30" s="19"/>
      <c r="T30" s="19"/>
      <c r="U30" s="19"/>
      <c r="V30" s="19"/>
      <c r="W30" s="19"/>
      <c r="X30" s="19"/>
      <c r="Y30" s="19"/>
      <c r="AQ30" s="25"/>
      <c r="AW30" s="19"/>
      <c r="AZ30" s="19"/>
    </row>
    <row r="31" spans="1:52" ht="16.5" thickBot="1" x14ac:dyDescent="0.3">
      <c r="F31" s="19"/>
      <c r="J31" s="19"/>
      <c r="K31" s="19"/>
      <c r="N31" s="19"/>
      <c r="O31" s="19"/>
      <c r="Q31" s="19"/>
      <c r="R31" s="19"/>
      <c r="S31" s="19"/>
      <c r="T31" s="19"/>
      <c r="U31" s="19"/>
      <c r="V31" s="19"/>
      <c r="W31" s="19"/>
      <c r="X31" s="19"/>
      <c r="Y31" s="19"/>
      <c r="AS31" s="25"/>
      <c r="AT31" s="19"/>
      <c r="AV31" s="25"/>
      <c r="AW31" s="19"/>
      <c r="AZ31" s="19"/>
    </row>
    <row r="32" spans="1:52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K32" s="19"/>
      <c r="N32" s="19"/>
      <c r="O32" s="19"/>
      <c r="Q32" s="19"/>
      <c r="R32" s="19"/>
      <c r="S32" s="19"/>
      <c r="T32" s="19"/>
      <c r="U32" s="19"/>
      <c r="V32" s="19"/>
      <c r="X32" s="19"/>
      <c r="Y32" s="19"/>
      <c r="AS32" s="25"/>
      <c r="AT32" s="19"/>
      <c r="AV32" s="25"/>
      <c r="AW32" s="19"/>
      <c r="AZ32" s="19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9"/>
      <c r="N33" s="19"/>
      <c r="O33" s="19"/>
      <c r="Q33" s="19"/>
      <c r="R33" s="19"/>
      <c r="S33" s="19"/>
      <c r="T33" s="19"/>
      <c r="U33" s="19"/>
      <c r="V33" s="19"/>
      <c r="W33" s="19"/>
      <c r="X33" s="19"/>
      <c r="Y33" s="19"/>
      <c r="AR33" s="25"/>
      <c r="AT33" s="19"/>
      <c r="AU33" s="25"/>
      <c r="AW33" s="19"/>
      <c r="AZ33" s="19"/>
    </row>
    <row r="34" spans="1:52" x14ac:dyDescent="0.25">
      <c r="A34" s="31"/>
      <c r="B34" s="91" t="s">
        <v>43</v>
      </c>
      <c r="C34" s="26"/>
      <c r="D34" s="146">
        <v>12</v>
      </c>
      <c r="E34" s="31"/>
      <c r="F34" s="93" t="s">
        <v>43</v>
      </c>
      <c r="G34" s="26"/>
      <c r="H34" s="95">
        <v>11</v>
      </c>
      <c r="K34" s="19"/>
      <c r="N34" s="19"/>
      <c r="O34" s="19"/>
      <c r="Q34" s="19"/>
      <c r="R34" s="19"/>
      <c r="S34" s="19"/>
      <c r="T34" s="19"/>
      <c r="U34" s="19"/>
      <c r="V34" s="19"/>
      <c r="W34" s="19"/>
      <c r="X34" s="19"/>
      <c r="Y34" s="19"/>
      <c r="AR34" s="25"/>
      <c r="AT34" s="19"/>
      <c r="AU34" s="25"/>
      <c r="AW34" s="19"/>
      <c r="AZ34" s="19"/>
    </row>
    <row r="35" spans="1:52" x14ac:dyDescent="0.25">
      <c r="A35" s="31"/>
      <c r="B35" s="91" t="s">
        <v>43</v>
      </c>
      <c r="C35" s="26"/>
      <c r="D35" s="146">
        <v>12</v>
      </c>
      <c r="E35" s="31"/>
      <c r="F35" s="93" t="s">
        <v>43</v>
      </c>
      <c r="G35" s="26"/>
      <c r="H35" s="95">
        <v>11</v>
      </c>
      <c r="K35" s="19"/>
      <c r="N35" s="19"/>
      <c r="O35" s="19"/>
      <c r="Q35" s="19"/>
      <c r="R35" s="19"/>
      <c r="S35" s="19"/>
      <c r="T35" s="19"/>
      <c r="U35" s="19"/>
      <c r="V35" s="19"/>
      <c r="W35" s="19"/>
      <c r="X35" s="19"/>
      <c r="Y35" s="19"/>
      <c r="AR35" s="25"/>
      <c r="AT35" s="19"/>
      <c r="AU35" s="25"/>
      <c r="AW35" s="19"/>
      <c r="AZ35" s="19"/>
    </row>
    <row r="36" spans="1:52" x14ac:dyDescent="0.25">
      <c r="A36" s="31"/>
      <c r="B36" s="91" t="s">
        <v>43</v>
      </c>
      <c r="C36" s="26"/>
      <c r="D36" s="146">
        <v>12</v>
      </c>
      <c r="E36" s="31"/>
      <c r="F36" s="93" t="s">
        <v>43</v>
      </c>
      <c r="G36" s="26"/>
      <c r="H36" s="95">
        <v>11</v>
      </c>
      <c r="K36" s="19"/>
      <c r="L36" s="19"/>
      <c r="M36" s="19"/>
      <c r="N36" s="19"/>
      <c r="O36" s="19"/>
      <c r="Q36" s="19"/>
      <c r="R36" s="19"/>
      <c r="S36" s="19"/>
      <c r="T36" s="19"/>
      <c r="U36" s="19"/>
      <c r="V36" s="19"/>
      <c r="W36" s="19"/>
      <c r="X36" s="19"/>
      <c r="Y36" s="19"/>
      <c r="AR36" s="25"/>
      <c r="AT36" s="19"/>
      <c r="AU36" s="25"/>
      <c r="AW36" s="19"/>
      <c r="AZ36" s="19"/>
    </row>
    <row r="37" spans="1:52" x14ac:dyDescent="0.25">
      <c r="A37" s="31"/>
      <c r="B37" s="91" t="s">
        <v>43</v>
      </c>
      <c r="C37" s="26"/>
      <c r="D37" s="146">
        <v>12</v>
      </c>
      <c r="E37" s="31"/>
      <c r="F37" s="93" t="s">
        <v>43</v>
      </c>
      <c r="G37" s="26"/>
      <c r="H37" s="95">
        <v>11</v>
      </c>
      <c r="K37" s="19"/>
      <c r="L37" s="19"/>
      <c r="M37" s="19"/>
      <c r="N37" s="19"/>
      <c r="O37" s="19"/>
      <c r="Q37" s="19"/>
      <c r="R37" s="19"/>
      <c r="S37" s="19"/>
      <c r="T37" s="19"/>
      <c r="U37" s="19"/>
      <c r="V37" s="19"/>
      <c r="W37" s="19"/>
      <c r="X37" s="19"/>
      <c r="Y37" s="19"/>
      <c r="AR37" s="25"/>
      <c r="AT37" s="19"/>
      <c r="AU37" s="25"/>
      <c r="AW37" s="19"/>
      <c r="AZ37" s="19"/>
    </row>
    <row r="38" spans="1:52" x14ac:dyDescent="0.25">
      <c r="A38" s="31"/>
      <c r="B38" s="91" t="s">
        <v>43</v>
      </c>
      <c r="C38" s="26"/>
      <c r="D38" s="146">
        <v>12</v>
      </c>
      <c r="E38" s="31"/>
      <c r="F38" s="93" t="s">
        <v>43</v>
      </c>
      <c r="G38" s="26"/>
      <c r="H38" s="95">
        <v>11</v>
      </c>
      <c r="K38" s="19"/>
      <c r="L38" s="19"/>
      <c r="M38" s="19"/>
      <c r="N38" s="19"/>
      <c r="O38" s="19"/>
      <c r="Q38" s="19"/>
      <c r="R38" s="19"/>
      <c r="S38" s="19"/>
      <c r="T38" s="19"/>
      <c r="U38" s="19"/>
      <c r="V38" s="19"/>
      <c r="W38" s="19"/>
      <c r="X38" s="19"/>
      <c r="Y38" s="19"/>
      <c r="AR38" s="25"/>
      <c r="AT38" s="19"/>
      <c r="AU38" s="25"/>
      <c r="AW38" s="19"/>
      <c r="AZ38" s="19"/>
    </row>
    <row r="39" spans="1:52" ht="16.5" thickBot="1" x14ac:dyDescent="0.3">
      <c r="A39" s="30"/>
      <c r="B39" s="92" t="s">
        <v>43</v>
      </c>
      <c r="C39" s="27"/>
      <c r="D39" s="147">
        <v>12</v>
      </c>
      <c r="E39" s="30"/>
      <c r="F39" s="94" t="s">
        <v>43</v>
      </c>
      <c r="G39" s="27"/>
      <c r="H39" s="96">
        <v>11</v>
      </c>
      <c r="K39" s="19"/>
      <c r="L39" s="19"/>
      <c r="M39" s="19"/>
      <c r="N39" s="19"/>
      <c r="O39" s="19"/>
      <c r="Q39" s="19"/>
      <c r="R39" s="19"/>
      <c r="S39" s="19"/>
      <c r="T39" s="19"/>
      <c r="U39" s="19"/>
      <c r="W39" s="19"/>
      <c r="X39" s="19"/>
      <c r="Y39" s="19"/>
      <c r="AR39" s="25"/>
      <c r="AT39" s="19"/>
      <c r="AU39" s="25"/>
      <c r="AW39" s="19"/>
      <c r="AZ39" s="19"/>
    </row>
    <row r="40" spans="1:52" x14ac:dyDescent="0.25">
      <c r="K40" s="19"/>
      <c r="L40" s="19"/>
      <c r="M40" s="19"/>
      <c r="N40" s="19"/>
      <c r="O40" s="19"/>
      <c r="Q40" s="19"/>
      <c r="R40" s="19"/>
      <c r="S40" s="19"/>
      <c r="T40" s="19"/>
      <c r="U40" s="19"/>
      <c r="V40" s="19"/>
      <c r="W40" s="19"/>
      <c r="Y40" s="19"/>
      <c r="AZ40" s="19"/>
    </row>
    <row r="41" spans="1:52" x14ac:dyDescent="0.25">
      <c r="K41" s="19"/>
      <c r="L41" s="19"/>
      <c r="M41" s="19"/>
      <c r="N41" s="19"/>
      <c r="O41" s="19"/>
      <c r="Q41" s="19"/>
      <c r="R41" s="19"/>
      <c r="S41" s="19"/>
      <c r="T41" s="19"/>
      <c r="U41" s="19"/>
      <c r="V41" s="19"/>
      <c r="W41" s="19"/>
      <c r="Y41" s="19"/>
      <c r="AZ41" s="19"/>
    </row>
    <row r="42" spans="1:52" x14ac:dyDescent="0.25">
      <c r="K42" s="19"/>
      <c r="L42" s="19"/>
      <c r="M42" s="19"/>
      <c r="N42" s="19"/>
      <c r="O42" s="19"/>
      <c r="Q42" s="19"/>
      <c r="R42" s="19"/>
      <c r="S42" s="19"/>
      <c r="T42" s="19"/>
      <c r="U42" s="19"/>
      <c r="V42" s="19"/>
      <c r="W42" s="19"/>
      <c r="Y42" s="19"/>
      <c r="AZ42" s="19"/>
    </row>
    <row r="43" spans="1:52" x14ac:dyDescent="0.25">
      <c r="K43" s="19"/>
      <c r="L43" s="19"/>
      <c r="M43" s="19"/>
      <c r="N43" s="19"/>
      <c r="O43" s="19"/>
      <c r="Q43" s="19"/>
      <c r="R43" s="19"/>
      <c r="S43" s="19"/>
      <c r="T43" s="19"/>
      <c r="U43" s="19"/>
      <c r="V43" s="19"/>
      <c r="W43" s="19"/>
      <c r="Y43" s="19"/>
      <c r="AZ43" s="19"/>
    </row>
    <row r="44" spans="1:52" x14ac:dyDescent="0.25">
      <c r="K44" s="19"/>
      <c r="L44" s="19"/>
      <c r="M44" s="19"/>
      <c r="N44" s="19"/>
      <c r="O44" s="19"/>
      <c r="Q44" s="19"/>
      <c r="R44" s="19"/>
      <c r="S44" s="19"/>
      <c r="T44" s="19"/>
      <c r="U44" s="19"/>
      <c r="V44" s="19"/>
      <c r="W44" s="19"/>
      <c r="Y44" s="19"/>
      <c r="AZ44" s="19"/>
    </row>
    <row r="45" spans="1:52" x14ac:dyDescent="0.25">
      <c r="K45" s="19"/>
      <c r="L45" s="19"/>
      <c r="M45" s="19"/>
      <c r="N45" s="19"/>
      <c r="O45" s="19"/>
      <c r="Q45" s="19"/>
      <c r="R45" s="19"/>
      <c r="S45" s="19"/>
      <c r="T45" s="19"/>
      <c r="U45" s="19"/>
      <c r="V45" s="19"/>
      <c r="W45" s="19"/>
      <c r="Y45" s="19"/>
      <c r="AZ45" s="19"/>
    </row>
    <row r="46" spans="1:52" x14ac:dyDescent="0.25">
      <c r="K46" s="19"/>
      <c r="L46" s="19"/>
      <c r="M46" s="19"/>
      <c r="N46" s="19"/>
      <c r="O46" s="19"/>
      <c r="Q46" s="19"/>
      <c r="R46" s="19"/>
      <c r="S46" s="19"/>
      <c r="T46" s="19"/>
      <c r="U46" s="19"/>
      <c r="V46" s="19"/>
      <c r="W46" s="19"/>
      <c r="Y46" s="19"/>
      <c r="AZ46" s="19"/>
    </row>
    <row r="47" spans="1:52" x14ac:dyDescent="0.25">
      <c r="K47" s="19"/>
      <c r="N47" s="19"/>
      <c r="O47" s="19"/>
      <c r="Q47" s="19"/>
      <c r="R47" s="19"/>
      <c r="S47" s="19"/>
      <c r="T47" s="19"/>
      <c r="U47" s="19"/>
      <c r="V47" s="19"/>
      <c r="W47" s="19"/>
      <c r="Y47" s="19"/>
      <c r="AZ47" s="19"/>
    </row>
    <row r="48" spans="1:52" x14ac:dyDescent="0.25">
      <c r="J48" s="19"/>
      <c r="K48" s="19"/>
      <c r="L48" s="19"/>
      <c r="M48" s="19"/>
      <c r="N48" s="19"/>
      <c r="O48" s="19"/>
      <c r="Q48" s="19"/>
      <c r="R48" s="19"/>
      <c r="S48" s="19"/>
      <c r="T48" s="19"/>
      <c r="U48" s="19"/>
      <c r="V48" s="19"/>
      <c r="W48" s="19"/>
      <c r="Y48" s="19"/>
      <c r="AZ48" s="19"/>
    </row>
    <row r="49" spans="6:52" x14ac:dyDescent="0.25">
      <c r="J49" s="19"/>
      <c r="L49" s="19"/>
      <c r="M49" s="19"/>
    </row>
    <row r="50" spans="6:52" x14ac:dyDescent="0.25">
      <c r="J50" s="19"/>
      <c r="K50" s="19"/>
      <c r="L50" s="19"/>
      <c r="M50" s="19"/>
      <c r="N50" s="19"/>
      <c r="O50" s="19"/>
      <c r="Q50" s="19"/>
      <c r="R50" s="19"/>
      <c r="S50" s="19"/>
      <c r="T50" s="19"/>
      <c r="U50" s="19"/>
      <c r="V50" s="19"/>
      <c r="W50" s="19"/>
      <c r="Y50" s="19"/>
      <c r="AZ50" s="19"/>
    </row>
    <row r="51" spans="6:52" x14ac:dyDescent="0.25">
      <c r="F51" s="19"/>
      <c r="J51" s="19"/>
      <c r="K51" s="19"/>
      <c r="L51" s="19"/>
      <c r="M51" s="19"/>
      <c r="N51" s="19"/>
      <c r="O51" s="19"/>
      <c r="Q51" s="19"/>
      <c r="R51" s="19"/>
      <c r="S51" s="19"/>
      <c r="T51" s="19"/>
      <c r="U51" s="19"/>
      <c r="V51" s="19"/>
      <c r="W51" s="19"/>
      <c r="Y51" s="19"/>
      <c r="AZ51" s="19"/>
    </row>
    <row r="52" spans="6:52" x14ac:dyDescent="0.25">
      <c r="F52" s="19"/>
      <c r="J52" s="19"/>
      <c r="K52" s="19"/>
      <c r="L52" s="19"/>
      <c r="M52" s="19"/>
      <c r="N52" s="19"/>
      <c r="O52" s="19"/>
      <c r="Q52" s="19"/>
      <c r="R52" s="19"/>
      <c r="S52" s="19"/>
      <c r="T52" s="19"/>
      <c r="U52" s="19"/>
      <c r="V52" s="19"/>
      <c r="W52" s="19"/>
      <c r="Y52" s="19"/>
      <c r="AZ52" s="19"/>
    </row>
    <row r="53" spans="6:52" x14ac:dyDescent="0.25">
      <c r="F53" s="19"/>
      <c r="J53" s="19"/>
      <c r="K53" s="19"/>
      <c r="L53" s="19"/>
      <c r="M53" s="19"/>
      <c r="N53" s="19"/>
      <c r="O53" s="19"/>
      <c r="Q53" s="19"/>
      <c r="R53" s="19"/>
      <c r="S53" s="19"/>
      <c r="T53" s="19"/>
      <c r="U53" s="19"/>
      <c r="V53" s="19"/>
      <c r="W53" s="19"/>
      <c r="Y53" s="19"/>
      <c r="AZ53" s="19"/>
    </row>
    <row r="54" spans="6:52" x14ac:dyDescent="0.25">
      <c r="F54" s="19"/>
      <c r="J54" s="19"/>
      <c r="K54" s="19"/>
      <c r="L54" s="19"/>
      <c r="M54" s="19"/>
      <c r="N54" s="19"/>
      <c r="O54" s="19"/>
      <c r="Q54" s="19"/>
      <c r="R54" s="19"/>
      <c r="S54" s="19"/>
      <c r="T54" s="19"/>
      <c r="U54" s="19"/>
      <c r="V54" s="19"/>
      <c r="W54" s="19"/>
      <c r="Y54" s="19"/>
      <c r="AZ54" s="19"/>
    </row>
    <row r="55" spans="6:52" x14ac:dyDescent="0.25">
      <c r="F55" s="19"/>
      <c r="J55" s="19"/>
      <c r="K55" s="19"/>
      <c r="L55" s="19"/>
      <c r="M55" s="19"/>
      <c r="N55" s="19"/>
      <c r="O55" s="19"/>
      <c r="Q55" s="19"/>
      <c r="R55" s="19"/>
      <c r="S55" s="19"/>
      <c r="T55" s="19"/>
      <c r="U55" s="19"/>
      <c r="V55" s="19"/>
      <c r="W55" s="19"/>
      <c r="Y55" s="19"/>
      <c r="AZ55" s="19"/>
    </row>
    <row r="56" spans="6:52" x14ac:dyDescent="0.25">
      <c r="F56" s="19"/>
      <c r="J56" s="19"/>
      <c r="K56" s="19"/>
      <c r="L56" s="19"/>
      <c r="M56" s="19"/>
      <c r="N56" s="19"/>
      <c r="O56" s="19"/>
      <c r="Q56" s="19"/>
      <c r="R56" s="19"/>
      <c r="S56" s="19"/>
      <c r="T56" s="19"/>
      <c r="U56" s="19"/>
      <c r="V56" s="19"/>
      <c r="W56" s="19"/>
      <c r="Y56" s="19"/>
      <c r="AZ56" s="19"/>
    </row>
    <row r="57" spans="6:52" x14ac:dyDescent="0.25">
      <c r="F57" s="19"/>
      <c r="J57" s="19"/>
      <c r="K57" s="19"/>
      <c r="L57" s="19"/>
      <c r="M57" s="19"/>
      <c r="N57" s="19"/>
      <c r="O57" s="19"/>
      <c r="Q57" s="19"/>
      <c r="R57" s="19"/>
      <c r="S57" s="19"/>
      <c r="T57" s="19"/>
      <c r="U57" s="19"/>
      <c r="V57" s="19"/>
      <c r="W57" s="19"/>
      <c r="Y57" s="19"/>
      <c r="AZ57" s="19"/>
    </row>
    <row r="58" spans="6:52" x14ac:dyDescent="0.25">
      <c r="F58" s="19"/>
      <c r="J58" s="19"/>
      <c r="K58" s="19"/>
      <c r="L58" s="19"/>
      <c r="M58" s="19"/>
      <c r="N58" s="19"/>
      <c r="O58" s="19"/>
      <c r="Q58" s="19"/>
      <c r="R58" s="19"/>
      <c r="S58" s="19"/>
      <c r="T58" s="19"/>
      <c r="U58" s="19"/>
      <c r="V58" s="19"/>
      <c r="W58" s="19"/>
      <c r="Y58" s="19"/>
      <c r="AZ58" s="19"/>
    </row>
    <row r="59" spans="6:52" x14ac:dyDescent="0.25">
      <c r="F59" s="19"/>
      <c r="J59" s="19"/>
      <c r="K59" s="19"/>
      <c r="L59" s="19"/>
      <c r="M59" s="19"/>
      <c r="N59" s="19"/>
      <c r="O59" s="19"/>
      <c r="Q59" s="19"/>
      <c r="R59" s="19"/>
      <c r="S59" s="19"/>
      <c r="T59" s="19"/>
      <c r="U59" s="19"/>
      <c r="V59" s="19"/>
      <c r="W59" s="19"/>
      <c r="Y59" s="19"/>
      <c r="AZ59" s="19"/>
    </row>
    <row r="60" spans="6:52" x14ac:dyDescent="0.25">
      <c r="F60" s="19"/>
      <c r="J60" s="19"/>
      <c r="K60" s="19"/>
      <c r="L60" s="19"/>
      <c r="M60" s="19"/>
      <c r="N60" s="19"/>
      <c r="O60" s="19"/>
      <c r="Q60" s="19"/>
      <c r="R60" s="19"/>
      <c r="S60" s="19"/>
      <c r="T60" s="19"/>
      <c r="U60" s="19"/>
      <c r="V60" s="19"/>
      <c r="W60" s="19"/>
      <c r="Y60" s="19"/>
      <c r="AZ60" s="19"/>
    </row>
    <row r="61" spans="6:52" x14ac:dyDescent="0.25">
      <c r="F61" s="19"/>
      <c r="J61" s="19"/>
      <c r="K61" s="19"/>
      <c r="L61" s="19"/>
      <c r="M61" s="19"/>
      <c r="N61" s="19"/>
      <c r="O61" s="19"/>
      <c r="Q61" s="19"/>
      <c r="R61" s="19"/>
      <c r="S61" s="19"/>
      <c r="T61" s="19"/>
      <c r="U61" s="19"/>
      <c r="V61" s="19"/>
      <c r="W61" s="19"/>
      <c r="Y61" s="19"/>
      <c r="AZ61" s="19"/>
    </row>
    <row r="62" spans="6:52" x14ac:dyDescent="0.25">
      <c r="F62" s="19"/>
      <c r="J62" s="19"/>
      <c r="K62" s="19"/>
      <c r="L62" s="19"/>
      <c r="M62" s="19"/>
      <c r="N62" s="19"/>
      <c r="O62" s="19"/>
      <c r="Q62" s="19"/>
      <c r="R62" s="19"/>
      <c r="S62" s="19"/>
      <c r="T62" s="19"/>
      <c r="U62" s="19"/>
      <c r="V62" s="19"/>
      <c r="W62" s="19"/>
      <c r="Y62" s="19"/>
      <c r="AZ62" s="19"/>
    </row>
    <row r="63" spans="6:52" x14ac:dyDescent="0.25">
      <c r="F63" s="19"/>
      <c r="J63" s="19"/>
      <c r="K63" s="19"/>
      <c r="L63" s="19"/>
      <c r="M63" s="19"/>
      <c r="N63" s="19"/>
      <c r="O63" s="19"/>
      <c r="Q63" s="19"/>
      <c r="R63" s="19"/>
      <c r="S63" s="19"/>
      <c r="T63" s="19"/>
      <c r="U63" s="19"/>
      <c r="V63" s="19"/>
      <c r="W63" s="19"/>
      <c r="Y63" s="19"/>
      <c r="AZ63" s="19"/>
    </row>
    <row r="64" spans="6:52" x14ac:dyDescent="0.25">
      <c r="F64" s="19"/>
      <c r="J64" s="19"/>
      <c r="K64" s="19"/>
      <c r="L64" s="19"/>
      <c r="M64" s="19"/>
      <c r="N64" s="19"/>
      <c r="O64" s="19"/>
      <c r="Q64" s="19"/>
      <c r="R64" s="19"/>
      <c r="S64" s="19"/>
      <c r="T64" s="19"/>
      <c r="U64" s="19"/>
      <c r="V64" s="19"/>
      <c r="W64" s="19"/>
      <c r="Y64" s="19"/>
      <c r="AZ64" s="19"/>
    </row>
    <row r="65" spans="6:52" x14ac:dyDescent="0.25">
      <c r="F65" s="19"/>
      <c r="J65" s="19"/>
      <c r="K65" s="19"/>
      <c r="L65" s="19"/>
      <c r="M65" s="19"/>
      <c r="N65" s="19"/>
      <c r="O65" s="19"/>
      <c r="Q65" s="19"/>
      <c r="R65" s="19"/>
      <c r="S65" s="19"/>
      <c r="T65" s="19"/>
      <c r="U65" s="19"/>
      <c r="V65" s="19"/>
      <c r="W65" s="19"/>
      <c r="Y65" s="19"/>
      <c r="AZ65" s="19"/>
    </row>
    <row r="66" spans="6:52" x14ac:dyDescent="0.25">
      <c r="F66" s="19"/>
      <c r="J66" s="19"/>
      <c r="K66" s="19"/>
      <c r="L66" s="19"/>
      <c r="M66" s="19"/>
      <c r="N66" s="19"/>
      <c r="O66" s="19"/>
      <c r="Q66" s="19"/>
      <c r="R66" s="19"/>
      <c r="S66" s="19"/>
      <c r="T66" s="19"/>
      <c r="U66" s="19"/>
      <c r="V66" s="19"/>
      <c r="W66" s="19"/>
      <c r="Y66" s="19"/>
      <c r="AZ66" s="19"/>
    </row>
    <row r="67" spans="6:52" x14ac:dyDescent="0.25">
      <c r="F67" s="19"/>
      <c r="J67" s="19"/>
      <c r="K67" s="19"/>
      <c r="L67" s="19"/>
      <c r="M67" s="19"/>
      <c r="N67" s="19"/>
      <c r="O67" s="19"/>
      <c r="Q67" s="19"/>
      <c r="R67" s="19"/>
      <c r="S67" s="19"/>
      <c r="T67" s="19"/>
      <c r="U67" s="19"/>
      <c r="V67" s="19"/>
      <c r="W67" s="19"/>
      <c r="Y67" s="19"/>
      <c r="AZ67" s="19"/>
    </row>
    <row r="68" spans="6:52" x14ac:dyDescent="0.25">
      <c r="F68" s="19"/>
      <c r="J68" s="19"/>
      <c r="K68" s="19"/>
      <c r="L68" s="19"/>
      <c r="M68" s="19"/>
      <c r="N68" s="19"/>
      <c r="O68" s="19"/>
      <c r="Q68" s="19"/>
      <c r="R68" s="19"/>
      <c r="S68" s="19"/>
      <c r="T68" s="19"/>
      <c r="U68" s="19"/>
      <c r="V68" s="19"/>
      <c r="W68" s="19"/>
      <c r="Y68" s="19"/>
      <c r="AZ68" s="19"/>
    </row>
    <row r="69" spans="6:52" x14ac:dyDescent="0.25">
      <c r="F69" s="19"/>
      <c r="K69" s="19"/>
      <c r="L69" s="19"/>
      <c r="M69" s="19"/>
      <c r="N69" s="19"/>
      <c r="O69" s="19"/>
      <c r="Q69" s="19"/>
      <c r="R69" s="19"/>
      <c r="S69" s="19"/>
      <c r="T69" s="19"/>
      <c r="U69" s="19"/>
      <c r="V69" s="19"/>
      <c r="W69" s="19"/>
      <c r="Y69" s="19"/>
      <c r="AZ69" s="19"/>
    </row>
    <row r="70" spans="6:52" x14ac:dyDescent="0.25">
      <c r="K70" s="19"/>
      <c r="L70" s="19"/>
      <c r="M70" s="19"/>
      <c r="N70" s="19"/>
      <c r="O70" s="19"/>
      <c r="Q70" s="19"/>
      <c r="R70" s="19"/>
      <c r="S70" s="19"/>
      <c r="T70" s="19"/>
      <c r="U70" s="19"/>
      <c r="V70" s="19"/>
      <c r="W70" s="19"/>
      <c r="Y70" s="19"/>
      <c r="AZ70" s="19"/>
    </row>
    <row r="71" spans="6:52" x14ac:dyDescent="0.25">
      <c r="K71" s="19"/>
      <c r="L71" s="19"/>
      <c r="M71" s="19"/>
      <c r="N71" s="19"/>
      <c r="O71" s="19"/>
      <c r="Q71" s="19"/>
      <c r="R71" s="19"/>
      <c r="S71" s="19"/>
      <c r="T71" s="19"/>
      <c r="U71" s="19"/>
      <c r="V71" s="19"/>
      <c r="W71" s="19"/>
      <c r="Y71" s="19"/>
      <c r="AZ71" s="19"/>
    </row>
    <row r="72" spans="6:52" x14ac:dyDescent="0.25">
      <c r="K72" s="19"/>
      <c r="L72" s="19"/>
      <c r="M72" s="19"/>
      <c r="N72" s="19"/>
      <c r="O72" s="19"/>
      <c r="Q72" s="19"/>
      <c r="R72" s="19"/>
      <c r="S72" s="19"/>
      <c r="T72" s="19"/>
      <c r="U72" s="19"/>
      <c r="V72" s="19"/>
      <c r="W72" s="19"/>
      <c r="Y72" s="19"/>
      <c r="AZ72" s="19"/>
    </row>
    <row r="73" spans="6:52" x14ac:dyDescent="0.25">
      <c r="K73" s="19"/>
      <c r="L73" s="19"/>
      <c r="M73" s="19"/>
      <c r="N73" s="19"/>
      <c r="O73" s="19"/>
      <c r="Q73" s="19"/>
      <c r="R73" s="19"/>
      <c r="S73" s="19"/>
      <c r="T73" s="19"/>
      <c r="U73" s="19"/>
      <c r="V73" s="19"/>
      <c r="W73" s="19"/>
      <c r="Y73" s="19"/>
      <c r="AZ73" s="19"/>
    </row>
    <row r="74" spans="6:52" x14ac:dyDescent="0.25">
      <c r="K74" s="19"/>
      <c r="L74" s="19"/>
      <c r="M74" s="19"/>
      <c r="N74" s="19"/>
      <c r="O74" s="19"/>
      <c r="Q74" s="19"/>
      <c r="R74" s="19"/>
      <c r="S74" s="19"/>
      <c r="T74" s="19"/>
      <c r="U74" s="19"/>
      <c r="V74" s="19"/>
      <c r="W74" s="19"/>
      <c r="Y74" s="19"/>
      <c r="AZ74" s="19"/>
    </row>
    <row r="75" spans="6:52" x14ac:dyDescent="0.25">
      <c r="K75" s="19"/>
      <c r="L75" s="19"/>
      <c r="M75" s="19"/>
      <c r="N75" s="19"/>
      <c r="O75" s="19"/>
      <c r="Q75" s="19"/>
      <c r="R75" s="19"/>
      <c r="S75" s="19"/>
      <c r="T75" s="19"/>
      <c r="U75" s="19"/>
      <c r="V75" s="19"/>
      <c r="W75" s="19"/>
      <c r="Y75" s="19"/>
      <c r="AZ75" s="19"/>
    </row>
    <row r="76" spans="6:52" x14ac:dyDescent="0.25">
      <c r="K76" s="19"/>
      <c r="N76" s="19"/>
      <c r="O76" s="19"/>
      <c r="Q76" s="19"/>
      <c r="R76" s="19"/>
      <c r="S76" s="19"/>
      <c r="T76" s="19"/>
      <c r="U76" s="19"/>
      <c r="V76" s="19"/>
      <c r="W76" s="19"/>
      <c r="Y76" s="19"/>
      <c r="AZ76" s="19"/>
    </row>
    <row r="77" spans="6:52" x14ac:dyDescent="0.25">
      <c r="K77" s="19"/>
      <c r="N77" s="19"/>
      <c r="O77" s="19"/>
      <c r="Q77" s="19"/>
      <c r="R77" s="19"/>
      <c r="S77" s="19"/>
      <c r="T77" s="19"/>
      <c r="U77" s="19"/>
      <c r="V77" s="19"/>
      <c r="W77" s="19"/>
      <c r="Y77" s="19"/>
      <c r="AZ77" s="19"/>
    </row>
    <row r="78" spans="6:52" x14ac:dyDescent="0.25">
      <c r="Q78" s="19"/>
      <c r="R78" s="19"/>
      <c r="S78" s="19"/>
      <c r="T78" s="19"/>
      <c r="U78" s="19"/>
      <c r="V78" s="19"/>
      <c r="W78" s="19"/>
      <c r="Y78" s="19"/>
      <c r="AZ78" s="19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389" priority="14" operator="containsText" text="Précompte">
      <formula>NOT(ISERROR(SEARCH("Précompte",O31)))</formula>
    </cfRule>
    <cfRule type="containsText" dxfId="388" priority="15" operator="containsText" text="Linéaire">
      <formula>NOT(ISERROR(SEARCH("Linéaire",O31)))</formula>
    </cfRule>
  </conditionalFormatting>
  <conditionalFormatting sqref="F7:N7 K14:K22">
    <cfRule type="containsErrors" dxfId="387" priority="13">
      <formula>ISERROR(F7)</formula>
    </cfRule>
  </conditionalFormatting>
  <conditionalFormatting sqref="F8 F6:N6 I8:N8 I22:I24 J14:K24">
    <cfRule type="cellIs" dxfId="386" priority="12" operator="equal">
      <formula>0</formula>
    </cfRule>
  </conditionalFormatting>
  <conditionalFormatting sqref="K23">
    <cfRule type="containsErrors" dxfId="385" priority="11">
      <formula>ISERROR(K23)</formula>
    </cfRule>
  </conditionalFormatting>
  <conditionalFormatting sqref="K24">
    <cfRule type="containsErrors" dxfId="384" priority="10">
      <formula>ISERROR(K24)</formula>
    </cfRule>
  </conditionalFormatting>
  <conditionalFormatting sqref="K22:K24">
    <cfRule type="containsText" dxfId="383" priority="8" operator="containsText" text="Précompte">
      <formula>NOT(ISERROR(SEARCH("Précompte",K22)))</formula>
    </cfRule>
    <cfRule type="containsText" dxfId="382" priority="9" operator="containsText" text="Linéaire">
      <formula>NOT(ISERROR(SEARCH("Linéaire",K22)))</formula>
    </cfRule>
  </conditionalFormatting>
  <conditionalFormatting sqref="F9 I9:N9">
    <cfRule type="containsErrors" dxfId="381" priority="7">
      <formula>ISERROR(F9)</formula>
    </cfRule>
  </conditionalFormatting>
  <conditionalFormatting sqref="G9">
    <cfRule type="containsErrors" dxfId="380" priority="6">
      <formula>ISERROR(G9)</formula>
    </cfRule>
  </conditionalFormatting>
  <conditionalFormatting sqref="G8">
    <cfRule type="cellIs" dxfId="379" priority="5" stopIfTrue="1" operator="equal">
      <formula>0</formula>
    </cfRule>
  </conditionalFormatting>
  <conditionalFormatting sqref="J7 J9">
    <cfRule type="expression" dxfId="378" priority="16">
      <formula>$J6=0</formula>
    </cfRule>
  </conditionalFormatting>
  <conditionalFormatting sqref="I7 I9:N9">
    <cfRule type="expression" dxfId="377" priority="17">
      <formula>$I6=0</formula>
    </cfRule>
  </conditionalFormatting>
  <conditionalFormatting sqref="H7">
    <cfRule type="expression" dxfId="376" priority="18">
      <formula>$H6=0</formula>
    </cfRule>
  </conditionalFormatting>
  <conditionalFormatting sqref="G7 G9">
    <cfRule type="expression" dxfId="375" priority="19">
      <formula>$G6=0</formula>
    </cfRule>
  </conditionalFormatting>
  <conditionalFormatting sqref="F7 F9">
    <cfRule type="expression" dxfId="374" priority="20">
      <formula>$F6=0</formula>
    </cfRule>
  </conditionalFormatting>
  <conditionalFormatting sqref="J25">
    <cfRule type="cellIs" dxfId="373" priority="4" operator="equal">
      <formula>0</formula>
    </cfRule>
  </conditionalFormatting>
  <conditionalFormatting sqref="K25">
    <cfRule type="containsErrors" dxfId="372" priority="21">
      <formula>ISERROR(K25)</formula>
    </cfRule>
  </conditionalFormatting>
  <conditionalFormatting sqref="K25">
    <cfRule type="cellIs" dxfId="371" priority="3" operator="equal">
      <formula>0</formula>
    </cfRule>
  </conditionalFormatting>
  <conditionalFormatting sqref="P2">
    <cfRule type="containsText" dxfId="370" priority="1" operator="containsText" text="Précompte">
      <formula>NOT(ISERROR(SEARCH("Précompte",P2)))</formula>
    </cfRule>
    <cfRule type="containsText" dxfId="369" priority="2" operator="containsText" text="Linéaire">
      <formula>NOT(ISERROR(SEARCH("Linéaire",P2)))</formula>
    </cfRule>
  </conditionalFormatting>
  <conditionalFormatting sqref="N7 N9">
    <cfRule type="expression" dxfId="368" priority="22">
      <formula>$N6=0</formula>
    </cfRule>
  </conditionalFormatting>
  <conditionalFormatting sqref="M7 M9">
    <cfRule type="expression" dxfId="367" priority="23">
      <formula>$M6=0</formula>
    </cfRule>
  </conditionalFormatting>
  <conditionalFormatting sqref="L7 L9">
    <cfRule type="expression" dxfId="366" priority="24">
      <formula>$L6=0</formula>
    </cfRule>
  </conditionalFormatting>
  <conditionalFormatting sqref="K7 K9">
    <cfRule type="expression" dxfId="36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CG78"/>
  <sheetViews>
    <sheetView zoomScale="80" zoomScaleNormal="80" workbookViewId="0">
      <selection activeCell="D11" sqref="D11"/>
    </sheetView>
  </sheetViews>
  <sheetFormatPr baseColWidth="10" defaultColWidth="9.140625" defaultRowHeight="15.75" x14ac:dyDescent="0.25"/>
  <cols>
    <col min="1" max="1" width="18" style="176" bestFit="1" customWidth="1"/>
    <col min="2" max="2" width="22.42578125" style="176" bestFit="1" customWidth="1"/>
    <col min="3" max="3" width="11" style="176" bestFit="1" customWidth="1"/>
    <col min="4" max="4" width="8.5703125" style="176" bestFit="1" customWidth="1"/>
    <col min="5" max="5" width="15.5703125" style="176" bestFit="1" customWidth="1"/>
    <col min="6" max="6" width="15.85546875" style="184" bestFit="1" customWidth="1"/>
    <col min="7" max="7" width="12.7109375" style="176" bestFit="1" customWidth="1"/>
    <col min="8" max="8" width="11.28515625" style="176" bestFit="1" customWidth="1"/>
    <col min="9" max="9" width="16.42578125" style="176" bestFit="1" customWidth="1"/>
    <col min="10" max="10" width="10.85546875" style="177" bestFit="1" customWidth="1"/>
    <col min="11" max="11" width="10.5703125" style="177" bestFit="1" customWidth="1"/>
    <col min="12" max="12" width="8.42578125" style="177" bestFit="1" customWidth="1"/>
    <col min="13" max="13" width="8.5703125" style="177" bestFit="1" customWidth="1"/>
    <col min="14" max="14" width="9.42578125" style="178" bestFit="1" customWidth="1"/>
    <col min="15" max="15" width="8.85546875" style="177" bestFit="1" customWidth="1"/>
    <col min="16" max="16" width="18.7109375" style="176" bestFit="1" customWidth="1"/>
    <col min="17" max="17" width="14.7109375" style="177" customWidth="1"/>
    <col min="18" max="18" width="11.42578125" style="181" bestFit="1" customWidth="1"/>
    <col min="19" max="19" width="16.42578125" style="182" bestFit="1" customWidth="1"/>
    <col min="20" max="20" width="10.28515625" style="183" bestFit="1" customWidth="1"/>
    <col min="21" max="21" width="13.42578125" style="182" bestFit="1" customWidth="1"/>
    <col min="22" max="22" width="19.140625" style="182" bestFit="1" customWidth="1"/>
    <col min="23" max="23" width="11.7109375" style="182" bestFit="1" customWidth="1"/>
    <col min="24" max="24" width="12.7109375" style="182" bestFit="1" customWidth="1"/>
    <col min="25" max="25" width="22.28515625" style="177" bestFit="1" customWidth="1"/>
    <col min="26" max="26" width="10.7109375" style="176" bestFit="1" customWidth="1"/>
    <col min="27" max="27" width="12.42578125" style="176" bestFit="1" customWidth="1"/>
    <col min="28" max="28" width="17.42578125" style="176" bestFit="1" customWidth="1"/>
    <col min="29" max="29" width="20.42578125" style="176" customWidth="1"/>
    <col min="30" max="30" width="35" style="176" bestFit="1" customWidth="1"/>
    <col min="31" max="31" width="21" style="176" bestFit="1" customWidth="1"/>
    <col min="32" max="32" width="10.85546875" style="176" bestFit="1" customWidth="1"/>
    <col min="33" max="33" width="23" style="176" bestFit="1" customWidth="1"/>
    <col min="34" max="34" width="6.140625" style="176" bestFit="1" customWidth="1"/>
    <col min="35" max="35" width="5.7109375" style="176" customWidth="1"/>
    <col min="36" max="36" width="2.28515625" style="176" bestFit="1" customWidth="1"/>
    <col min="37" max="37" width="13.5703125" style="176" bestFit="1" customWidth="1"/>
    <col min="38" max="38" width="15.5703125" style="176" bestFit="1" customWidth="1"/>
    <col min="39" max="39" width="13" style="176" bestFit="1" customWidth="1"/>
    <col min="40" max="40" width="12.140625" style="176" bestFit="1" customWidth="1"/>
    <col min="41" max="41" width="12.85546875" style="176" bestFit="1" customWidth="1"/>
    <col min="42" max="42" width="17.85546875" style="176" bestFit="1" customWidth="1"/>
    <col min="43" max="43" width="9.28515625" style="176" bestFit="1" customWidth="1"/>
    <col min="44" max="44" width="14.140625" style="176" bestFit="1" customWidth="1"/>
    <col min="45" max="45" width="13" style="176" bestFit="1" customWidth="1"/>
    <col min="46" max="46" width="12.140625" style="179" bestFit="1" customWidth="1"/>
    <col min="47" max="47" width="12.85546875" style="176" bestFit="1" customWidth="1"/>
    <col min="48" max="48" width="17.85546875" style="176" bestFit="1" customWidth="1"/>
    <col min="49" max="49" width="14.140625" style="179" bestFit="1" customWidth="1"/>
    <col min="50" max="50" width="8" style="176" bestFit="1" customWidth="1"/>
    <col min="51" max="51" width="13" style="176" bestFit="1" customWidth="1"/>
    <col min="52" max="52" width="32.85546875" style="179" bestFit="1" customWidth="1"/>
    <col min="53" max="53" width="33.140625" style="176" bestFit="1" customWidth="1"/>
    <col min="54" max="54" width="17.7109375" style="176" bestFit="1" customWidth="1"/>
    <col min="55" max="55" width="32.5703125" style="176" bestFit="1" customWidth="1"/>
    <col min="56" max="56" width="21.7109375" style="176" bestFit="1" customWidth="1"/>
    <col min="57" max="57" width="22" style="176" bestFit="1" customWidth="1"/>
    <col min="58" max="58" width="11.85546875" style="176" bestFit="1" customWidth="1"/>
    <col min="59" max="59" width="7.28515625" style="176" customWidth="1"/>
    <col min="60" max="60" width="5.28515625" style="176" bestFit="1" customWidth="1"/>
    <col min="61" max="61" width="10.7109375" style="176" bestFit="1" customWidth="1"/>
    <col min="62" max="62" width="7.28515625" style="176" customWidth="1"/>
    <col min="63" max="63" width="5.28515625" style="176" bestFit="1" customWidth="1"/>
    <col min="64" max="64" width="10.7109375" style="176" customWidth="1"/>
    <col min="65" max="65" width="7.28515625" style="176" customWidth="1"/>
    <col min="66" max="66" width="6.7109375" style="176" bestFit="1" customWidth="1"/>
    <col min="67" max="67" width="10.85546875" style="176" bestFit="1" customWidth="1"/>
    <col min="68" max="68" width="7.28515625" style="176" customWidth="1"/>
    <col min="69" max="69" width="6.7109375" style="176" bestFit="1" customWidth="1"/>
    <col min="70" max="70" width="10.7109375" style="176" customWidth="1"/>
    <col min="71" max="71" width="7.28515625" style="176" customWidth="1"/>
    <col min="72" max="72" width="6.7109375" style="176" bestFit="1" customWidth="1"/>
    <col min="73" max="73" width="10.7109375" style="176" customWidth="1"/>
    <col min="74" max="74" width="7.28515625" style="176" customWidth="1"/>
    <col min="75" max="75" width="8" style="176" bestFit="1" customWidth="1"/>
    <col min="76" max="76" width="10.7109375" style="176" customWidth="1"/>
    <col min="77" max="77" width="7.28515625" style="176" customWidth="1"/>
    <col min="78" max="78" width="6.7109375" style="176" bestFit="1" customWidth="1"/>
    <col min="79" max="79" width="10.7109375" style="176" customWidth="1"/>
    <col min="80" max="80" width="7.28515625" style="176" customWidth="1"/>
    <col min="81" max="81" width="6.42578125" style="176" bestFit="1" customWidth="1"/>
    <col min="82" max="82" width="10.7109375" style="176" customWidth="1"/>
    <col min="83" max="83" width="7.28515625" style="176" customWidth="1"/>
    <col min="84" max="84" width="6.42578125" style="176" bestFit="1" customWidth="1"/>
    <col min="85" max="85" width="8" style="176" bestFit="1" customWidth="1"/>
    <col min="86" max="86" width="10.7109375" style="176" bestFit="1" customWidth="1"/>
    <col min="87" max="87" width="11.42578125" style="176" bestFit="1" customWidth="1"/>
    <col min="88" max="88" width="12.5703125" style="176" bestFit="1" customWidth="1"/>
    <col min="89" max="89" width="8.140625" style="176" bestFit="1" customWidth="1"/>
    <col min="90" max="90" width="10.7109375" style="176" bestFit="1" customWidth="1"/>
    <col min="91" max="91" width="10.5703125" style="176" bestFit="1" customWidth="1"/>
    <col min="92" max="92" width="37.28515625" style="176" customWidth="1"/>
    <col min="93" max="93" width="15.5703125" style="176" customWidth="1"/>
    <col min="94" max="94" width="7.7109375" style="176" bestFit="1" customWidth="1"/>
    <col min="95" max="95" width="9.140625" style="176"/>
    <col min="96" max="96" width="13.140625" style="176" bestFit="1" customWidth="1"/>
    <col min="97" max="97" width="17.140625" style="176" bestFit="1" customWidth="1"/>
    <col min="98" max="98" width="10.140625" style="176" bestFit="1" customWidth="1"/>
    <col min="99" max="99" width="18.28515625" style="176" bestFit="1" customWidth="1"/>
    <col min="100" max="100" width="12.140625" style="176" bestFit="1" customWidth="1"/>
    <col min="101" max="101" width="16.28515625" style="176" bestFit="1" customWidth="1"/>
    <col min="102" max="102" width="18.85546875" style="176" bestFit="1" customWidth="1"/>
    <col min="103" max="103" width="11.7109375" style="176" customWidth="1"/>
    <col min="104" max="104" width="11.5703125" style="176" bestFit="1" customWidth="1"/>
    <col min="105" max="105" width="13" style="176" bestFit="1" customWidth="1"/>
    <col min="106" max="106" width="11.7109375" style="176" bestFit="1" customWidth="1"/>
    <col min="107" max="107" width="10.140625" style="176" bestFit="1" customWidth="1"/>
    <col min="108" max="108" width="24.85546875" style="176" bestFit="1" customWidth="1"/>
    <col min="109" max="109" width="15" style="176" bestFit="1" customWidth="1"/>
    <col min="110" max="110" width="12.85546875" style="176" bestFit="1" customWidth="1"/>
    <col min="111" max="111" width="6.85546875" style="176" customWidth="1"/>
    <col min="112" max="112" width="18.140625" style="176" bestFit="1" customWidth="1"/>
    <col min="113" max="113" width="6" style="176" bestFit="1" customWidth="1"/>
    <col min="114" max="114" width="5.140625" style="176" bestFit="1" customWidth="1"/>
    <col min="115" max="16384" width="9.140625" style="176"/>
  </cols>
  <sheetData>
    <row r="1" spans="1:85" ht="27" thickBot="1" x14ac:dyDescent="0.3">
      <c r="A1" s="59">
        <v>42461</v>
      </c>
      <c r="B1" s="707">
        <f ca="1">TODAY()</f>
        <v>43259</v>
      </c>
      <c r="C1" s="708"/>
      <c r="F1" s="176"/>
      <c r="H1" s="177"/>
      <c r="J1" s="176"/>
      <c r="K1" s="176"/>
      <c r="L1" s="176"/>
      <c r="M1" s="176"/>
      <c r="N1" s="176"/>
      <c r="O1" s="176"/>
      <c r="Q1" s="176"/>
      <c r="R1" s="176"/>
      <c r="S1" s="176"/>
      <c r="T1" s="176"/>
      <c r="U1" s="176"/>
      <c r="V1" s="176"/>
      <c r="W1" s="176"/>
      <c r="X1" s="176"/>
      <c r="Y1" s="176"/>
      <c r="AT1" s="176"/>
      <c r="AW1" s="176"/>
      <c r="AZ1" s="176"/>
    </row>
    <row r="2" spans="1:85" s="180" customFormat="1" ht="21.75" thickBot="1" x14ac:dyDescent="0.3">
      <c r="A2" s="421"/>
      <c r="E2" s="198" t="s">
        <v>1127</v>
      </c>
      <c r="F2" s="199">
        <f>SUM('1805 Data:1801 Data'!F2)</f>
        <v>11858.9753</v>
      </c>
      <c r="G2" s="200" t="s">
        <v>1128</v>
      </c>
      <c r="H2" s="156">
        <f>SUM('1805 Data:1801 Data'!H2)</f>
        <v>8638.6133863011764</v>
      </c>
      <c r="I2" s="201" t="s">
        <v>29</v>
      </c>
      <c r="J2" s="202">
        <f>F2-H2</f>
        <v>3220.3619136988236</v>
      </c>
      <c r="K2" s="203">
        <f>IF(F2&gt;0,(1-SUM(H2/F2)),0)</f>
        <v>0.27155482090419936</v>
      </c>
      <c r="L2" s="186"/>
      <c r="M2" s="186"/>
      <c r="N2" s="185"/>
      <c r="AT2" s="190"/>
      <c r="AW2" s="190"/>
    </row>
    <row r="3" spans="1:85" ht="31.5" x14ac:dyDescent="0.25">
      <c r="A3" s="386" t="s">
        <v>1121</v>
      </c>
      <c r="B3" s="192">
        <f>SUM('1805 Data:1801 Data'!B3)</f>
        <v>8638.6133863011764</v>
      </c>
      <c r="C3" s="383">
        <f>SUM(TotalPrimes+B4+B5)</f>
        <v>9009.7365101631767</v>
      </c>
      <c r="E3" s="204" t="s">
        <v>491</v>
      </c>
      <c r="F3" s="205" t="s">
        <v>33</v>
      </c>
      <c r="G3" s="206" t="s">
        <v>489</v>
      </c>
      <c r="H3" s="206" t="s">
        <v>496</v>
      </c>
      <c r="I3" s="205" t="s">
        <v>43</v>
      </c>
      <c r="J3" s="205" t="s">
        <v>12</v>
      </c>
      <c r="K3" s="205" t="s">
        <v>17</v>
      </c>
      <c r="L3" s="205" t="s">
        <v>64</v>
      </c>
      <c r="M3" s="205" t="s">
        <v>22</v>
      </c>
      <c r="N3" s="207" t="s">
        <v>65</v>
      </c>
      <c r="O3" s="176"/>
      <c r="Q3" s="176"/>
      <c r="R3" s="176"/>
      <c r="S3" s="176"/>
      <c r="T3" s="176"/>
      <c r="U3" s="176"/>
      <c r="V3" s="176"/>
      <c r="W3" s="176"/>
      <c r="X3" s="176"/>
      <c r="Y3" s="176"/>
      <c r="AT3" s="176"/>
      <c r="AW3" s="176"/>
      <c r="AZ3" s="176"/>
    </row>
    <row r="4" spans="1:85" ht="15.75" customHeight="1" x14ac:dyDescent="0.25">
      <c r="A4" s="97" t="s">
        <v>508</v>
      </c>
      <c r="B4" s="193">
        <f>SUM('1805 Data:1801 Data'!B4)</f>
        <v>129.57999999999998</v>
      </c>
      <c r="C4" s="409"/>
      <c r="E4" s="762" t="s">
        <v>29</v>
      </c>
      <c r="F4" s="191">
        <v>0.11</v>
      </c>
      <c r="G4" s="191">
        <v>0.115</v>
      </c>
      <c r="H4" s="191">
        <v>5.3400000000000003E-2</v>
      </c>
      <c r="I4" s="191">
        <v>0.14599999999999999</v>
      </c>
      <c r="J4" s="191">
        <v>0.104</v>
      </c>
      <c r="K4" s="191">
        <v>5.6000000000000001E-2</v>
      </c>
      <c r="L4" s="191">
        <v>0.11840000000000001</v>
      </c>
      <c r="M4" s="191">
        <v>0.11840000000000001</v>
      </c>
      <c r="N4" s="208">
        <v>0.11840000000000001</v>
      </c>
      <c r="O4" s="176"/>
      <c r="Q4" s="176"/>
      <c r="R4" s="176"/>
      <c r="S4" s="176"/>
      <c r="T4" s="176"/>
      <c r="U4" s="176"/>
      <c r="V4" s="176"/>
      <c r="W4" s="176"/>
      <c r="X4" s="176"/>
      <c r="Y4" s="176"/>
      <c r="AT4" s="176"/>
      <c r="AW4" s="176"/>
      <c r="AZ4" s="176"/>
    </row>
    <row r="5" spans="1:85" ht="16.5" customHeight="1" thickBot="1" x14ac:dyDescent="0.3">
      <c r="A5" s="413" t="s">
        <v>14</v>
      </c>
      <c r="B5" s="414">
        <f>SUM('1805 Data:1801 Data'!B5)</f>
        <v>241.54312386200002</v>
      </c>
      <c r="C5" s="415"/>
      <c r="E5" s="709"/>
      <c r="F5" s="400">
        <v>0</v>
      </c>
      <c r="G5" s="400">
        <v>30</v>
      </c>
      <c r="H5" s="400">
        <v>14.16</v>
      </c>
      <c r="I5" s="400">
        <v>0</v>
      </c>
      <c r="J5" s="400">
        <v>0</v>
      </c>
      <c r="K5" s="400">
        <v>0</v>
      </c>
      <c r="L5" s="400">
        <v>0</v>
      </c>
      <c r="M5" s="400">
        <v>0</v>
      </c>
      <c r="N5" s="401">
        <v>0</v>
      </c>
      <c r="O5" s="176"/>
      <c r="Q5" s="176"/>
      <c r="R5" s="176"/>
      <c r="S5" s="176"/>
      <c r="T5" s="176"/>
      <c r="U5" s="176"/>
      <c r="V5" s="176"/>
      <c r="W5" s="176"/>
      <c r="X5" s="176"/>
      <c r="Y5" s="176"/>
      <c r="AT5" s="176"/>
      <c r="AW5" s="176"/>
      <c r="AZ5" s="176"/>
    </row>
    <row r="6" spans="1:85" ht="19.5" thickBot="1" x14ac:dyDescent="0.3">
      <c r="A6" s="106" t="s">
        <v>498</v>
      </c>
      <c r="B6" s="422">
        <v>12</v>
      </c>
      <c r="C6" s="423">
        <f>SUM('1805 Data:1801 Data'!C6)</f>
        <v>-2589</v>
      </c>
      <c r="E6" s="402" t="s">
        <v>1120</v>
      </c>
      <c r="F6" s="404">
        <f>SUM('1805 Data:1801 Data'!F6)</f>
        <v>26546.400000000001</v>
      </c>
      <c r="G6" s="209">
        <f>SUM('1805 Data:1801 Data'!G6)</f>
        <v>2326.44</v>
      </c>
      <c r="H6" s="209">
        <f>SUM('1805 Data:1801 Data'!H6)</f>
        <v>843.60000000000014</v>
      </c>
      <c r="I6" s="209">
        <f>SUM('1805 Data:1801 Data'!I6)</f>
        <v>4175.6400000000003</v>
      </c>
      <c r="J6" s="209">
        <f>SUM('1805 Data:1801 Data'!J6)</f>
        <v>3159.36</v>
      </c>
      <c r="K6" s="209">
        <f>SUM('1805 Data:1801 Data'!K6)</f>
        <v>13230</v>
      </c>
      <c r="L6" s="209">
        <f>SUM('1805 Data:1801 Data'!L6)</f>
        <v>552.36</v>
      </c>
      <c r="M6" s="209">
        <f>SUM('1805 Data:1801 Data'!M6)</f>
        <v>1040.4000000000001</v>
      </c>
      <c r="N6" s="210">
        <f>SUM('1805 Data:1801 Data'!N6)</f>
        <v>0</v>
      </c>
      <c r="O6" s="176"/>
      <c r="Q6" s="176"/>
      <c r="R6" s="176"/>
      <c r="S6" s="176"/>
      <c r="T6" s="176"/>
      <c r="U6" s="176"/>
      <c r="V6" s="176"/>
      <c r="W6" s="176"/>
      <c r="X6" s="176"/>
      <c r="Y6" s="176"/>
      <c r="AT6" s="176"/>
      <c r="AW6" s="176"/>
      <c r="AZ6" s="176"/>
    </row>
    <row r="7" spans="1:85" s="180" customFormat="1" ht="21.75" thickBot="1" x14ac:dyDescent="0.3">
      <c r="A7" s="420" t="s">
        <v>484</v>
      </c>
      <c r="B7" s="417" t="s">
        <v>501</v>
      </c>
      <c r="C7" s="418">
        <f>SUM('1805 Data:1801 Data'!C7)</f>
        <v>6420.7365101631758</v>
      </c>
      <c r="E7" s="403">
        <f>'1801 Data'!E7+'1802 Data'!E7+'1805 Data'!E7+'1805 Data'!E7+'1805 Data'!E7</f>
        <v>37824.600000000006</v>
      </c>
      <c r="F7" s="424">
        <f t="shared" ref="F7:N7" si="0">F6/TotalCA</f>
        <v>0.70182896844910447</v>
      </c>
      <c r="G7" s="65">
        <f t="shared" si="0"/>
        <v>6.1506004029123894E-2</v>
      </c>
      <c r="H7" s="65">
        <f t="shared" si="0"/>
        <v>2.230294570200346E-2</v>
      </c>
      <c r="I7" s="65">
        <f t="shared" si="0"/>
        <v>0.11039482241715708</v>
      </c>
      <c r="J7" s="65">
        <f t="shared" si="0"/>
        <v>8.3526593804032281E-2</v>
      </c>
      <c r="K7" s="65">
        <f t="shared" si="0"/>
        <v>0.3497723703621452</v>
      </c>
      <c r="L7" s="65">
        <f t="shared" si="0"/>
        <v>1.4603194746276232E-2</v>
      </c>
      <c r="M7" s="65">
        <f t="shared" si="0"/>
        <v>2.7505908852968702E-2</v>
      </c>
      <c r="N7" s="66">
        <f t="shared" si="0"/>
        <v>0</v>
      </c>
    </row>
    <row r="8" spans="1:85" ht="18.75" x14ac:dyDescent="0.25">
      <c r="A8" s="419">
        <v>-0.1</v>
      </c>
      <c r="B8" s="416">
        <f>SUM('1805 Data:1801 Data'!C8)</f>
        <v>-886.82714796511777</v>
      </c>
      <c r="C8" s="764">
        <f>SUM(B8+B9)</f>
        <v>-886.82714796511777</v>
      </c>
      <c r="E8" s="405" t="s">
        <v>1119</v>
      </c>
      <c r="F8" s="407">
        <f>SUM('1805 Data:1801 Data'!F8)</f>
        <v>5167.6612496323523</v>
      </c>
      <c r="G8" s="763">
        <f>SUM('1805 Data:1801 Data'!G8)</f>
        <v>471.93114159999993</v>
      </c>
      <c r="H8" s="763"/>
      <c r="I8" s="389">
        <f>SUM('1805 Data:1801 Data'!I8)</f>
        <v>895.59947800000009</v>
      </c>
      <c r="J8" s="389">
        <f>SUM('1805 Data:1801 Data'!J8)</f>
        <v>696.49313999999993</v>
      </c>
      <c r="K8" s="389">
        <f>SUM('1805 Data:1801 Data'!K8)</f>
        <v>1484.1210128188231</v>
      </c>
      <c r="L8" s="389">
        <f>SUM('1805 Data:1801 Data'!L8)</f>
        <v>121.740144</v>
      </c>
      <c r="M8" s="389">
        <f>SUM('1805 Data:1801 Data'!M8)</f>
        <v>187.19034411200002</v>
      </c>
      <c r="N8" s="211">
        <f>SUM('1805 Data:1801 Data'!N8)</f>
        <v>0</v>
      </c>
      <c r="O8" s="176"/>
      <c r="Q8" s="176"/>
      <c r="R8" s="176"/>
      <c r="S8" s="176"/>
      <c r="T8" s="176"/>
      <c r="U8" s="176"/>
      <c r="V8" s="176"/>
      <c r="W8" s="176"/>
      <c r="X8" s="176"/>
      <c r="Y8" s="176"/>
      <c r="AT8" s="176"/>
      <c r="AW8" s="176"/>
      <c r="AZ8" s="176"/>
    </row>
    <row r="9" spans="1:85" ht="21.75" thickBot="1" x14ac:dyDescent="0.3">
      <c r="A9" s="411" t="s">
        <v>1372</v>
      </c>
      <c r="B9" s="412">
        <f>SUM('1805 Data:1801 Data'!B9)</f>
        <v>0</v>
      </c>
      <c r="C9" s="744"/>
      <c r="E9" s="406">
        <f>'1801 Data'!E9+'1802 Data'!E9+'1805 Data'!E9+'1805 Data'!E9+'1805 Data'!E9</f>
        <v>5791.5948854188237</v>
      </c>
      <c r="F9" s="408">
        <f>F8/TotalPrimes</f>
        <v>0.59820494546347636</v>
      </c>
      <c r="G9" s="711">
        <f>G8/TotalPrimes</f>
        <v>5.4630427418869386E-2</v>
      </c>
      <c r="H9" s="711"/>
      <c r="I9" s="388">
        <f t="shared" ref="I9:N9" si="1">I8/TotalPrimes</f>
        <v>0.1036739853898557</v>
      </c>
      <c r="J9" s="388">
        <f t="shared" si="1"/>
        <v>8.0625571356680387E-2</v>
      </c>
      <c r="K9" s="388">
        <f t="shared" si="1"/>
        <v>0.17180083729320408</v>
      </c>
      <c r="L9" s="388">
        <f t="shared" si="1"/>
        <v>1.4092556126316689E-2</v>
      </c>
      <c r="M9" s="388">
        <f t="shared" si="1"/>
        <v>2.1669026699220061E-2</v>
      </c>
      <c r="N9" s="68">
        <f t="shared" si="1"/>
        <v>0</v>
      </c>
      <c r="O9" s="178"/>
      <c r="P9" s="177"/>
      <c r="Q9" s="176"/>
      <c r="R9" s="177"/>
      <c r="S9" s="181"/>
      <c r="T9" s="182"/>
      <c r="U9" s="183"/>
      <c r="W9" s="177"/>
      <c r="X9" s="177"/>
      <c r="Y9" s="176"/>
      <c r="Z9" s="177"/>
      <c r="AT9" s="176"/>
      <c r="AU9" s="179"/>
      <c r="AW9" s="176"/>
      <c r="AX9" s="179"/>
      <c r="AZ9" s="176"/>
      <c r="BA9" s="179"/>
      <c r="CA9" s="179"/>
      <c r="CD9" s="179"/>
      <c r="CG9" s="179"/>
    </row>
    <row r="10" spans="1:85" ht="19.5" thickBot="1" x14ac:dyDescent="0.3">
      <c r="A10" s="410" t="s">
        <v>492</v>
      </c>
      <c r="B10" s="768">
        <f>SUM('1805 Data:1801 Data'!B10)</f>
        <v>-271</v>
      </c>
      <c r="C10" s="769"/>
      <c r="K10" s="176"/>
      <c r="O10" s="178"/>
      <c r="P10" s="177"/>
      <c r="Q10" s="176"/>
      <c r="R10" s="177"/>
      <c r="S10" s="181"/>
      <c r="T10" s="182"/>
      <c r="U10" s="183"/>
      <c r="W10" s="177"/>
      <c r="X10" s="177"/>
      <c r="Y10" s="176"/>
      <c r="Z10" s="177"/>
      <c r="AT10" s="176"/>
      <c r="AU10" s="179"/>
      <c r="AW10" s="176"/>
      <c r="AX10" s="179"/>
      <c r="AZ10" s="176"/>
      <c r="BA10" s="179"/>
      <c r="CA10" s="179"/>
      <c r="CD10" s="179"/>
      <c r="CG10" s="179"/>
    </row>
    <row r="11" spans="1:85" s="180" customFormat="1" ht="27" thickBot="1" x14ac:dyDescent="0.3">
      <c r="A11" s="194" t="s">
        <v>1126</v>
      </c>
      <c r="B11" s="770">
        <f>SUM(C7+B10+B8+B9)</f>
        <v>5262.9093621980583</v>
      </c>
      <c r="C11" s="771"/>
      <c r="F11" s="729" t="s">
        <v>487</v>
      </c>
      <c r="G11" s="730"/>
      <c r="I11" s="772" t="s">
        <v>488</v>
      </c>
      <c r="J11" s="773"/>
      <c r="K11" s="774"/>
      <c r="L11" s="185"/>
      <c r="M11" s="186"/>
      <c r="O11" s="186"/>
      <c r="P11" s="187"/>
      <c r="Q11" s="188"/>
      <c r="R11" s="189"/>
      <c r="S11" s="188"/>
      <c r="T11" s="186"/>
      <c r="U11" s="186"/>
      <c r="W11" s="186"/>
      <c r="AR11" s="190"/>
      <c r="AU11" s="190"/>
      <c r="AX11" s="190"/>
      <c r="BX11" s="190"/>
      <c r="CA11" s="190"/>
      <c r="CD11" s="190"/>
    </row>
    <row r="12" spans="1:85" ht="21.75" thickBot="1" x14ac:dyDescent="0.3">
      <c r="A12" s="195" t="s">
        <v>108</v>
      </c>
      <c r="B12" s="196">
        <v>7.6999999999999999E-2</v>
      </c>
      <c r="C12" s="197">
        <f>SUM(-B11*B12)</f>
        <v>-405.24402088925046</v>
      </c>
      <c r="F12" s="213" t="s">
        <v>104</v>
      </c>
      <c r="G12" s="214">
        <f>SUM('1805 Data:1801 Data'!G12)</f>
        <v>51874.200000000004</v>
      </c>
      <c r="I12" s="217" t="s">
        <v>490</v>
      </c>
      <c r="J12" s="775">
        <f>SUM('1805 Data:1801 Data'!J12)</f>
        <v>10553.73103336</v>
      </c>
      <c r="K12" s="776"/>
      <c r="L12" s="178"/>
      <c r="N12" s="176"/>
      <c r="P12" s="181"/>
      <c r="Q12" s="182"/>
      <c r="R12" s="183"/>
      <c r="T12" s="177"/>
      <c r="U12" s="177"/>
      <c r="V12" s="176"/>
      <c r="W12" s="177"/>
      <c r="X12" s="176"/>
      <c r="Y12" s="176"/>
      <c r="AR12" s="179"/>
      <c r="AT12" s="176"/>
      <c r="AU12" s="179"/>
      <c r="AW12" s="176"/>
      <c r="AX12" s="179"/>
      <c r="AZ12" s="176"/>
      <c r="BX12" s="179"/>
      <c r="CA12" s="179"/>
      <c r="CD12" s="179"/>
    </row>
    <row r="13" spans="1:85" s="180" customFormat="1" ht="21.75" thickBot="1" x14ac:dyDescent="0.3">
      <c r="A13" s="397" t="s">
        <v>494</v>
      </c>
      <c r="B13" s="696">
        <f>B11+C12</f>
        <v>4857.6653413088079</v>
      </c>
      <c r="C13" s="757"/>
      <c r="F13" s="136" t="s">
        <v>102</v>
      </c>
      <c r="G13" s="46">
        <f>SUM('1805 Data:1801 Data'!G13)</f>
        <v>54</v>
      </c>
      <c r="H13" s="176"/>
      <c r="I13" s="41" t="s">
        <v>1123</v>
      </c>
      <c r="J13" s="118" t="s">
        <v>122</v>
      </c>
      <c r="K13" s="119" t="s">
        <v>118</v>
      </c>
      <c r="L13" s="185"/>
      <c r="S13" s="188"/>
      <c r="T13" s="186"/>
      <c r="U13" s="186"/>
      <c r="W13" s="186"/>
      <c r="AR13" s="190"/>
      <c r="AU13" s="190"/>
      <c r="AX13" s="190"/>
      <c r="BX13" s="190"/>
      <c r="CA13" s="190"/>
      <c r="CD13" s="190"/>
    </row>
    <row r="14" spans="1:85" ht="19.5" thickBot="1" x14ac:dyDescent="0.3">
      <c r="F14" s="137" t="s">
        <v>486</v>
      </c>
      <c r="G14" s="47">
        <f>SUM('1805 Data:1801 Data'!G14)</f>
        <v>48</v>
      </c>
      <c r="I14" s="40" t="s">
        <v>170</v>
      </c>
      <c r="J14" s="44">
        <f>SUM('1805 Data:1801 Data'!J14)</f>
        <v>5357.9594722000002</v>
      </c>
      <c r="K14" s="43">
        <f t="shared" ref="K14:K21" si="2">J14/BenefMoinsAnnulat</f>
        <v>0.50768391342016062</v>
      </c>
      <c r="L14" s="178"/>
      <c r="T14" s="177"/>
      <c r="U14" s="177"/>
      <c r="V14" s="176"/>
      <c r="W14" s="177"/>
      <c r="X14" s="176"/>
      <c r="Y14" s="176"/>
      <c r="AR14" s="179"/>
      <c r="AT14" s="176"/>
      <c r="AU14" s="179"/>
      <c r="AW14" s="176"/>
      <c r="AX14" s="179"/>
      <c r="AZ14" s="176"/>
      <c r="BX14" s="179"/>
      <c r="CA14" s="179"/>
      <c r="CD14" s="179"/>
    </row>
    <row r="15" spans="1:85" ht="21.75" thickBot="1" x14ac:dyDescent="0.3">
      <c r="A15" s="765" t="s">
        <v>1124</v>
      </c>
      <c r="B15" s="766"/>
      <c r="C15" s="767"/>
      <c r="F15" s="212" t="s">
        <v>517</v>
      </c>
      <c r="G15" s="47">
        <f>SUM('1805 Data:1801 Data'!G15)</f>
        <v>4</v>
      </c>
      <c r="I15" s="40" t="s">
        <v>172</v>
      </c>
      <c r="J15" s="44">
        <f>SUM('1805 Data:1801 Data'!J15)</f>
        <v>2013.7865428799998</v>
      </c>
      <c r="K15" s="43">
        <f t="shared" si="2"/>
        <v>0.19081275963111871</v>
      </c>
      <c r="L15" s="176"/>
      <c r="S15" s="176"/>
      <c r="T15" s="176"/>
      <c r="U15" s="176"/>
      <c r="V15" s="176"/>
      <c r="W15" s="176"/>
      <c r="X15" s="176"/>
      <c r="Y15" s="176"/>
      <c r="AQ15" s="179"/>
      <c r="AW15" s="176"/>
      <c r="AZ15" s="176"/>
    </row>
    <row r="16" spans="1:85" ht="19.5" thickBot="1" x14ac:dyDescent="0.3">
      <c r="A16" s="99" t="s">
        <v>16</v>
      </c>
      <c r="B16" s="120">
        <f>SUM('1805 Data:1801 Data'!B16)</f>
        <v>26538.84</v>
      </c>
      <c r="C16" s="69">
        <f>IF(B16&gt;0,B16/G12,0)</f>
        <v>0.5115999861202678</v>
      </c>
      <c r="F16" s="144" t="s">
        <v>148</v>
      </c>
      <c r="G16" s="215">
        <f>SUM('1805 Data:1801 Data'!G16)</f>
        <v>9</v>
      </c>
      <c r="I16" s="40" t="s">
        <v>166</v>
      </c>
      <c r="J16" s="44">
        <f>SUM('1805 Data:1801 Data'!J16)</f>
        <v>203.37407999999999</v>
      </c>
      <c r="K16" s="43">
        <f t="shared" si="2"/>
        <v>1.9270348974892496E-2</v>
      </c>
      <c r="L16" s="176"/>
      <c r="S16" s="176"/>
      <c r="T16" s="176"/>
      <c r="U16" s="176"/>
      <c r="V16" s="176"/>
      <c r="W16" s="176"/>
      <c r="X16" s="176"/>
      <c r="Y16" s="176"/>
      <c r="AQ16" s="179"/>
      <c r="AW16" s="176"/>
      <c r="AZ16" s="176"/>
    </row>
    <row r="17" spans="1:52" ht="21.75" thickBot="1" x14ac:dyDescent="0.3">
      <c r="A17" s="121" t="s">
        <v>105</v>
      </c>
      <c r="B17" s="220">
        <f>SUM('1805 Data:1801 Data'!B17)</f>
        <v>30</v>
      </c>
      <c r="C17" s="70">
        <f>IF(B17&gt;0,B17/(nbcontratsall+contratsdoublons+contratsreprise),0)</f>
        <v>0.44776119402985076</v>
      </c>
      <c r="F17" s="138" t="s">
        <v>178</v>
      </c>
      <c r="G17" s="45">
        <f>IF(G14&gt;0,G12/G14/12,0)</f>
        <v>90.059375000000003</v>
      </c>
      <c r="H17" s="180"/>
      <c r="I17" s="40" t="s">
        <v>167</v>
      </c>
      <c r="J17" s="44">
        <f>SUM('1805 Data:1801 Data'!J17)</f>
        <v>1644.1985093999999</v>
      </c>
      <c r="K17" s="43">
        <f t="shared" si="2"/>
        <v>0.15579310333025753</v>
      </c>
      <c r="L17" s="176"/>
      <c r="S17" s="176"/>
      <c r="T17" s="176"/>
      <c r="U17" s="176"/>
      <c r="V17" s="176"/>
      <c r="W17" s="176"/>
      <c r="X17" s="176"/>
      <c r="Y17" s="176"/>
      <c r="AQ17" s="179"/>
      <c r="AW17" s="176"/>
      <c r="AZ17" s="176"/>
    </row>
    <row r="18" spans="1:52" ht="18.75" x14ac:dyDescent="0.25">
      <c r="A18" s="100" t="s">
        <v>101</v>
      </c>
      <c r="B18" s="122">
        <f>SUM('1805 Data:1801 Data'!B18)</f>
        <v>23310.36</v>
      </c>
      <c r="C18" s="69">
        <f>IF(B18&gt;0,B18/G12,0)</f>
        <v>0.44936326728894127</v>
      </c>
      <c r="F18" s="143" t="s">
        <v>27</v>
      </c>
      <c r="G18" s="46">
        <f>IF(B6&gt;0,SUM(-C6/B6),0)</f>
        <v>215.75</v>
      </c>
      <c r="I18" s="40" t="s">
        <v>171</v>
      </c>
      <c r="J18" s="44">
        <f>SUM('1805 Data:1801 Data'!J18)</f>
        <v>804.08716800000002</v>
      </c>
      <c r="K18" s="43">
        <f t="shared" si="2"/>
        <v>7.6189848448696168E-2</v>
      </c>
      <c r="L18" s="176"/>
      <c r="S18" s="176"/>
      <c r="T18" s="176"/>
      <c r="U18" s="176"/>
      <c r="V18" s="176"/>
      <c r="W18" s="176"/>
      <c r="X18" s="176"/>
      <c r="Y18" s="176"/>
      <c r="AQ18" s="179"/>
      <c r="AW18" s="176"/>
      <c r="AZ18" s="176"/>
    </row>
    <row r="19" spans="1:52" ht="21.75" thickBot="1" x14ac:dyDescent="0.3">
      <c r="A19" s="123" t="s">
        <v>103</v>
      </c>
      <c r="B19" s="223">
        <f>SUM('1805 Data:1801 Data'!B19)</f>
        <v>25</v>
      </c>
      <c r="C19" s="70">
        <f>IF(B19&gt;0,B19/(nbcontratsall+contratsdoublons+contratsreprise),0)</f>
        <v>0.37313432835820898</v>
      </c>
      <c r="F19" s="140" t="s">
        <v>497</v>
      </c>
      <c r="G19" s="51">
        <f>IF(G14&gt;0,G14/G18,0)</f>
        <v>0.22247972190034762</v>
      </c>
      <c r="H19" s="180"/>
      <c r="I19" s="40" t="s">
        <v>169</v>
      </c>
      <c r="J19" s="44">
        <f>SUM('1805 Data:1801 Data'!J19)</f>
        <v>0</v>
      </c>
      <c r="K19" s="43">
        <f t="shared" si="2"/>
        <v>0</v>
      </c>
      <c r="L19" s="176"/>
      <c r="S19" s="176"/>
      <c r="T19" s="176"/>
      <c r="U19" s="176"/>
      <c r="V19" s="176"/>
      <c r="W19" s="176"/>
      <c r="X19" s="176"/>
      <c r="Y19" s="176"/>
      <c r="AQ19" s="179"/>
      <c r="AW19" s="176"/>
      <c r="AZ19" s="176"/>
    </row>
    <row r="20" spans="1:52" ht="19.5" thickBot="1" x14ac:dyDescent="0.3">
      <c r="A20" s="221" t="s">
        <v>85</v>
      </c>
      <c r="B20" s="222">
        <f>SUM('1805 Data:1801 Data'!B20)</f>
        <v>843.60000000000014</v>
      </c>
      <c r="C20" s="219">
        <f>IF(B20&gt;0,B20/G12,0)</f>
        <v>1.6262419468637591E-2</v>
      </c>
      <c r="F20" s="144" t="s">
        <v>110</v>
      </c>
      <c r="G20" s="216">
        <f>IF(H2&gt;0,IF(G18&gt;0,H2/G18,0),0)</f>
        <v>40.039922995602211</v>
      </c>
      <c r="I20" s="40" t="s">
        <v>173</v>
      </c>
      <c r="J20" s="44">
        <f>SUM('1805 Data:1801 Data'!J20)</f>
        <v>530.32526087999997</v>
      </c>
      <c r="K20" s="43">
        <f t="shared" si="2"/>
        <v>5.0250026194874509E-2</v>
      </c>
      <c r="L20" s="176"/>
      <c r="S20" s="176"/>
      <c r="T20" s="176"/>
      <c r="U20" s="176"/>
      <c r="V20" s="176"/>
      <c r="W20" s="176"/>
      <c r="X20" s="176"/>
      <c r="Y20" s="176"/>
      <c r="AQ20" s="179"/>
      <c r="AW20" s="176"/>
      <c r="AZ20" s="176"/>
    </row>
    <row r="21" spans="1:52" ht="19.5" thickBot="1" x14ac:dyDescent="0.3">
      <c r="A21" s="125" t="s">
        <v>509</v>
      </c>
      <c r="B21" s="218">
        <f>SUM('1805 Data:1801 Data'!B21)</f>
        <v>10</v>
      </c>
      <c r="C21" s="70">
        <f>IF(B21&gt;0,B21/(nbcontratsall+contratsdoublons+contratsreprise),0)</f>
        <v>0.14925373134328357</v>
      </c>
      <c r="F21" s="142" t="s">
        <v>111</v>
      </c>
      <c r="G21" s="53">
        <f>IF(C6&lt;0,TotalPrimes/(-C6),0)</f>
        <v>3.3366602496335172</v>
      </c>
      <c r="I21" s="40" t="s">
        <v>168</v>
      </c>
      <c r="J21" s="44">
        <f>SUM('1805 Data:1801 Data'!J21)</f>
        <v>0</v>
      </c>
      <c r="K21" s="43">
        <f t="shared" si="2"/>
        <v>0</v>
      </c>
      <c r="L21" s="176"/>
      <c r="S21" s="176"/>
      <c r="T21" s="176"/>
      <c r="U21" s="176"/>
      <c r="V21" s="176"/>
      <c r="W21" s="176"/>
      <c r="X21" s="176"/>
      <c r="Y21" s="176"/>
      <c r="AZ21" s="176"/>
    </row>
    <row r="22" spans="1:52" ht="18.75" x14ac:dyDescent="0.25">
      <c r="F22" s="139" t="s">
        <v>142</v>
      </c>
      <c r="G22" s="50">
        <f>SUM('1805 Data:1801 Data'!G22)</f>
        <v>244</v>
      </c>
      <c r="I22" s="40" t="s">
        <v>260</v>
      </c>
      <c r="J22" s="44">
        <f>SUM('1805 Data:1801 Data'!J22)</f>
        <v>0</v>
      </c>
      <c r="K22" s="43">
        <f>J22/BenefMoinsAnnulat</f>
        <v>0</v>
      </c>
      <c r="S22" s="176"/>
      <c r="T22" s="176"/>
      <c r="U22" s="176"/>
      <c r="V22" s="176"/>
      <c r="W22" s="176"/>
      <c r="X22" s="176"/>
      <c r="Y22" s="176"/>
      <c r="AZ22" s="176"/>
    </row>
    <row r="23" spans="1:52" s="180" customFormat="1" ht="21.75" thickBot="1" x14ac:dyDescent="0.3">
      <c r="A23" s="176"/>
      <c r="B23" s="176"/>
      <c r="C23" s="176"/>
      <c r="D23" s="176"/>
      <c r="F23" s="144" t="s">
        <v>1122</v>
      </c>
      <c r="G23" s="55">
        <f>IF(G22&gt;0,G22/G18,0)</f>
        <v>1.1309385863267671</v>
      </c>
      <c r="H23" s="176"/>
      <c r="I23" s="40" t="s">
        <v>262</v>
      </c>
      <c r="J23" s="44">
        <f>SUM('1805 Data:1801 Data'!J23)</f>
        <v>0</v>
      </c>
      <c r="K23" s="43">
        <f>J23/BenefMoinsAnnulat</f>
        <v>0</v>
      </c>
      <c r="AS23" s="190"/>
      <c r="AV23" s="190"/>
    </row>
    <row r="24" spans="1:52" ht="18.75" x14ac:dyDescent="0.25">
      <c r="I24" s="40" t="s">
        <v>261</v>
      </c>
      <c r="J24" s="44">
        <f>SUM('1805 Data:1801 Data'!J24)</f>
        <v>0</v>
      </c>
      <c r="K24" s="43">
        <f>J24/BenefMoinsAnnulat</f>
        <v>0</v>
      </c>
      <c r="S24" s="176"/>
      <c r="T24" s="176"/>
      <c r="U24" s="176"/>
      <c r="V24" s="176"/>
      <c r="W24" s="176"/>
      <c r="X24" s="176"/>
      <c r="Y24" s="176"/>
      <c r="AQ24" s="179"/>
      <c r="AW24" s="176"/>
      <c r="AZ24" s="176"/>
    </row>
    <row r="25" spans="1:52" ht="19.5" thickBot="1" x14ac:dyDescent="0.3">
      <c r="I25" s="58" t="s">
        <v>174</v>
      </c>
      <c r="J25" s="71">
        <f>SUM('1805 Data:1801 Data'!J25)</f>
        <v>-1915.1176470588239</v>
      </c>
      <c r="K25" s="72">
        <f>J25/BenefMoinsAnnulat</f>
        <v>-0.18146356402349079</v>
      </c>
      <c r="L25" s="176"/>
      <c r="S25" s="176"/>
      <c r="T25" s="176"/>
      <c r="U25" s="176"/>
      <c r="V25" s="176"/>
      <c r="W25" s="176"/>
      <c r="X25" s="176"/>
      <c r="Y25" s="176"/>
      <c r="AQ25" s="179"/>
      <c r="AW25" s="176"/>
      <c r="AZ25" s="176"/>
    </row>
    <row r="26" spans="1:52" x14ac:dyDescent="0.25">
      <c r="L26" s="176"/>
      <c r="S26" s="176"/>
      <c r="T26" s="176"/>
      <c r="U26" s="176"/>
      <c r="V26" s="176"/>
      <c r="W26" s="176"/>
      <c r="X26" s="176"/>
      <c r="Y26" s="176"/>
      <c r="AQ26" s="179"/>
      <c r="AW26" s="176"/>
      <c r="AZ26" s="176"/>
    </row>
    <row r="27" spans="1:52" x14ac:dyDescent="0.25">
      <c r="L27" s="176"/>
      <c r="S27" s="176"/>
      <c r="T27" s="176"/>
      <c r="U27" s="176"/>
      <c r="V27" s="176"/>
      <c r="W27" s="176"/>
      <c r="X27" s="176"/>
      <c r="Y27" s="176"/>
      <c r="AQ27" s="179"/>
      <c r="AW27" s="176"/>
      <c r="AZ27" s="176"/>
    </row>
    <row r="28" spans="1:52" x14ac:dyDescent="0.25">
      <c r="L28" s="176"/>
      <c r="M28" s="176"/>
      <c r="N28" s="176"/>
      <c r="O28" s="176"/>
      <c r="S28" s="176"/>
      <c r="T28" s="176"/>
      <c r="U28" s="176"/>
      <c r="V28" s="176"/>
      <c r="W28" s="176"/>
      <c r="X28" s="176"/>
      <c r="Y28" s="176"/>
      <c r="AQ28" s="179"/>
      <c r="AW28" s="176"/>
      <c r="AZ28" s="176"/>
    </row>
    <row r="29" spans="1:52" x14ac:dyDescent="0.25">
      <c r="L29" s="176"/>
      <c r="M29" s="176"/>
      <c r="N29" s="176"/>
      <c r="O29" s="176"/>
      <c r="Q29" s="176"/>
      <c r="R29" s="176"/>
      <c r="S29" s="176"/>
      <c r="T29" s="176"/>
      <c r="U29" s="176"/>
      <c r="V29" s="176"/>
      <c r="W29" s="176"/>
      <c r="X29" s="176"/>
      <c r="Y29" s="176"/>
      <c r="AQ29" s="179"/>
      <c r="AW29" s="176"/>
      <c r="AZ29" s="176"/>
    </row>
    <row r="30" spans="1:52" x14ac:dyDescent="0.25">
      <c r="N30" s="176"/>
      <c r="O30" s="176"/>
      <c r="Q30" s="176"/>
      <c r="R30" s="176"/>
      <c r="S30" s="176"/>
      <c r="T30" s="176"/>
      <c r="U30" s="176"/>
      <c r="V30" s="176"/>
      <c r="W30" s="176"/>
      <c r="X30" s="176"/>
      <c r="Y30" s="176"/>
      <c r="AQ30" s="179"/>
      <c r="AW30" s="176"/>
      <c r="AZ30" s="176"/>
    </row>
    <row r="31" spans="1:52" x14ac:dyDescent="0.25">
      <c r="J31" s="176"/>
      <c r="K31" s="176"/>
      <c r="N31" s="176"/>
      <c r="O31" s="176"/>
      <c r="Q31" s="176"/>
      <c r="R31" s="176"/>
      <c r="S31" s="176"/>
      <c r="T31" s="176"/>
      <c r="U31" s="176"/>
      <c r="V31" s="176"/>
      <c r="W31" s="176"/>
      <c r="X31" s="176"/>
      <c r="Y31" s="176"/>
      <c r="AS31" s="179"/>
      <c r="AT31" s="176"/>
      <c r="AV31" s="179"/>
      <c r="AW31" s="176"/>
      <c r="AZ31" s="176"/>
    </row>
    <row r="32" spans="1:52" x14ac:dyDescent="0.25">
      <c r="K32" s="176"/>
      <c r="N32" s="176"/>
      <c r="O32" s="176"/>
      <c r="Q32" s="176"/>
      <c r="R32" s="176"/>
      <c r="S32" s="176"/>
      <c r="T32" s="176"/>
      <c r="U32" s="176"/>
      <c r="V32" s="176"/>
      <c r="X32" s="176"/>
      <c r="Y32" s="176"/>
      <c r="AS32" s="179"/>
      <c r="AT32" s="176"/>
      <c r="AV32" s="179"/>
      <c r="AW32" s="176"/>
      <c r="AZ32" s="176"/>
    </row>
    <row r="33" spans="10:52" x14ac:dyDescent="0.25">
      <c r="K33" s="176"/>
      <c r="N33" s="176"/>
      <c r="O33" s="176"/>
      <c r="Q33" s="176"/>
      <c r="R33" s="176"/>
      <c r="S33" s="176"/>
      <c r="T33" s="176"/>
      <c r="U33" s="176"/>
      <c r="V33" s="176"/>
      <c r="W33" s="176"/>
      <c r="X33" s="176"/>
      <c r="Y33" s="176"/>
      <c r="AR33" s="179"/>
      <c r="AT33" s="176"/>
      <c r="AU33" s="179"/>
      <c r="AW33" s="176"/>
      <c r="AZ33" s="176"/>
    </row>
    <row r="34" spans="10:52" x14ac:dyDescent="0.25">
      <c r="K34" s="176"/>
      <c r="N34" s="176"/>
      <c r="O34" s="176"/>
      <c r="Q34" s="176"/>
      <c r="R34" s="176"/>
      <c r="S34" s="176"/>
      <c r="T34" s="176"/>
      <c r="U34" s="176"/>
      <c r="V34" s="176"/>
      <c r="W34" s="176"/>
      <c r="X34" s="176"/>
      <c r="Y34" s="176"/>
      <c r="AR34" s="179"/>
      <c r="AT34" s="176"/>
      <c r="AU34" s="179"/>
      <c r="AW34" s="176"/>
      <c r="AZ34" s="176"/>
    </row>
    <row r="35" spans="10:52" x14ac:dyDescent="0.25">
      <c r="K35" s="176"/>
      <c r="N35" s="176"/>
      <c r="O35" s="176"/>
      <c r="Q35" s="176"/>
      <c r="R35" s="176"/>
      <c r="S35" s="176"/>
      <c r="T35" s="176"/>
      <c r="U35" s="176"/>
      <c r="V35" s="176"/>
      <c r="W35" s="176"/>
      <c r="X35" s="176"/>
      <c r="Y35" s="176"/>
      <c r="AR35" s="179"/>
      <c r="AT35" s="176"/>
      <c r="AU35" s="179"/>
      <c r="AW35" s="176"/>
      <c r="AZ35" s="176"/>
    </row>
    <row r="36" spans="10:52" x14ac:dyDescent="0.25">
      <c r="K36" s="176"/>
      <c r="L36" s="176"/>
      <c r="M36" s="176"/>
      <c r="N36" s="176"/>
      <c r="O36" s="176"/>
      <c r="Q36" s="176"/>
      <c r="R36" s="176"/>
      <c r="S36" s="176"/>
      <c r="T36" s="176"/>
      <c r="U36" s="176"/>
      <c r="V36" s="176"/>
      <c r="W36" s="176"/>
      <c r="X36" s="176"/>
      <c r="Y36" s="176"/>
      <c r="AR36" s="179"/>
      <c r="AT36" s="176"/>
      <c r="AU36" s="179"/>
      <c r="AW36" s="176"/>
      <c r="AZ36" s="176"/>
    </row>
    <row r="37" spans="10:52" x14ac:dyDescent="0.25">
      <c r="K37" s="176"/>
      <c r="L37" s="176"/>
      <c r="M37" s="176"/>
      <c r="N37" s="176"/>
      <c r="O37" s="176"/>
      <c r="Q37" s="176"/>
      <c r="R37" s="176"/>
      <c r="S37" s="176"/>
      <c r="T37" s="176"/>
      <c r="U37" s="176"/>
      <c r="V37" s="176"/>
      <c r="W37" s="176"/>
      <c r="X37" s="176"/>
      <c r="Y37" s="176"/>
      <c r="AR37" s="179"/>
      <c r="AT37" s="176"/>
      <c r="AU37" s="179"/>
      <c r="AW37" s="176"/>
      <c r="AZ37" s="176"/>
    </row>
    <row r="38" spans="10:52" x14ac:dyDescent="0.25">
      <c r="K38" s="176"/>
      <c r="L38" s="176"/>
      <c r="M38" s="176"/>
      <c r="N38" s="176"/>
      <c r="O38" s="176"/>
      <c r="Q38" s="176"/>
      <c r="R38" s="176"/>
      <c r="S38" s="176"/>
      <c r="T38" s="176"/>
      <c r="U38" s="176"/>
      <c r="V38" s="176"/>
      <c r="W38" s="176"/>
      <c r="X38" s="176"/>
      <c r="Y38" s="176"/>
      <c r="AR38" s="179"/>
      <c r="AT38" s="176"/>
      <c r="AU38" s="179"/>
      <c r="AW38" s="176"/>
      <c r="AZ38" s="176"/>
    </row>
    <row r="39" spans="10:52" x14ac:dyDescent="0.25">
      <c r="K39" s="176"/>
      <c r="L39" s="176"/>
      <c r="M39" s="176"/>
      <c r="N39" s="176"/>
      <c r="O39" s="176"/>
      <c r="Q39" s="176"/>
      <c r="R39" s="176"/>
      <c r="S39" s="176"/>
      <c r="T39" s="176"/>
      <c r="U39" s="176"/>
      <c r="W39" s="176"/>
      <c r="X39" s="176"/>
      <c r="Y39" s="176"/>
      <c r="AR39" s="179"/>
      <c r="AT39" s="176"/>
      <c r="AU39" s="179"/>
      <c r="AW39" s="176"/>
      <c r="AZ39" s="176"/>
    </row>
    <row r="40" spans="10:52" x14ac:dyDescent="0.25">
      <c r="K40" s="176"/>
      <c r="L40" s="176"/>
      <c r="M40" s="176"/>
      <c r="N40" s="176"/>
      <c r="O40" s="176"/>
      <c r="Q40" s="176"/>
      <c r="R40" s="176"/>
      <c r="S40" s="176"/>
      <c r="T40" s="176"/>
      <c r="U40" s="176"/>
      <c r="V40" s="176"/>
      <c r="W40" s="176"/>
      <c r="Y40" s="176"/>
      <c r="AZ40" s="176"/>
    </row>
    <row r="41" spans="10:52" x14ac:dyDescent="0.25">
      <c r="K41" s="176"/>
      <c r="L41" s="176"/>
      <c r="M41" s="176"/>
      <c r="N41" s="176"/>
      <c r="O41" s="176"/>
      <c r="Q41" s="176"/>
      <c r="R41" s="176"/>
      <c r="S41" s="176"/>
      <c r="T41" s="176"/>
      <c r="U41" s="176"/>
      <c r="V41" s="176"/>
      <c r="W41" s="176"/>
      <c r="Y41" s="176"/>
      <c r="AZ41" s="176"/>
    </row>
    <row r="42" spans="10:52" x14ac:dyDescent="0.25">
      <c r="K42" s="176"/>
      <c r="L42" s="176"/>
      <c r="M42" s="176"/>
      <c r="N42" s="176"/>
      <c r="O42" s="176"/>
      <c r="Q42" s="176"/>
      <c r="R42" s="176"/>
      <c r="S42" s="176"/>
      <c r="T42" s="176"/>
      <c r="U42" s="176"/>
      <c r="V42" s="176"/>
      <c r="W42" s="176"/>
      <c r="Y42" s="176"/>
      <c r="AZ42" s="176"/>
    </row>
    <row r="43" spans="10:52" x14ac:dyDescent="0.25">
      <c r="K43" s="176"/>
      <c r="L43" s="176"/>
      <c r="M43" s="176"/>
      <c r="N43" s="176"/>
      <c r="O43" s="176"/>
      <c r="Q43" s="176"/>
      <c r="R43" s="176"/>
      <c r="S43" s="176"/>
      <c r="T43" s="176"/>
      <c r="U43" s="176"/>
      <c r="V43" s="176"/>
      <c r="W43" s="176"/>
      <c r="Y43" s="176"/>
      <c r="AZ43" s="176"/>
    </row>
    <row r="44" spans="10:52" x14ac:dyDescent="0.25">
      <c r="K44" s="176"/>
      <c r="L44" s="176"/>
      <c r="M44" s="176"/>
      <c r="N44" s="176"/>
      <c r="O44" s="176"/>
      <c r="Q44" s="176"/>
      <c r="R44" s="176"/>
      <c r="S44" s="176"/>
      <c r="T44" s="176"/>
      <c r="U44" s="176"/>
      <c r="V44" s="176"/>
      <c r="W44" s="176"/>
      <c r="Y44" s="176"/>
      <c r="AZ44" s="176"/>
    </row>
    <row r="45" spans="10:52" x14ac:dyDescent="0.25">
      <c r="K45" s="176"/>
      <c r="L45" s="176"/>
      <c r="M45" s="176"/>
      <c r="N45" s="176"/>
      <c r="O45" s="176"/>
      <c r="Q45" s="176"/>
      <c r="R45" s="176"/>
      <c r="S45" s="176"/>
      <c r="T45" s="176"/>
      <c r="U45" s="176"/>
      <c r="V45" s="176"/>
      <c r="W45" s="176"/>
      <c r="Y45" s="176"/>
      <c r="AZ45" s="176"/>
    </row>
    <row r="46" spans="10:52" x14ac:dyDescent="0.25">
      <c r="K46" s="176"/>
      <c r="L46" s="176"/>
      <c r="M46" s="176"/>
      <c r="N46" s="176"/>
      <c r="O46" s="176"/>
      <c r="Q46" s="176"/>
      <c r="R46" s="176"/>
      <c r="S46" s="176"/>
      <c r="T46" s="176"/>
      <c r="U46" s="176"/>
      <c r="V46" s="176"/>
      <c r="W46" s="176"/>
      <c r="Y46" s="176"/>
      <c r="AZ46" s="176"/>
    </row>
    <row r="47" spans="10:52" x14ac:dyDescent="0.25">
      <c r="K47" s="176"/>
      <c r="N47" s="176"/>
      <c r="O47" s="176"/>
      <c r="Q47" s="176"/>
      <c r="R47" s="176"/>
      <c r="S47" s="176"/>
      <c r="T47" s="176"/>
      <c r="U47" s="176"/>
      <c r="V47" s="176"/>
      <c r="W47" s="176"/>
      <c r="Y47" s="176"/>
      <c r="AZ47" s="176"/>
    </row>
    <row r="48" spans="10:52" x14ac:dyDescent="0.25">
      <c r="J48" s="176"/>
      <c r="K48" s="176"/>
      <c r="L48" s="176"/>
      <c r="M48" s="176"/>
      <c r="N48" s="176"/>
      <c r="O48" s="176"/>
      <c r="Q48" s="176"/>
      <c r="R48" s="176"/>
      <c r="S48" s="176"/>
      <c r="T48" s="176"/>
      <c r="U48" s="176"/>
      <c r="V48" s="176"/>
      <c r="W48" s="176"/>
      <c r="Y48" s="176"/>
      <c r="AZ48" s="176"/>
    </row>
    <row r="49" spans="10:52" x14ac:dyDescent="0.25">
      <c r="J49" s="176"/>
      <c r="L49" s="176"/>
      <c r="M49" s="176"/>
    </row>
    <row r="50" spans="10:52" x14ac:dyDescent="0.25">
      <c r="J50" s="176"/>
      <c r="K50" s="176"/>
      <c r="L50" s="176"/>
      <c r="M50" s="176"/>
      <c r="N50" s="176"/>
      <c r="O50" s="176"/>
      <c r="Q50" s="176"/>
      <c r="R50" s="176"/>
      <c r="S50" s="176"/>
      <c r="T50" s="176"/>
      <c r="U50" s="176"/>
      <c r="V50" s="176"/>
      <c r="W50" s="176"/>
      <c r="Y50" s="176"/>
      <c r="AZ50" s="176"/>
    </row>
    <row r="51" spans="10:52" x14ac:dyDescent="0.25">
      <c r="J51" s="176"/>
      <c r="K51" s="176"/>
      <c r="L51" s="176"/>
      <c r="M51" s="176"/>
      <c r="N51" s="176"/>
      <c r="O51" s="176"/>
      <c r="Q51" s="176"/>
      <c r="R51" s="176"/>
      <c r="S51" s="176"/>
      <c r="T51" s="176"/>
      <c r="U51" s="176"/>
      <c r="V51" s="176"/>
      <c r="W51" s="176"/>
      <c r="Y51" s="176"/>
      <c r="AZ51" s="176"/>
    </row>
    <row r="52" spans="10:52" x14ac:dyDescent="0.25">
      <c r="J52" s="176"/>
      <c r="K52" s="176"/>
      <c r="L52" s="176"/>
      <c r="M52" s="176"/>
      <c r="N52" s="176"/>
      <c r="O52" s="176"/>
      <c r="Q52" s="176"/>
      <c r="R52" s="176"/>
      <c r="S52" s="176"/>
      <c r="T52" s="176"/>
      <c r="U52" s="176"/>
      <c r="V52" s="176"/>
      <c r="W52" s="176"/>
      <c r="Y52" s="176"/>
      <c r="AZ52" s="176"/>
    </row>
    <row r="53" spans="10:52" x14ac:dyDescent="0.25">
      <c r="J53" s="176"/>
      <c r="K53" s="176"/>
      <c r="L53" s="176"/>
      <c r="M53" s="176"/>
      <c r="N53" s="176"/>
      <c r="O53" s="176"/>
      <c r="Q53" s="176"/>
      <c r="R53" s="176"/>
      <c r="S53" s="176"/>
      <c r="T53" s="176"/>
      <c r="U53" s="176"/>
      <c r="V53" s="176"/>
      <c r="W53" s="176"/>
      <c r="Y53" s="176"/>
      <c r="AZ53" s="176"/>
    </row>
    <row r="54" spans="10:52" x14ac:dyDescent="0.25">
      <c r="J54" s="176"/>
      <c r="K54" s="176"/>
      <c r="L54" s="176"/>
      <c r="M54" s="176"/>
      <c r="N54" s="176"/>
      <c r="O54" s="176"/>
      <c r="Q54" s="176"/>
      <c r="R54" s="176"/>
      <c r="S54" s="176"/>
      <c r="T54" s="176"/>
      <c r="U54" s="176"/>
      <c r="V54" s="176"/>
      <c r="W54" s="176"/>
      <c r="Y54" s="176"/>
      <c r="AZ54" s="176"/>
    </row>
    <row r="55" spans="10:52" x14ac:dyDescent="0.25">
      <c r="J55" s="176"/>
      <c r="K55" s="176"/>
      <c r="L55" s="176"/>
      <c r="M55" s="176"/>
      <c r="N55" s="176"/>
      <c r="O55" s="176"/>
      <c r="Q55" s="176"/>
      <c r="R55" s="176"/>
      <c r="S55" s="176"/>
      <c r="T55" s="176"/>
      <c r="U55" s="176"/>
      <c r="V55" s="176"/>
      <c r="W55" s="176"/>
      <c r="Y55" s="176"/>
      <c r="AZ55" s="176"/>
    </row>
    <row r="56" spans="10:52" x14ac:dyDescent="0.25">
      <c r="J56" s="176"/>
      <c r="K56" s="176"/>
      <c r="L56" s="176"/>
      <c r="M56" s="176"/>
      <c r="N56" s="176"/>
      <c r="O56" s="176"/>
      <c r="Q56" s="176"/>
      <c r="R56" s="176"/>
      <c r="S56" s="176"/>
      <c r="T56" s="176"/>
      <c r="U56" s="176"/>
      <c r="V56" s="176"/>
      <c r="W56" s="176"/>
      <c r="Y56" s="176"/>
      <c r="AZ56" s="176"/>
    </row>
    <row r="57" spans="10:52" x14ac:dyDescent="0.25">
      <c r="J57" s="176"/>
      <c r="K57" s="176"/>
      <c r="L57" s="176"/>
      <c r="M57" s="176"/>
      <c r="N57" s="176"/>
      <c r="O57" s="176"/>
      <c r="Q57" s="176"/>
      <c r="R57" s="176"/>
      <c r="S57" s="176"/>
      <c r="T57" s="176"/>
      <c r="U57" s="176"/>
      <c r="V57" s="176"/>
      <c r="W57" s="176"/>
      <c r="Y57" s="176"/>
      <c r="AZ57" s="176"/>
    </row>
    <row r="58" spans="10:52" x14ac:dyDescent="0.25">
      <c r="J58" s="176"/>
      <c r="K58" s="176"/>
      <c r="L58" s="176"/>
      <c r="M58" s="176"/>
      <c r="N58" s="176"/>
      <c r="O58" s="176"/>
      <c r="Q58" s="176"/>
      <c r="R58" s="176"/>
      <c r="S58" s="176"/>
      <c r="T58" s="176"/>
      <c r="U58" s="176"/>
      <c r="V58" s="176"/>
      <c r="W58" s="176"/>
      <c r="Y58" s="176"/>
      <c r="AZ58" s="176"/>
    </row>
    <row r="59" spans="10:52" x14ac:dyDescent="0.25">
      <c r="J59" s="176"/>
      <c r="K59" s="176"/>
      <c r="L59" s="176"/>
      <c r="M59" s="176"/>
      <c r="N59" s="176"/>
      <c r="O59" s="176"/>
      <c r="Q59" s="176"/>
      <c r="R59" s="176"/>
      <c r="S59" s="176"/>
      <c r="T59" s="176"/>
      <c r="U59" s="176"/>
      <c r="V59" s="176"/>
      <c r="W59" s="176"/>
      <c r="Y59" s="176"/>
      <c r="AZ59" s="176"/>
    </row>
    <row r="60" spans="10:52" x14ac:dyDescent="0.25">
      <c r="J60" s="176"/>
      <c r="K60" s="176"/>
      <c r="L60" s="176"/>
      <c r="M60" s="176"/>
      <c r="N60" s="176"/>
      <c r="O60" s="176"/>
      <c r="Q60" s="176"/>
      <c r="R60" s="176"/>
      <c r="S60" s="176"/>
      <c r="T60" s="176"/>
      <c r="U60" s="176"/>
      <c r="V60" s="176"/>
      <c r="W60" s="176"/>
      <c r="Y60" s="176"/>
      <c r="AZ60" s="176"/>
    </row>
    <row r="61" spans="10:52" x14ac:dyDescent="0.25">
      <c r="J61" s="176"/>
      <c r="K61" s="176"/>
      <c r="L61" s="176"/>
      <c r="M61" s="176"/>
      <c r="N61" s="176"/>
      <c r="O61" s="176"/>
      <c r="Q61" s="176"/>
      <c r="R61" s="176"/>
      <c r="S61" s="176"/>
      <c r="T61" s="176"/>
      <c r="U61" s="176"/>
      <c r="V61" s="176"/>
      <c r="W61" s="176"/>
      <c r="Y61" s="176"/>
      <c r="AZ61" s="176"/>
    </row>
    <row r="62" spans="10:52" x14ac:dyDescent="0.25">
      <c r="J62" s="176"/>
      <c r="K62" s="176"/>
      <c r="L62" s="176"/>
      <c r="M62" s="176"/>
      <c r="N62" s="176"/>
      <c r="O62" s="176"/>
      <c r="Q62" s="176"/>
      <c r="R62" s="176"/>
      <c r="S62" s="176"/>
      <c r="T62" s="176"/>
      <c r="U62" s="176"/>
      <c r="V62" s="176"/>
      <c r="W62" s="176"/>
      <c r="Y62" s="176"/>
      <c r="AZ62" s="176"/>
    </row>
    <row r="63" spans="10:52" x14ac:dyDescent="0.25">
      <c r="J63" s="176"/>
      <c r="K63" s="176"/>
      <c r="L63" s="176"/>
      <c r="M63" s="176"/>
      <c r="N63" s="176"/>
      <c r="O63" s="176"/>
      <c r="Q63" s="176"/>
      <c r="R63" s="176"/>
      <c r="S63" s="176"/>
      <c r="T63" s="176"/>
      <c r="U63" s="176"/>
      <c r="V63" s="176"/>
      <c r="W63" s="176"/>
      <c r="Y63" s="176"/>
      <c r="AZ63" s="176"/>
    </row>
    <row r="64" spans="10:52" x14ac:dyDescent="0.25">
      <c r="J64" s="176"/>
      <c r="K64" s="176"/>
      <c r="L64" s="176"/>
      <c r="M64" s="176"/>
      <c r="N64" s="176"/>
      <c r="O64" s="176"/>
      <c r="Q64" s="176"/>
      <c r="R64" s="176"/>
      <c r="S64" s="176"/>
      <c r="T64" s="176"/>
      <c r="U64" s="176"/>
      <c r="V64" s="176"/>
      <c r="W64" s="176"/>
      <c r="Y64" s="176"/>
      <c r="AZ64" s="176"/>
    </row>
    <row r="65" spans="10:52" x14ac:dyDescent="0.25">
      <c r="J65" s="176"/>
      <c r="K65" s="176"/>
      <c r="L65" s="176"/>
      <c r="M65" s="176"/>
      <c r="N65" s="176"/>
      <c r="O65" s="176"/>
      <c r="Q65" s="176"/>
      <c r="R65" s="176"/>
      <c r="S65" s="176"/>
      <c r="T65" s="176"/>
      <c r="U65" s="176"/>
      <c r="V65" s="176"/>
      <c r="W65" s="176"/>
      <c r="Y65" s="176"/>
      <c r="AZ65" s="176"/>
    </row>
    <row r="66" spans="10:52" x14ac:dyDescent="0.25">
      <c r="J66" s="176"/>
      <c r="K66" s="176"/>
      <c r="L66" s="176"/>
      <c r="M66" s="176"/>
      <c r="N66" s="176"/>
      <c r="O66" s="176"/>
      <c r="Q66" s="176"/>
      <c r="R66" s="176"/>
      <c r="S66" s="176"/>
      <c r="T66" s="176"/>
      <c r="U66" s="176"/>
      <c r="V66" s="176"/>
      <c r="W66" s="176"/>
      <c r="Y66" s="176"/>
      <c r="AZ66" s="176"/>
    </row>
    <row r="67" spans="10:52" x14ac:dyDescent="0.25">
      <c r="J67" s="176"/>
      <c r="K67" s="176"/>
      <c r="L67" s="176"/>
      <c r="M67" s="176"/>
      <c r="N67" s="176"/>
      <c r="O67" s="176"/>
      <c r="Q67" s="176"/>
      <c r="R67" s="176"/>
      <c r="S67" s="176"/>
      <c r="T67" s="176"/>
      <c r="U67" s="176"/>
      <c r="V67" s="176"/>
      <c r="W67" s="176"/>
      <c r="Y67" s="176"/>
      <c r="AZ67" s="176"/>
    </row>
    <row r="68" spans="10:52" x14ac:dyDescent="0.25">
      <c r="J68" s="176"/>
      <c r="K68" s="176"/>
      <c r="L68" s="176"/>
      <c r="M68" s="176"/>
      <c r="N68" s="176"/>
      <c r="O68" s="176"/>
      <c r="Q68" s="176"/>
      <c r="R68" s="176"/>
      <c r="S68" s="176"/>
      <c r="T68" s="176"/>
      <c r="U68" s="176"/>
      <c r="V68" s="176"/>
      <c r="W68" s="176"/>
      <c r="Y68" s="176"/>
      <c r="AZ68" s="176"/>
    </row>
    <row r="69" spans="10:52" x14ac:dyDescent="0.25">
      <c r="K69" s="176"/>
      <c r="L69" s="176"/>
      <c r="M69" s="176"/>
      <c r="N69" s="176"/>
      <c r="O69" s="176"/>
      <c r="Q69" s="176"/>
      <c r="R69" s="176"/>
      <c r="S69" s="176"/>
      <c r="T69" s="176"/>
      <c r="U69" s="176"/>
      <c r="V69" s="176"/>
      <c r="W69" s="176"/>
      <c r="Y69" s="176"/>
      <c r="AZ69" s="176"/>
    </row>
    <row r="70" spans="10:52" x14ac:dyDescent="0.25">
      <c r="K70" s="176"/>
      <c r="L70" s="176"/>
      <c r="M70" s="176"/>
      <c r="N70" s="176"/>
      <c r="O70" s="176"/>
      <c r="Q70" s="176"/>
      <c r="R70" s="176"/>
      <c r="S70" s="176"/>
      <c r="T70" s="176"/>
      <c r="U70" s="176"/>
      <c r="V70" s="176"/>
      <c r="W70" s="176"/>
      <c r="Y70" s="176"/>
      <c r="AZ70" s="176"/>
    </row>
    <row r="71" spans="10:52" x14ac:dyDescent="0.25">
      <c r="K71" s="176"/>
      <c r="L71" s="176"/>
      <c r="M71" s="176"/>
      <c r="N71" s="176"/>
      <c r="O71" s="176"/>
      <c r="Q71" s="176"/>
      <c r="R71" s="176"/>
      <c r="S71" s="176"/>
      <c r="T71" s="176"/>
      <c r="U71" s="176"/>
      <c r="V71" s="176"/>
      <c r="W71" s="176"/>
      <c r="Y71" s="176"/>
      <c r="AZ71" s="176"/>
    </row>
    <row r="72" spans="10:52" x14ac:dyDescent="0.25">
      <c r="K72" s="176"/>
      <c r="L72" s="176"/>
      <c r="M72" s="176"/>
      <c r="N72" s="176"/>
      <c r="O72" s="176"/>
      <c r="Q72" s="176"/>
      <c r="R72" s="176"/>
      <c r="S72" s="176"/>
      <c r="T72" s="176"/>
      <c r="U72" s="176"/>
      <c r="V72" s="176"/>
      <c r="W72" s="176"/>
      <c r="Y72" s="176"/>
      <c r="AZ72" s="176"/>
    </row>
    <row r="73" spans="10:52" x14ac:dyDescent="0.25">
      <c r="K73" s="176"/>
      <c r="L73" s="176"/>
      <c r="M73" s="176"/>
      <c r="N73" s="176"/>
      <c r="O73" s="176"/>
      <c r="Q73" s="176"/>
      <c r="R73" s="176"/>
      <c r="S73" s="176"/>
      <c r="T73" s="176"/>
      <c r="U73" s="176"/>
      <c r="V73" s="176"/>
      <c r="W73" s="176"/>
      <c r="Y73" s="176"/>
      <c r="AZ73" s="176"/>
    </row>
    <row r="74" spans="10:52" x14ac:dyDescent="0.25">
      <c r="K74" s="176"/>
      <c r="L74" s="176"/>
      <c r="M74" s="176"/>
      <c r="N74" s="176"/>
      <c r="O74" s="176"/>
      <c r="Q74" s="176"/>
      <c r="R74" s="176"/>
      <c r="S74" s="176"/>
      <c r="T74" s="176"/>
      <c r="U74" s="176"/>
      <c r="V74" s="176"/>
      <c r="W74" s="176"/>
      <c r="Y74" s="176"/>
      <c r="AZ74" s="176"/>
    </row>
    <row r="75" spans="10:52" x14ac:dyDescent="0.25">
      <c r="K75" s="176"/>
      <c r="L75" s="176"/>
      <c r="M75" s="176"/>
      <c r="N75" s="176"/>
      <c r="O75" s="176"/>
      <c r="Q75" s="176"/>
      <c r="R75" s="176"/>
      <c r="S75" s="176"/>
      <c r="T75" s="176"/>
      <c r="U75" s="176"/>
      <c r="V75" s="176"/>
      <c r="W75" s="176"/>
      <c r="Y75" s="176"/>
      <c r="AZ75" s="176"/>
    </row>
    <row r="76" spans="10:52" x14ac:dyDescent="0.25">
      <c r="K76" s="176"/>
      <c r="N76" s="176"/>
      <c r="O76" s="176"/>
      <c r="Q76" s="176"/>
      <c r="R76" s="176"/>
      <c r="S76" s="176"/>
      <c r="T76" s="176"/>
      <c r="U76" s="176"/>
      <c r="V76" s="176"/>
      <c r="W76" s="176"/>
      <c r="Y76" s="176"/>
      <c r="AZ76" s="176"/>
    </row>
    <row r="77" spans="10:52" x14ac:dyDescent="0.25">
      <c r="K77" s="176"/>
      <c r="N77" s="176"/>
      <c r="O77" s="176"/>
      <c r="Q77" s="176"/>
      <c r="R77" s="176"/>
      <c r="S77" s="176"/>
      <c r="T77" s="176"/>
      <c r="U77" s="176"/>
      <c r="V77" s="176"/>
      <c r="W77" s="176"/>
      <c r="Y77" s="176"/>
      <c r="AZ77" s="176"/>
    </row>
    <row r="78" spans="10:52" x14ac:dyDescent="0.25">
      <c r="Q78" s="176"/>
      <c r="R78" s="176"/>
      <c r="S78" s="176"/>
      <c r="T78" s="176"/>
      <c r="U78" s="176"/>
      <c r="V78" s="176"/>
      <c r="W78" s="176"/>
      <c r="Y78" s="176"/>
      <c r="AZ78" s="176"/>
    </row>
  </sheetData>
  <mergeCells count="12">
    <mergeCell ref="A15:C15"/>
    <mergeCell ref="B10:C10"/>
    <mergeCell ref="B11:C11"/>
    <mergeCell ref="F11:G11"/>
    <mergeCell ref="I11:K11"/>
    <mergeCell ref="J12:K12"/>
    <mergeCell ref="B13:C13"/>
    <mergeCell ref="B1:C1"/>
    <mergeCell ref="E4:E5"/>
    <mergeCell ref="G8:H8"/>
    <mergeCell ref="G9:H9"/>
    <mergeCell ref="C8:C9"/>
  </mergeCells>
  <conditionalFormatting sqref="O31 P50:P1048576 P40:P48">
    <cfRule type="containsText" dxfId="364" priority="34" operator="containsText" text="Précompte">
      <formula>NOT(ISERROR(SEARCH("Précompte",O31)))</formula>
    </cfRule>
    <cfRule type="containsText" dxfId="363" priority="35" operator="containsText" text="Linéaire">
      <formula>NOT(ISERROR(SEARCH("Linéaire",O31)))</formula>
    </cfRule>
  </conditionalFormatting>
  <conditionalFormatting sqref="K14:K22 F7:N7">
    <cfRule type="containsErrors" dxfId="362" priority="33">
      <formula>ISERROR(F7)</formula>
    </cfRule>
  </conditionalFormatting>
  <conditionalFormatting sqref="F8 I22:I24 J14:K24 F6:N6 I8:N8">
    <cfRule type="cellIs" dxfId="361" priority="32" operator="equal">
      <formula>0</formula>
    </cfRule>
  </conditionalFormatting>
  <conditionalFormatting sqref="K23">
    <cfRule type="containsErrors" dxfId="360" priority="31">
      <formula>ISERROR(K23)</formula>
    </cfRule>
  </conditionalFormatting>
  <conditionalFormatting sqref="K24">
    <cfRule type="containsErrors" dxfId="359" priority="30">
      <formula>ISERROR(K24)</formula>
    </cfRule>
  </conditionalFormatting>
  <conditionalFormatting sqref="K22:K24">
    <cfRule type="containsText" dxfId="358" priority="28" operator="containsText" text="Précompte">
      <formula>NOT(ISERROR(SEARCH("Précompte",K22)))</formula>
    </cfRule>
    <cfRule type="containsText" dxfId="357" priority="29" operator="containsText" text="Linéaire">
      <formula>NOT(ISERROR(SEARCH("Linéaire",K22)))</formula>
    </cfRule>
  </conditionalFormatting>
  <conditionalFormatting sqref="F9 I9:N9">
    <cfRule type="containsErrors" dxfId="356" priority="27">
      <formula>ISERROR(F9)</formula>
    </cfRule>
  </conditionalFormatting>
  <conditionalFormatting sqref="G9">
    <cfRule type="containsErrors" dxfId="355" priority="26">
      <formula>ISERROR(G9)</formula>
    </cfRule>
  </conditionalFormatting>
  <conditionalFormatting sqref="G8">
    <cfRule type="cellIs" dxfId="354" priority="25" stopIfTrue="1" operator="equal">
      <formula>0</formula>
    </cfRule>
  </conditionalFormatting>
  <conditionalFormatting sqref="J7 J9">
    <cfRule type="expression" dxfId="353" priority="36">
      <formula>$J6=0</formula>
    </cfRule>
  </conditionalFormatting>
  <conditionalFormatting sqref="I7 I9:N9">
    <cfRule type="expression" dxfId="352" priority="37">
      <formula>$I6=0</formula>
    </cfRule>
  </conditionalFormatting>
  <conditionalFormatting sqref="H7">
    <cfRule type="expression" dxfId="351" priority="38">
      <formula>$H6=0</formula>
    </cfRule>
  </conditionalFormatting>
  <conditionalFormatting sqref="G9 F7:G7">
    <cfRule type="expression" dxfId="350" priority="39">
      <formula>$G6=0</formula>
    </cfRule>
  </conditionalFormatting>
  <conditionalFormatting sqref="F7 F9">
    <cfRule type="expression" dxfId="349" priority="40">
      <formula>$F6=0</formula>
    </cfRule>
  </conditionalFormatting>
  <conditionalFormatting sqref="J25">
    <cfRule type="cellIs" dxfId="348" priority="24" operator="equal">
      <formula>0</formula>
    </cfRule>
  </conditionalFormatting>
  <conditionalFormatting sqref="K25">
    <cfRule type="containsErrors" dxfId="347" priority="41">
      <formula>ISERROR(K25)</formula>
    </cfRule>
  </conditionalFormatting>
  <conditionalFormatting sqref="K25">
    <cfRule type="cellIs" dxfId="346" priority="23" operator="equal">
      <formula>0</formula>
    </cfRule>
  </conditionalFormatting>
  <conditionalFormatting sqref="P2">
    <cfRule type="containsText" dxfId="345" priority="21" operator="containsText" text="Précompte">
      <formula>NOT(ISERROR(SEARCH("Précompte",P2)))</formula>
    </cfRule>
    <cfRule type="containsText" dxfId="344" priority="22" operator="containsText" text="Linéaire">
      <formula>NOT(ISERROR(SEARCH("Linéaire",P2)))</formula>
    </cfRule>
  </conditionalFormatting>
  <conditionalFormatting sqref="N7 N9">
    <cfRule type="expression" dxfId="343" priority="42">
      <formula>$N6=0</formula>
    </cfRule>
  </conditionalFormatting>
  <conditionalFormatting sqref="M7 M9">
    <cfRule type="expression" dxfId="342" priority="43">
      <formula>$M6=0</formula>
    </cfRule>
  </conditionalFormatting>
  <conditionalFormatting sqref="L7 L9">
    <cfRule type="expression" dxfId="341" priority="44">
      <formula>$L6=0</formula>
    </cfRule>
  </conditionalFormatting>
  <conditionalFormatting sqref="K7 K9">
    <cfRule type="expression" dxfId="340" priority="45">
      <formula>$K6=0</formula>
    </cfRule>
  </conditionalFormatting>
  <conditionalFormatting sqref="H2">
    <cfRule type="cellIs" dxfId="339" priority="18" operator="equal">
      <formula>0</formula>
    </cfRule>
  </conditionalFormatting>
  <conditionalFormatting sqref="F2">
    <cfRule type="cellIs" dxfId="338" priority="19" operator="equal">
      <formula>0</formula>
    </cfRule>
  </conditionalFormatting>
  <conditionalFormatting sqref="B16">
    <cfRule type="cellIs" dxfId="337" priority="17" operator="equal">
      <formula>0</formula>
    </cfRule>
  </conditionalFormatting>
  <conditionalFormatting sqref="B20 B18">
    <cfRule type="cellIs" dxfId="336" priority="16" operator="equal">
      <formula>0</formula>
    </cfRule>
  </conditionalFormatting>
  <conditionalFormatting sqref="A2">
    <cfRule type="containsText" dxfId="335" priority="12" operator="containsText" text="Trans.">
      <formula>NOT(ISERROR(SEARCH("Trans.",A2)))</formula>
    </cfRule>
    <cfRule type="containsText" dxfId="334" priority="13" operator="containsText" text="Inter.">
      <formula>NOT(ISERROR(SEARCH("Inter.",A2)))</formula>
    </cfRule>
    <cfRule type="containsText" dxfId="333" priority="14" operator="containsText" text="Tout">
      <formula>NOT(ISERROR(SEARCH("Tout",A2)))</formula>
    </cfRule>
    <cfRule type="containsText" dxfId="332" priority="15" operator="containsText" text="Mini">
      <formula>NOT(ISERROR(SEARCH("Mini",A2)))</formula>
    </cfRule>
  </conditionalFormatting>
  <conditionalFormatting sqref="B3:B5 C6:C7 B8">
    <cfRule type="expression" dxfId="331" priority="10">
      <formula>$A$2="Trans."</formula>
    </cfRule>
  </conditionalFormatting>
  <conditionalFormatting sqref="B10:C10 F2 H2">
    <cfRule type="expression" dxfId="330" priority="9">
      <formula>$A$2="Trans."</formula>
    </cfRule>
  </conditionalFormatting>
  <conditionalFormatting sqref="F6:N6 F8:N8">
    <cfRule type="expression" dxfId="329" priority="8">
      <formula>$A$2="Trans."</formula>
    </cfRule>
  </conditionalFormatting>
  <conditionalFormatting sqref="G12:G16 B16:B21">
    <cfRule type="expression" dxfId="328" priority="7">
      <formula>$A$2="Trans."</formula>
    </cfRule>
  </conditionalFormatting>
  <conditionalFormatting sqref="J12:K12 J14:J25 G22">
    <cfRule type="expression" dxfId="327" priority="6">
      <formula>$A$2="Trans."</formula>
    </cfRule>
  </conditionalFormatting>
  <conditionalFormatting sqref="E7 E9">
    <cfRule type="expression" dxfId="326" priority="5">
      <formula>$A$2="Trans."</formula>
    </cfRule>
  </conditionalFormatting>
  <conditionalFormatting sqref="C16:C21 A15:C15 A16:A21 A11:C13 A6:B7 A3:A5 C3:C5 A1:C1 E2 G2 I2:K2 E3:N5 E6 F9:N9 I11:K11 I12 I13:K13 I14:I25 K14:K25 F23:G23 F12:F22 G17:G21 F11:G11 A8:A10 F7:N7">
    <cfRule type="expression" dxfId="325" priority="4">
      <formula>$A$2="Trans."</formula>
    </cfRule>
  </conditionalFormatting>
  <conditionalFormatting sqref="E8">
    <cfRule type="expression" dxfId="324" priority="3">
      <formula>$A$2="Trans."</formula>
    </cfRule>
  </conditionalFormatting>
  <conditionalFormatting sqref="B9">
    <cfRule type="expression" dxfId="323" priority="2">
      <formula>$A$2="Trans."</formula>
    </cfRule>
  </conditionalFormatting>
  <conditionalFormatting sqref="C8">
    <cfRule type="expression" dxfId="322" priority="1">
      <formula>$A$2="Trans."</formula>
    </cfRule>
  </conditionalFormatting>
  <pageMargins left="0" right="0" top="0" bottom="0" header="0" footer="0"/>
  <pageSetup paperSize="9" orientation="landscape" verticalDpi="360" r:id="rId1"/>
  <ignoredErrors>
    <ignoredError sqref="C18 C20" formula="1"/>
    <ignoredError sqref="A9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Matrice!$B$43:$F$43</xm:f>
          </x14:formula1>
          <xm:sqref>A2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DR51"/>
  <sheetViews>
    <sheetView zoomScale="80" zoomScaleNormal="80" workbookViewId="0">
      <pane xSplit="2" ySplit="1" topLeftCell="CT2" activePane="bottomRight" state="frozen"/>
      <selection pane="topRight" activeCell="C1" sqref="C1"/>
      <selection pane="bottomLeft" activeCell="A2" sqref="A2"/>
      <selection pane="bottomRight" activeCell="DP7" sqref="DP7"/>
    </sheetView>
  </sheetViews>
  <sheetFormatPr baseColWidth="10" defaultColWidth="9.140625" defaultRowHeight="15" x14ac:dyDescent="0.25"/>
  <cols>
    <col min="1" max="1" width="2.42578125" style="600" customWidth="1"/>
    <col min="2" max="2" width="2" style="228" customWidth="1"/>
    <col min="3" max="3" width="17.85546875" style="226" customWidth="1"/>
    <col min="4" max="4" width="18" style="226" bestFit="1" customWidth="1"/>
    <col min="5" max="5" width="11.5703125" style="226" bestFit="1" customWidth="1"/>
    <col min="6" max="6" width="9.85546875" style="226" bestFit="1" customWidth="1"/>
    <col min="7" max="7" width="14.42578125" style="226" bestFit="1" customWidth="1"/>
    <col min="8" max="8" width="11" style="232" customWidth="1"/>
    <col min="9" max="9" width="2.85546875" style="310" customWidth="1"/>
    <col min="10" max="10" width="19.42578125" style="226" bestFit="1" customWidth="1"/>
    <col min="11" max="11" width="14.42578125" style="226" bestFit="1" customWidth="1"/>
    <col min="12" max="12" width="16" style="233" bestFit="1" customWidth="1"/>
    <col min="13" max="13" width="10" style="233" bestFit="1" customWidth="1"/>
    <col min="14" max="14" width="10.28515625" style="233" bestFit="1" customWidth="1"/>
    <col min="15" max="15" width="5.7109375" style="233" bestFit="1" customWidth="1"/>
    <col min="16" max="16" width="10.140625" style="234" bestFit="1" customWidth="1"/>
    <col min="17" max="17" width="2.28515625" style="233" bestFit="1" customWidth="1"/>
    <col min="18" max="18" width="7.85546875" style="226" bestFit="1" customWidth="1"/>
    <col min="19" max="19" width="14.7109375" style="233" customWidth="1"/>
    <col min="20" max="20" width="7.28515625" style="235" bestFit="1" customWidth="1"/>
    <col min="21" max="21" width="8" style="231" bestFit="1" customWidth="1"/>
    <col min="22" max="22" width="9.42578125" style="236" bestFit="1" customWidth="1"/>
    <col min="23" max="23" width="8.42578125" style="231" bestFit="1" customWidth="1"/>
    <col min="24" max="24" width="9.140625" style="231" bestFit="1" customWidth="1"/>
    <col min="25" max="25" width="7.85546875" style="231" bestFit="1" customWidth="1"/>
    <col min="26" max="26" width="11.5703125" style="231" bestFit="1" customWidth="1"/>
    <col min="27" max="27" width="4.85546875" style="233" bestFit="1" customWidth="1"/>
    <col min="28" max="28" width="10" style="226" bestFit="1" customWidth="1"/>
    <col min="29" max="29" width="10.5703125" style="226" bestFit="1" customWidth="1"/>
    <col min="30" max="30" width="5.28515625" style="226" customWidth="1"/>
    <col min="31" max="31" width="15.140625" style="226" bestFit="1" customWidth="1"/>
    <col min="32" max="32" width="42.140625" style="226" bestFit="1" customWidth="1"/>
    <col min="33" max="33" width="10.85546875" style="226" bestFit="1" customWidth="1"/>
    <col min="34" max="34" width="8.5703125" style="226" bestFit="1" customWidth="1"/>
    <col min="35" max="35" width="10.85546875" style="226" bestFit="1" customWidth="1"/>
    <col min="36" max="36" width="11.28515625" style="226" bestFit="1" customWidth="1"/>
    <col min="37" max="37" width="12.28515625" style="226" bestFit="1" customWidth="1"/>
    <col min="38" max="38" width="7.85546875" style="226" bestFit="1" customWidth="1"/>
    <col min="39" max="40" width="8.140625" style="226" bestFit="1" customWidth="1"/>
    <col min="41" max="41" width="8" style="226" customWidth="1"/>
    <col min="42" max="42" width="8.140625" style="226" bestFit="1" customWidth="1"/>
    <col min="43" max="43" width="8" style="226" bestFit="1" customWidth="1"/>
    <col min="44" max="44" width="12" style="229" bestFit="1" customWidth="1"/>
    <col min="45" max="45" width="8.140625" style="226" bestFit="1" customWidth="1"/>
    <col min="46" max="46" width="8" style="226" bestFit="1" customWidth="1"/>
    <col min="47" max="47" width="12" style="229" bestFit="1" customWidth="1"/>
    <col min="48" max="49" width="8" style="226" customWidth="1"/>
    <col min="50" max="50" width="12" style="229" customWidth="1"/>
    <col min="51" max="51" width="5.85546875" style="226" bestFit="1" customWidth="1"/>
    <col min="52" max="52" width="14.5703125" style="226" bestFit="1" customWidth="1"/>
    <col min="53" max="53" width="6.140625" style="226" bestFit="1" customWidth="1"/>
    <col min="54" max="54" width="35" style="226" bestFit="1" customWidth="1"/>
    <col min="55" max="56" width="13.28515625" style="226" bestFit="1" customWidth="1"/>
    <col min="57" max="57" width="29.7109375" style="226" bestFit="1" customWidth="1"/>
    <col min="58" max="59" width="19.42578125" style="226" bestFit="1" customWidth="1"/>
    <col min="60" max="61" width="2.85546875" style="226" customWidth="1"/>
    <col min="62" max="62" width="10.85546875" style="226" bestFit="1" customWidth="1"/>
    <col min="63" max="63" width="7.42578125" style="226" bestFit="1" customWidth="1"/>
    <col min="64" max="64" width="5.85546875" style="226" bestFit="1" customWidth="1"/>
    <col min="65" max="65" width="10.85546875" style="226" bestFit="1" customWidth="1"/>
    <col min="66" max="66" width="7.85546875" style="226" bestFit="1" customWidth="1"/>
    <col min="67" max="67" width="5.85546875" style="226" bestFit="1" customWidth="1"/>
    <col min="68" max="68" width="10.85546875" style="226" bestFit="1" customWidth="1"/>
    <col min="69" max="69" width="6.7109375" style="226" bestFit="1" customWidth="1"/>
    <col min="70" max="70" width="7" style="226" bestFit="1" customWidth="1"/>
    <col min="71" max="71" width="10.85546875" style="226" bestFit="1" customWidth="1"/>
    <col min="72" max="72" width="6.7109375" style="226" bestFit="1" customWidth="1"/>
    <col min="73" max="73" width="7" style="226" bestFit="1" customWidth="1"/>
    <col min="74" max="74" width="10.85546875" style="226" bestFit="1" customWidth="1"/>
    <col min="75" max="75" width="6.7109375" style="226" bestFit="1" customWidth="1"/>
    <col min="76" max="76" width="7" style="226" bestFit="1" customWidth="1"/>
    <col min="77" max="77" width="7.5703125" style="226" bestFit="1" customWidth="1"/>
    <col min="78" max="78" width="6.7109375" style="226" bestFit="1" customWidth="1"/>
    <col min="79" max="79" width="7" style="226" bestFit="1" customWidth="1"/>
    <col min="80" max="80" width="7.5703125" style="226" bestFit="1" customWidth="1"/>
    <col min="81" max="81" width="6.7109375" style="226" bestFit="1" customWidth="1"/>
    <col min="82" max="82" width="7" style="226" bestFit="1" customWidth="1"/>
    <col min="83" max="83" width="7.5703125" style="226" bestFit="1" customWidth="1"/>
    <col min="84" max="84" width="6.7109375" style="226" bestFit="1" customWidth="1"/>
    <col min="85" max="85" width="7" style="226" bestFit="1" customWidth="1"/>
    <col min="86" max="86" width="7.5703125" style="226" bestFit="1" customWidth="1"/>
    <col min="87" max="87" width="6.7109375" style="226" bestFit="1" customWidth="1"/>
    <col min="88" max="88" width="7" style="226" bestFit="1" customWidth="1"/>
    <col min="89" max="89" width="8.28515625" style="226" bestFit="1" customWidth="1"/>
    <col min="90" max="90" width="8.7109375" style="226" bestFit="1" customWidth="1"/>
    <col min="91" max="91" width="9.85546875" style="226" bestFit="1" customWidth="1"/>
    <col min="92" max="92" width="6" style="226" bestFit="1" customWidth="1"/>
    <col min="93" max="93" width="7.85546875" style="226" bestFit="1" customWidth="1"/>
    <col min="94" max="94" width="7.5703125" style="226" bestFit="1" customWidth="1"/>
    <col min="95" max="95" width="6.28515625" style="226" bestFit="1" customWidth="1"/>
    <col min="96" max="96" width="27.42578125" style="226" bestFit="1" customWidth="1"/>
    <col min="97" max="97" width="6.42578125" style="226" bestFit="1" customWidth="1"/>
    <col min="98" max="98" width="4.42578125" style="226" bestFit="1" customWidth="1"/>
    <col min="99" max="99" width="10.5703125" style="226" bestFit="1" customWidth="1"/>
    <col min="100" max="100" width="13.140625" style="226" bestFit="1" customWidth="1"/>
    <col min="101" max="101" width="7.85546875" style="226" bestFit="1" customWidth="1"/>
    <col min="102" max="102" width="8.140625" style="226" bestFit="1" customWidth="1"/>
    <col min="103" max="103" width="7.7109375" style="226" bestFit="1" customWidth="1"/>
    <col min="104" max="104" width="12.140625" style="226" bestFit="1" customWidth="1"/>
    <col min="105" max="105" width="24.7109375" style="226" bestFit="1" customWidth="1"/>
    <col min="106" max="106" width="7.140625" style="226" bestFit="1" customWidth="1"/>
    <col min="107" max="107" width="8.28515625" style="226" bestFit="1" customWidth="1"/>
    <col min="108" max="108" width="10" style="226" bestFit="1" customWidth="1"/>
    <col min="109" max="109" width="8.5703125" style="226" bestFit="1" customWidth="1"/>
    <col min="110" max="110" width="9.28515625" style="226" bestFit="1" customWidth="1"/>
    <col min="111" max="111" width="10.28515625" style="226" bestFit="1" customWidth="1"/>
    <col min="112" max="112" width="11.28515625" style="226" bestFit="1" customWidth="1"/>
    <col min="113" max="113" width="9.42578125" style="226" bestFit="1" customWidth="1"/>
    <col min="114" max="114" width="4.28515625" style="226" bestFit="1" customWidth="1"/>
    <col min="115" max="115" width="4" style="226" bestFit="1" customWidth="1"/>
    <col min="116" max="116" width="6.28515625" style="230" bestFit="1" customWidth="1"/>
    <col min="117" max="117" width="6" style="226" bestFit="1" customWidth="1"/>
    <col min="118" max="118" width="5.42578125" style="226" customWidth="1"/>
    <col min="119" max="121" width="9.140625" style="226"/>
    <col min="122" max="122" width="11" style="226" customWidth="1"/>
    <col min="123" max="157" width="9.140625" style="226"/>
    <col min="158" max="160" width="6.140625" style="226" bestFit="1" customWidth="1"/>
    <col min="161" max="161" width="10.85546875" style="226" bestFit="1" customWidth="1"/>
    <col min="162" max="16384" width="9.140625" style="226"/>
  </cols>
  <sheetData>
    <row r="1" spans="1:122" s="227" customFormat="1" ht="15.75" x14ac:dyDescent="0.25">
      <c r="A1" s="737"/>
      <c r="B1" s="692"/>
      <c r="C1" s="238" t="s">
        <v>179</v>
      </c>
      <c r="D1" s="238" t="s">
        <v>180</v>
      </c>
      <c r="E1" s="238" t="s">
        <v>0</v>
      </c>
      <c r="F1" s="239" t="s">
        <v>1363</v>
      </c>
      <c r="G1" s="239" t="s">
        <v>165</v>
      </c>
      <c r="H1" s="238" t="s">
        <v>163</v>
      </c>
      <c r="I1" s="369" t="str">
        <f>IF(COUNT(I2:I51)=0,"+J",SUM(I2:I51)/COUNT(I2:I51))</f>
        <v>+J</v>
      </c>
      <c r="J1" s="239" t="s">
        <v>1</v>
      </c>
      <c r="K1" s="239" t="s">
        <v>2</v>
      </c>
      <c r="L1" s="238" t="s">
        <v>39</v>
      </c>
      <c r="M1" s="240" t="s">
        <v>3</v>
      </c>
      <c r="N1" s="241" t="s">
        <v>28</v>
      </c>
      <c r="O1" s="241" t="s">
        <v>124</v>
      </c>
      <c r="P1" s="242" t="s">
        <v>37</v>
      </c>
      <c r="Q1" s="243" t="s">
        <v>57</v>
      </c>
      <c r="R1" s="244" t="s">
        <v>4</v>
      </c>
      <c r="S1" s="239" t="s">
        <v>8</v>
      </c>
      <c r="T1" s="240" t="s">
        <v>119</v>
      </c>
      <c r="U1" s="245" t="s">
        <v>29</v>
      </c>
      <c r="V1" s="260" t="s">
        <v>106</v>
      </c>
      <c r="W1" s="260" t="s">
        <v>107</v>
      </c>
      <c r="X1" s="246" t="s">
        <v>117</v>
      </c>
      <c r="Y1" s="246" t="s">
        <v>126</v>
      </c>
      <c r="Z1" s="247" t="s">
        <v>5</v>
      </c>
      <c r="AA1" s="375" t="str">
        <f>IF(COUNT(AA2:AA51)=0,"+J",SUM(AA2:AA51)/COUNT(AA2:AA51))</f>
        <v>+J</v>
      </c>
      <c r="AB1" s="239" t="s">
        <v>30</v>
      </c>
      <c r="AC1" s="238" t="s">
        <v>6</v>
      </c>
      <c r="AD1" s="308" t="s">
        <v>38</v>
      </c>
      <c r="AE1" s="247" t="s">
        <v>100</v>
      </c>
      <c r="AF1" s="307" t="s">
        <v>7</v>
      </c>
      <c r="AG1" s="251" t="s">
        <v>511</v>
      </c>
      <c r="AH1" s="251" t="s">
        <v>183</v>
      </c>
      <c r="AI1" s="374">
        <v>2018</v>
      </c>
      <c r="AJ1" s="372" t="s">
        <v>1291</v>
      </c>
      <c r="AK1" s="302" t="s">
        <v>1132</v>
      </c>
      <c r="AL1" s="251" t="s">
        <v>1292</v>
      </c>
      <c r="AM1" s="259" t="s">
        <v>227</v>
      </c>
      <c r="AN1" s="259" t="s">
        <v>228</v>
      </c>
      <c r="AO1" s="252" t="s">
        <v>208</v>
      </c>
      <c r="AP1" s="259" t="s">
        <v>226</v>
      </c>
      <c r="AQ1" s="252" t="s">
        <v>209</v>
      </c>
      <c r="AR1" s="253" t="s">
        <v>223</v>
      </c>
      <c r="AS1" s="259" t="s">
        <v>225</v>
      </c>
      <c r="AT1" s="252" t="s">
        <v>210</v>
      </c>
      <c r="AU1" s="253" t="s">
        <v>221</v>
      </c>
      <c r="AV1" s="259" t="s">
        <v>224</v>
      </c>
      <c r="AW1" s="252" t="s">
        <v>211</v>
      </c>
      <c r="AX1" s="253" t="s">
        <v>222</v>
      </c>
      <c r="AY1" s="239" t="s">
        <v>269</v>
      </c>
      <c r="AZ1" s="248" t="s">
        <v>181</v>
      </c>
      <c r="BA1" s="249" t="s">
        <v>182</v>
      </c>
      <c r="BB1" s="248" t="s">
        <v>184</v>
      </c>
      <c r="BC1" s="254" t="s">
        <v>1377</v>
      </c>
      <c r="BD1" s="254" t="s">
        <v>1378</v>
      </c>
      <c r="BE1" s="255" t="s">
        <v>187</v>
      </c>
      <c r="BF1" s="255" t="s">
        <v>188</v>
      </c>
      <c r="BG1" s="255" t="s">
        <v>189</v>
      </c>
      <c r="BH1" s="250" t="s">
        <v>258</v>
      </c>
      <c r="BI1" s="250" t="s">
        <v>259</v>
      </c>
      <c r="BJ1" s="248" t="s">
        <v>190</v>
      </c>
      <c r="BK1" s="250" t="s">
        <v>212</v>
      </c>
      <c r="BL1" s="251" t="s">
        <v>230</v>
      </c>
      <c r="BM1" s="248" t="s">
        <v>191</v>
      </c>
      <c r="BN1" s="250" t="s">
        <v>213</v>
      </c>
      <c r="BO1" s="251" t="s">
        <v>231</v>
      </c>
      <c r="BP1" s="248" t="s">
        <v>192</v>
      </c>
      <c r="BQ1" s="250" t="s">
        <v>214</v>
      </c>
      <c r="BR1" s="251" t="s">
        <v>232</v>
      </c>
      <c r="BS1" s="248" t="s">
        <v>193</v>
      </c>
      <c r="BT1" s="250" t="s">
        <v>215</v>
      </c>
      <c r="BU1" s="251" t="s">
        <v>233</v>
      </c>
      <c r="BV1" s="248" t="s">
        <v>194</v>
      </c>
      <c r="BW1" s="250" t="s">
        <v>216</v>
      </c>
      <c r="BX1" s="251" t="s">
        <v>234</v>
      </c>
      <c r="BY1" s="248" t="s">
        <v>195</v>
      </c>
      <c r="BZ1" s="250" t="s">
        <v>217</v>
      </c>
      <c r="CA1" s="251" t="s">
        <v>235</v>
      </c>
      <c r="CB1" s="248" t="s">
        <v>196</v>
      </c>
      <c r="CC1" s="250" t="s">
        <v>218</v>
      </c>
      <c r="CD1" s="251" t="s">
        <v>236</v>
      </c>
      <c r="CE1" s="248" t="s">
        <v>197</v>
      </c>
      <c r="CF1" s="250" t="s">
        <v>219</v>
      </c>
      <c r="CG1" s="251" t="s">
        <v>1130</v>
      </c>
      <c r="CH1" s="248" t="s">
        <v>198</v>
      </c>
      <c r="CI1" s="250" t="s">
        <v>220</v>
      </c>
      <c r="CJ1" s="251" t="s">
        <v>1129</v>
      </c>
      <c r="CK1" s="256" t="s">
        <v>280</v>
      </c>
      <c r="CL1" s="256" t="s">
        <v>281</v>
      </c>
      <c r="CM1" s="256" t="s">
        <v>282</v>
      </c>
      <c r="CN1" s="256" t="s">
        <v>284</v>
      </c>
      <c r="CO1" s="237" t="s">
        <v>312</v>
      </c>
      <c r="CP1" s="237" t="s">
        <v>283</v>
      </c>
      <c r="CQ1" s="237" t="s">
        <v>349</v>
      </c>
      <c r="CR1" s="238" t="s">
        <v>310</v>
      </c>
      <c r="CS1" s="238" t="s">
        <v>378</v>
      </c>
      <c r="CT1" s="244" t="s">
        <v>311</v>
      </c>
      <c r="CU1" s="239" t="s">
        <v>313</v>
      </c>
      <c r="CV1" s="378" t="s">
        <v>1375</v>
      </c>
      <c r="CW1" s="239" t="s">
        <v>341</v>
      </c>
      <c r="CX1" s="239" t="s">
        <v>342</v>
      </c>
      <c r="CY1" s="247" t="s">
        <v>148</v>
      </c>
      <c r="CZ1" s="239" t="s">
        <v>352</v>
      </c>
      <c r="DA1" s="239" t="s">
        <v>382</v>
      </c>
      <c r="DB1" s="257" t="s">
        <v>339</v>
      </c>
      <c r="DC1" s="258" t="s">
        <v>344</v>
      </c>
      <c r="DD1" s="258" t="s">
        <v>303</v>
      </c>
      <c r="DE1" s="257" t="s">
        <v>389</v>
      </c>
      <c r="DF1" s="257" t="s">
        <v>340</v>
      </c>
      <c r="DG1" s="258" t="s">
        <v>366</v>
      </c>
      <c r="DH1" s="257" t="s">
        <v>345</v>
      </c>
      <c r="DI1" s="257" t="s">
        <v>346</v>
      </c>
      <c r="DJ1" s="258" t="s">
        <v>347</v>
      </c>
      <c r="DK1" s="258" t="s">
        <v>348</v>
      </c>
      <c r="DL1" s="238" t="s">
        <v>349</v>
      </c>
      <c r="DM1" s="315" t="s">
        <v>505</v>
      </c>
      <c r="DN1" s="238" t="s">
        <v>57</v>
      </c>
      <c r="DO1" s="391" t="s">
        <v>179</v>
      </c>
      <c r="DP1" s="390" t="s">
        <v>184</v>
      </c>
      <c r="DQ1" s="390" t="s">
        <v>1366</v>
      </c>
      <c r="DR1" s="390" t="s">
        <v>1367</v>
      </c>
    </row>
    <row r="2" spans="1:122" x14ac:dyDescent="0.25">
      <c r="A2" s="599" t="str">
        <f t="shared" ref="A2" si="0">CONCATENATE(C2," ",D2," - ",K2," - ",J2)</f>
        <v xml:space="preserve">  -  - </v>
      </c>
      <c r="B2" s="306"/>
      <c r="C2" s="305"/>
      <c r="D2" s="301"/>
      <c r="E2" s="276"/>
      <c r="F2" s="278"/>
      <c r="G2" s="311"/>
      <c r="H2" s="276"/>
      <c r="I2" s="313" t="str">
        <f>IF(G2="Annulation","",IF(H2=0,"",E2-H2))</f>
        <v/>
      </c>
      <c r="J2" s="312"/>
      <c r="K2" s="268"/>
      <c r="L2" s="277"/>
      <c r="M2" s="279"/>
      <c r="N2" s="280"/>
      <c r="O2" s="280"/>
      <c r="P2" s="455"/>
      <c r="Q2" s="281" t="str">
        <f>IF(COUNT(AD2)=0,"",AD2)</f>
        <v/>
      </c>
      <c r="R2" s="282">
        <f>SUM(M2*12)</f>
        <v>0</v>
      </c>
      <c r="S2" s="268"/>
      <c r="T2" s="283">
        <f t="shared" ref="T2:T33" si="1">IF(G2="Annulation","",IF(assurance="ALPTIS",IF(L2="SO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2" s="284">
        <f>IF(M2=0,0,IF(G2="Annulation","",IF(assurance="ALPTIS",M2*12*T2/100*'11801 Data'!$K$4,IF(assurance="APRIL",M2*12*T2/100*'11801 Data'!$F$4,IF(assurance="ASAF",M2*12*T2/100*'11801 Data'!$I$4,IF(assurance="NEOLIANE",('11801 Data'!$G$5+M2*12*'11801 Data'!$G$4)*T2/100,IF(assurance="NEOLIANE Prev",('11801 Data'!$H$5+M2*12*'11801 Data'!$H$4)*T2/100,IF(assurance="SWISSLIFE",M2*12*T2/100*'11801 Data'!$J$4,IF(assurance="AVIVA",M2*12*T2/100*'11801 Data'!$L$4,IF(assurance="CIPRES",M2*12*T2/100*'11801 Data'!$M$4,IF(assurance="CEGEMA",M2*12*T2/100*'11801 Data'!$N$4,IF(assurance=0,0))))))))))))</f>
        <v>0</v>
      </c>
      <c r="V2" s="298" t="str">
        <f>IF(M2="","",IF(G2="Annulation","",IF(typecomm="Précompte",SUM((M2-O2)*T2/100*12)+O2*12*0.15,IF(typecomm="Précompte 1",SUM((M2-O2)*T2/100*12)+O2*12*0.15,IF(typecomm="Linéaire",0,IF(typecomm=0,0))))))</f>
        <v/>
      </c>
      <c r="W2" s="298" t="str">
        <f>IF(M2="","",IF(G2="Annulation","",IF(typecomm="Linéaire",SUM((M2-O2)*T2/100)+O2*0.15,IF(typecomm="Précompte 1",0,IF(typecomm="Précompte",0,IF(typecomm=0,0))))))</f>
        <v/>
      </c>
      <c r="X2" s="299">
        <f t="shared" ref="X2:X33" si="2">IF(G2="Annulation",0,IF(typecomm="Linéaire",0,IF(typecomm="Précompte 1",V2-U2,IF(mens=0,0,IF(typecomm="Précompte",V2-U2,IF(typecomm=0,0))))))</f>
        <v>0</v>
      </c>
      <c r="Y2" s="368">
        <f t="shared" ref="Y2:Y33" si="3">IF(G2="Annulation",0,IF(M2="",0,IF(typecomm="Linéaire",SUM(W2-U2/12),IF(typecomm="Précompte 1",0,IF(typecomm="Précompte",0,IF(typecomm=0,0))))))</f>
        <v>0</v>
      </c>
      <c r="Z2" s="314"/>
      <c r="AA2" s="313" t="str">
        <f>IF(Z2="","",IF(G2="Annulation","",IF(E2="",0,Z2-E2)))</f>
        <v/>
      </c>
      <c r="AB2" s="268" t="s">
        <v>13</v>
      </c>
      <c r="AC2" s="277"/>
      <c r="AD2" s="309" t="str">
        <f>IF(Z2=43466,"Programmée","")</f>
        <v/>
      </c>
      <c r="AE2" s="286" t="str">
        <f>IF(Z2=43466,43404,"")</f>
        <v/>
      </c>
      <c r="AF2" s="277"/>
      <c r="AG2" s="275" t="str">
        <f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/>
      </c>
      <c r="AH2" s="287" t="str">
        <f ca="1">(IF(COUNT(Z2)=0,"",IF(G2="Annulation","",IF(Z2&gt;0,(Z2-TODAY())/(-365),0))))</f>
        <v/>
      </c>
      <c r="AI2" s="373" t="str">
        <f t="shared" ref="AI2:AI33" ca="1" si="4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/>
      </c>
      <c r="AJ2" s="296" t="str">
        <f>IF(G2="Annulation","",IF(Z2="","",AI2-62))</f>
        <v/>
      </c>
      <c r="AK2" s="296" t="str">
        <f>IF(G2="Annulation","",IF(Z2="","",AI2-92))</f>
        <v/>
      </c>
      <c r="AL2" s="287" t="str">
        <f>(IF(COUNT(Z2)=0,"",IF(G2="Annulation","",IF(Z2&gt;0,(Z2-AI2)/(-365),0))))</f>
        <v/>
      </c>
      <c r="AM2" s="279">
        <f>IF(G2="Annulation","",IF(Z2&lt;42736,M2,0))</f>
        <v>0</v>
      </c>
      <c r="AN2" s="279">
        <f>IF(G2="Annulation","",IF(Z2&gt;=42736,IF(Z2&lt;43101,M2,0),0))</f>
        <v>0</v>
      </c>
      <c r="AO2" s="288">
        <f>IF(G2="Annulation","",IF(AM2&gt;0,IF(AM2&gt;0,(AM2-AN2)/AM2*(-1),),0))</f>
        <v>0</v>
      </c>
      <c r="AP2" s="279">
        <f>IF(G2="Annulation","",IF(Z2&gt;=43101,IF(Z2&lt;43466,M2,0),0))</f>
        <v>0</v>
      </c>
      <c r="AQ2" s="288">
        <f>IF(G2="Annulation","",IF(AN2&gt;0,(AN2-AP2)/AN2*(-1),))</f>
        <v>0</v>
      </c>
      <c r="AR2" s="289">
        <f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279">
        <f>IF(G2="Annulation","",IF(Z2&gt;=43466,IF(Z2&lt;43831,M2,0),0))</f>
        <v>0</v>
      </c>
      <c r="AT2" s="288">
        <f>IF(G2="Annulation","",IF(AP2&gt;0,(AP2-AS2)/AP2*(-1),0))</f>
        <v>0</v>
      </c>
      <c r="AU2" s="289">
        <f>IF(G2="Annulation","",IF(AS2&gt;0,IF(AM2&gt;0,(AM2-AS2)/(-AM2),IF(AN2&gt;0,(AN2-AS2)/(-AN2),IF(AP2&gt;0,(AP2-AS2)/(-AP2),0))),0))</f>
        <v>0</v>
      </c>
      <c r="AV2" s="279">
        <f>IF(G2="Annulation","",IF(Z2&gt;=43831,IF(Z2&lt;44197,M2,0),0))</f>
        <v>0</v>
      </c>
      <c r="AW2" s="288">
        <f>IF(G2="Annulation","",IF(AS2&gt;0,(AS2-AV2)/AS2*(-1),0))</f>
        <v>0</v>
      </c>
      <c r="AX2" s="289">
        <f>IF(G2="Annulation","",(IF(AM2&gt;0,(AM2-AV2)/(-AM2),IF(AN2&gt;0,(AN2-AV2)/(-AN2),IF(AP2&gt;0,(AP2-AV2)/(-AP2),IF(AS2&gt;0,(AS2-AV2)/(-AS2),0))))))</f>
        <v>0</v>
      </c>
      <c r="AY2" s="268"/>
      <c r="AZ2" s="291"/>
      <c r="BA2" s="292"/>
      <c r="BB2" s="303"/>
      <c r="BC2" s="293"/>
      <c r="BD2" s="293"/>
      <c r="BE2" s="304"/>
      <c r="BF2" s="274"/>
      <c r="BG2" s="377"/>
      <c r="BH2" s="268">
        <v>1</v>
      </c>
      <c r="BI2" s="273">
        <v>0</v>
      </c>
      <c r="BJ2" s="276"/>
      <c r="BK2" s="294"/>
      <c r="BL2" s="269" t="str">
        <f ca="1">IF(DATEDIF(BJ2,TODAY(),"Y")=118,"",DATEDIF(BJ2,TODAY(),"Y"))</f>
        <v/>
      </c>
      <c r="BM2" s="270"/>
      <c r="BN2" s="271"/>
      <c r="BO2" s="272" t="str">
        <f ca="1">IF(DATEDIF(BM2,TODAY(),"Y")=118,"",DATEDIF(BM2,TODAY(),"Y"))</f>
        <v/>
      </c>
      <c r="BP2" s="270"/>
      <c r="BQ2" s="271"/>
      <c r="BR2" s="272" t="str">
        <f ca="1">IF(DATEDIF(BP2,TODAY(),"Y")=118,"",DATEDIF(BP2,TODAY(),"Y"))</f>
        <v/>
      </c>
      <c r="BS2" s="270"/>
      <c r="BT2" s="271"/>
      <c r="BU2" s="272" t="str">
        <f ca="1">IF(DATEDIF(BS2,TODAY(),"Y")=118,"",DATEDIF(BS2,TODAY(),"Y"))</f>
        <v/>
      </c>
      <c r="BV2" s="270"/>
      <c r="BW2" s="271"/>
      <c r="BX2" s="272" t="str">
        <f ca="1">IF(DATEDIF(BV2,TODAY(),"Y")=118,"",DATEDIF(BV2,TODAY(),"Y"))</f>
        <v/>
      </c>
      <c r="BY2" s="270"/>
      <c r="BZ2" s="271"/>
      <c r="CA2" s="272" t="str">
        <f ca="1">IF(DATEDIF(BY2,TODAY(),"Y")=118,"",DATEDIF(BY2,TODAY(),"Y"))</f>
        <v/>
      </c>
      <c r="CB2" s="270"/>
      <c r="CC2" s="271"/>
      <c r="CD2" s="272" t="str">
        <f ca="1">IF(DATEDIF(CB2,TODAY(),"Y")=118,"",DATEDIF(CB2,TODAY(),"Y"))</f>
        <v/>
      </c>
      <c r="CE2" s="270"/>
      <c r="CF2" s="271"/>
      <c r="CG2" s="272" t="str">
        <f ca="1">IF(DATEDIF(CE2,TODAY(),"Y")=118,"",DATEDIF(CE2,TODAY(),"Y"))</f>
        <v/>
      </c>
      <c r="CH2" s="270"/>
      <c r="CI2" s="271"/>
      <c r="CJ2" s="272" t="str">
        <f ca="1">IF(DATEDIF(CH2,TODAY(),"Y")=118,"",DATEDIF(CH2,TODAY(),"Y"))</f>
        <v/>
      </c>
      <c r="CK2" s="262"/>
      <c r="CL2" s="264"/>
      <c r="CM2" s="264"/>
      <c r="CN2" s="264"/>
      <c r="CO2" s="264"/>
      <c r="CP2" s="264"/>
      <c r="CQ2" s="264"/>
      <c r="CR2" s="262"/>
      <c r="CS2" s="263"/>
      <c r="CT2" s="297" t="str">
        <f t="shared" ref="CT2:CT33" si="5">IF(J2="Prev. Pro",IF(BL2=118,"",BL2),"")</f>
        <v/>
      </c>
      <c r="CU2" s="264"/>
      <c r="CV2" s="265"/>
      <c r="CW2" s="264"/>
      <c r="CX2" s="264"/>
      <c r="CY2" s="264" t="str">
        <f t="shared" ref="CY2:CY33" si="6">IF(J2&lt;&gt;"Prev. Pro","",IF(AC2="","Non",IF(J2="Prev. Pro","Oui","Non")))</f>
        <v/>
      </c>
      <c r="CZ2" s="264"/>
      <c r="DA2" s="264"/>
      <c r="DB2" s="266"/>
      <c r="DC2" s="264"/>
      <c r="DD2" s="264"/>
      <c r="DE2" s="266"/>
      <c r="DF2" s="266"/>
      <c r="DG2" s="264"/>
      <c r="DH2" s="266"/>
      <c r="DI2" s="266"/>
      <c r="DJ2" s="264"/>
      <c r="DK2" s="264"/>
      <c r="DL2" s="267"/>
      <c r="DM2" s="261">
        <f t="shared" ref="DM2:DM33" si="7">Infoman</f>
        <v>0</v>
      </c>
      <c r="DN2" s="295" t="str">
        <f t="shared" ref="DN2:DN33" si="8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/>
      </c>
      <c r="DO2" s="392" t="str">
        <f t="shared" ref="DO2:DO33" si="9">IF(C2="","",C2)</f>
        <v/>
      </c>
      <c r="DP2" s="392" t="str">
        <f>IF(BB2="","",BB2)</f>
        <v/>
      </c>
      <c r="DQ2" s="456" t="str">
        <f t="shared" ref="DQ2:DQ33" si="10">IF(C2="","",IF(J2="Santé Individuelle",CONCATENATE((IF(BH2=1,CONCATENATE("Étude Mutuelles 2019 pour ",F2," ",C2),IF(BH2=2,CONCATENATE("Étude Mutuelles 2019 pour Monsieur et Madame ",C2)))),(IF(BI2=0," [ Mathieu CEDELLE - ASSURE DIRECT ]",IF(BI2=1," + 1 Enfant [ Mathieu CEDELLE - ASSURE DIRECT ]",IF(BI2&gt;1,CONCATENATE(" + ",BI2," Enfants [ Mathieu CEDELLE - ASSURE DIRECT ]")))))),IF(J2="Prev. Pro",CONCATENATE((IF(BH2=1,CONCATENATE("Étude Prévoyance Pro 2019 pour ",F2," ",C2),IF(BH2=2,CONCATENATE("Étude Prévoyance Pro 2019 pour Monsieur et Madame ",C2)))),(IF(BI2=0," [ Mathieu CEDELLE - ASSURE DIRECT ]",IF(BI2=1," + 1 Enfant [ Mathieu CEDELLE - ASSURE DIRECT ]",IF(BI2&gt;1,CONCATENATE(" + ",BI2," Enfants [ Mathieu CEDELLE - ASSURE DIRECT ]")))))),CONCATENATE((IF(BH2=1,CONCATENATE("Étude Assurances 2019 pour ",F2," ",C2),IF(BH2=2,CONCATENATE("Étude Assurances 2019 pour Monsieur et Madame ",C2)))),(IF(BI2=0," [ Mathieu CEDELLE - ASSURE DIRECT ]",IF(BI2=1," + 1 Enfant [ Mathieu CEDELLE - ASSURE DIRECT ]",IF(BI2&gt;1,CONCATENATE(" + ",BI2," Enfants [ Mathieu CEDELLE - ASSURE DIRECT ]")))))))))</f>
        <v/>
      </c>
      <c r="DR2" s="456" t="str">
        <f>IF(M2="","",CONCATENATE("Bonjour ",F2," ",C2,",
Tout d'abord, constatant que vous êtes toujours client chez la mutuelle ",K2," (mutuelle que nous avions choisie ensemble), je tiens à vous remercier de votre fidélité. 
Ensuite, plutôt que de vous faire attendre votre futur échéancier, je tiens à vous informer que ",K2," a depuis peu annoncé ses augmentations pour janvier 2019. Dans votre cas, votre tarif passera à ",AS2,"€/mois. 
Sachant que nous avions initialement souscrit au tarif de ",M2,"€/mois cela fera une augmentation totale de ",ROUND(AU2*100,1)," % ce qui me semble bien trop élevé en si peu de temps. C'est donc pourquoi je prends les devants pour éviter de devoir changer dans la précipitation."))</f>
        <v/>
      </c>
    </row>
    <row r="3" spans="1:122" x14ac:dyDescent="0.25">
      <c r="A3" s="599" t="str">
        <f t="shared" ref="A3:A51" si="11">CONCATENATE(C3," ",D3," - ",K3," - ",J3)</f>
        <v xml:space="preserve">  -  - </v>
      </c>
      <c r="B3" s="306"/>
      <c r="C3" s="305"/>
      <c r="D3" s="301"/>
      <c r="E3" s="276"/>
      <c r="F3" s="278"/>
      <c r="G3" s="311"/>
      <c r="H3" s="276"/>
      <c r="I3" s="313" t="str">
        <f t="shared" ref="I3:I51" si="12">IF(G3="Annulation","",IF(H3=0,"",E3-H3))</f>
        <v/>
      </c>
      <c r="J3" s="312"/>
      <c r="K3" s="268"/>
      <c r="L3" s="277"/>
      <c r="M3" s="279"/>
      <c r="N3" s="280"/>
      <c r="O3" s="280"/>
      <c r="P3" s="455"/>
      <c r="Q3" s="281" t="str">
        <f t="shared" ref="Q3:Q51" si="13">IF(COUNT(AD3)=0,"",AD3)</f>
        <v/>
      </c>
      <c r="R3" s="282">
        <f t="shared" ref="R3:R51" si="14">SUM(M3*12)</f>
        <v>0</v>
      </c>
      <c r="S3" s="268"/>
      <c r="T3" s="283">
        <f t="shared" si="1"/>
        <v>0</v>
      </c>
      <c r="U3" s="284">
        <f>IF(M3=0,0,IF(G3="Annulation","",IF(assurance="ALPTIS",M3*12*T3/100*'11801 Data'!$K$4,IF(assurance="APRIL",M3*12*T3/100*'11801 Data'!$F$4,IF(assurance="ASAF",M3*12*T3/100*'11801 Data'!$I$4,IF(assurance="NEOLIANE",('11801 Data'!$G$5+M3*12*'11801 Data'!$G$4)*T3/100,IF(assurance="NEOLIANE Prev",('11801 Data'!$H$5+M3*12*'11801 Data'!$H$4)*T3/100,IF(assurance="SWISSLIFE",M3*12*T3/100*'11801 Data'!$J$4,IF(assurance="AVIVA",M3*12*T3/100*'11801 Data'!$L$4,IF(assurance="CIPRES",M3*12*T3/100*'11801 Data'!$M$4,IF(assurance="CEGEMA",M3*12*T3/100*'11801 Data'!$N$4,IF(assurance=0,0))))))))))))</f>
        <v>0</v>
      </c>
      <c r="V3" s="298" t="str">
        <f t="shared" ref="V3:V51" si="15">IF(M3="","",IF(G3="Annulation","",IF(typecomm="Précompte",SUM((M3-O3)*T3/100*12)+O3*12*0.15,IF(typecomm="Précompte 1",SUM((M3-O3)*T3/100*12)+O3*12*0.15,IF(typecomm="Linéaire",0,IF(typecomm=0,0))))))</f>
        <v/>
      </c>
      <c r="W3" s="298" t="str">
        <f t="shared" ref="W3:W51" si="16">IF(M3="","",IF(G3="Annulation","",IF(typecomm="Linéaire",SUM((M3-O3)*T3/100)+O3*0.15,IF(typecomm="Précompte 1",0,IF(typecomm="Précompte",0,IF(typecomm=0,0))))))</f>
        <v/>
      </c>
      <c r="X3" s="299">
        <f t="shared" si="2"/>
        <v>0</v>
      </c>
      <c r="Y3" s="368">
        <f t="shared" si="3"/>
        <v>0</v>
      </c>
      <c r="Z3" s="314"/>
      <c r="AA3" s="313" t="str">
        <f t="shared" ref="AA3:AA51" si="17">IF(Z3="","",IF(G3="Annulation","",IF(E3="",0,Z3-E3)))</f>
        <v/>
      </c>
      <c r="AB3" s="268" t="s">
        <v>13</v>
      </c>
      <c r="AC3" s="277"/>
      <c r="AD3" s="309" t="str">
        <f t="shared" ref="AD3:AD51" si="18">IF(Z3=43466,"Programmée","")</f>
        <v/>
      </c>
      <c r="AE3" s="286" t="str">
        <f t="shared" ref="AE3:AE51" si="19">IF(Z3=43466,43404,"")</f>
        <v/>
      </c>
      <c r="AF3" s="277"/>
      <c r="AG3" s="275" t="str">
        <f t="shared" ref="AG3:AG51" si="20">(IF(COUNT(Z3)=0,"",IF(G3="Annulation","",IF(K3="SWISSLIFE",Z3+365,IF(K3="AVIVA",Z3+365,IF(K3="NEOLIANE Prev",Z3+365,IF(Z3&lt;42370,42370,IF(Z3&lt;42736,42736,IF(Z3&lt;43101,43101,IF(Z3&lt;43466,43466,IF(Z3&lt;43831,43831,IF(Z3&lt;44197,44197,IF(Z3&lt;44562,44562,IF(Z3&lt;44927,44927))))))))))))))</f>
        <v/>
      </c>
      <c r="AH3" s="287" t="str">
        <f t="shared" ref="AH3:AH51" ca="1" si="21">(IF(COUNT(Z3)=0,"",IF(G3="Annulation","",IF(Z3&gt;0,(Z3-TODAY())/(-365),0))))</f>
        <v/>
      </c>
      <c r="AI3" s="373" t="str">
        <f t="shared" ca="1" si="4"/>
        <v/>
      </c>
      <c r="AJ3" s="296" t="str">
        <f t="shared" ref="AJ3:AJ51" si="22">IF(G3="Annulation","",IF(Z3="","",AI3-62))</f>
        <v/>
      </c>
      <c r="AK3" s="296" t="str">
        <f t="shared" ref="AK3:AK51" si="23">IF(G3="Annulation","",IF(Z3="","",AI3-92))</f>
        <v/>
      </c>
      <c r="AL3" s="287" t="str">
        <f t="shared" ref="AL3:AL51" si="24">(IF(COUNT(Z3)=0,"",IF(G3="Annulation","",IF(Z3&gt;0,(Z3-AI3)/(-365),0))))</f>
        <v/>
      </c>
      <c r="AM3" s="279">
        <f t="shared" ref="AM3:AM51" si="25">IF(G3="Annulation","",IF(Z3&lt;42736,M3,0))</f>
        <v>0</v>
      </c>
      <c r="AN3" s="279">
        <f t="shared" ref="AN3:AN51" si="26">IF(G3="Annulation","",IF(Z3&gt;=42736,IF(Z3&lt;43101,M3,0),0))</f>
        <v>0</v>
      </c>
      <c r="AO3" s="288">
        <f t="shared" ref="AO3:AO51" si="27">IF(G3="Annulation","",IF(AM3&gt;0,IF(AM3&gt;0,(AM3-AN3)/AM3*(-1),),0))</f>
        <v>0</v>
      </c>
      <c r="AP3" s="279">
        <f t="shared" ref="AP3:AP51" si="28">IF(G3="Annulation","",IF(Z3&gt;=43101,IF(Z3&lt;43466,M3,0),0))</f>
        <v>0</v>
      </c>
      <c r="AQ3" s="288">
        <f t="shared" ref="AQ3:AQ51" si="29">IF(G3="Annulation","",IF(AN3&gt;0,(AN3-AP3)/AN3*(-1),))</f>
        <v>0</v>
      </c>
      <c r="AR3" s="289">
        <f t="shared" ref="AR3:AR51" si="30">IF(G3="Annulation","",IF(AND(AM3&lt;=0,AN3&lt;=0,AO3&lt;=0),0,IF(AND(AM3&lt;=0,AN3&lt;=0,AO3&gt;0),(AP3-AO3)/AO3,0+IF(AND(AM3&lt;=0,AN3&gt;0,AO3&lt;=0),(AP3-AN3)/AN3,0+IF(AND(AM3&gt;0,AN3&lt;=0,AO3&lt;=0),(AP3-AM3)/AM3,0+IF(AND(AM3&lt;=0,AN3&gt;0,AO3&gt;0),(AP3-AN3)/AN3,0+IF(AND(AM3&gt;0,AN3&lt;=0,AO3&gt;0),(AP3-AM3)/AM3,0+IF(AND(AM3&lt;=0,AN3&gt;0,AO3&gt;0),(AP3-AN3)/AN3,0+IF(AND(AM3&gt;0,AN3&gt;0,AO3&lt;=0),(AP3-AM3)/AM3,0+IF(AND(AM3&gt;0,AN3&gt;0,AO3&gt;0),(AP3-AM3)/AM3,0))))))))))</f>
        <v>0</v>
      </c>
      <c r="AS3" s="279">
        <f t="shared" ref="AS3:AS51" si="31">IF(G3="Annulation","",IF(Z3&gt;=43466,IF(Z3&lt;43831,M3,0),0))</f>
        <v>0</v>
      </c>
      <c r="AT3" s="288">
        <f t="shared" ref="AT3:AT51" si="32">IF(G3="Annulation","",IF(AP3&gt;0,(AP3-AS3)/AP3*(-1),0))</f>
        <v>0</v>
      </c>
      <c r="AU3" s="289">
        <f t="shared" ref="AU3:AU51" si="33">IF(G3="Annulation","",IF(AS3&gt;0,IF(AM3&gt;0,(AM3-AS3)/(-AM3),IF(AN3&gt;0,(AN3-AS3)/(-AN3),IF(AP3&gt;0,(AP3-AS3)/(-AP3),0))),0))</f>
        <v>0</v>
      </c>
      <c r="AV3" s="279">
        <f t="shared" ref="AV3:AV51" si="34">IF(G3="Annulation","",IF(Z3&gt;=43831,IF(Z3&lt;44197,M3,0),0))</f>
        <v>0</v>
      </c>
      <c r="AW3" s="288">
        <f t="shared" ref="AW3:AW51" si="35">IF(G3="Annulation","",IF(AS3&gt;0,(AS3-AV3)/AS3*(-1),0))</f>
        <v>0</v>
      </c>
      <c r="AX3" s="289">
        <f t="shared" ref="AX3:AX51" si="36">IF(G3="Annulation","",(IF(AM3&gt;0,(AM3-AV3)/(-AM3),IF(AN3&gt;0,(AN3-AV3)/(-AN3),IF(AP3&gt;0,(AP3-AV3)/(-AP3),IF(AS3&gt;0,(AS3-AV3)/(-AS3),0))))))</f>
        <v>0</v>
      </c>
      <c r="AY3" s="268"/>
      <c r="AZ3" s="291"/>
      <c r="BA3" s="292"/>
      <c r="BB3" s="303"/>
      <c r="BC3" s="293"/>
      <c r="BD3" s="293"/>
      <c r="BE3" s="304"/>
      <c r="BF3" s="274"/>
      <c r="BG3" s="377"/>
      <c r="BH3" s="268">
        <v>1</v>
      </c>
      <c r="BI3" s="273">
        <v>0</v>
      </c>
      <c r="BJ3" s="276"/>
      <c r="BK3" s="294"/>
      <c r="BL3" s="269" t="str">
        <f t="shared" ref="BL3:BL51" ca="1" si="37">IF(DATEDIF(BJ3,TODAY(),"Y")=118,"",DATEDIF(BJ3,TODAY(),"Y"))</f>
        <v/>
      </c>
      <c r="BM3" s="270"/>
      <c r="BN3" s="271"/>
      <c r="BO3" s="272" t="str">
        <f t="shared" ref="BO3:BO51" ca="1" si="38">IF(DATEDIF(BM3,TODAY(),"Y")=118,"",DATEDIF(BM3,TODAY(),"Y"))</f>
        <v/>
      </c>
      <c r="BP3" s="270"/>
      <c r="BQ3" s="271"/>
      <c r="BR3" s="272" t="str">
        <f t="shared" ref="BR3:BR51" ca="1" si="39">IF(DATEDIF(BP3,TODAY(),"Y")=118,"",DATEDIF(BP3,TODAY(),"Y"))</f>
        <v/>
      </c>
      <c r="BS3" s="270"/>
      <c r="BT3" s="271"/>
      <c r="BU3" s="272" t="str">
        <f t="shared" ref="BU3:BU51" ca="1" si="40">IF(DATEDIF(BS3,TODAY(),"Y")=118,"",DATEDIF(BS3,TODAY(),"Y"))</f>
        <v/>
      </c>
      <c r="BV3" s="270"/>
      <c r="BW3" s="271"/>
      <c r="BX3" s="272" t="str">
        <f t="shared" ref="BX3:BX51" ca="1" si="41">IF(DATEDIF(BV3,TODAY(),"Y")=118,"",DATEDIF(BV3,TODAY(),"Y"))</f>
        <v/>
      </c>
      <c r="BY3" s="270"/>
      <c r="BZ3" s="271"/>
      <c r="CA3" s="272" t="str">
        <f t="shared" ref="CA3:CA51" ca="1" si="42">IF(DATEDIF(BY3,TODAY(),"Y")=118,"",DATEDIF(BY3,TODAY(),"Y"))</f>
        <v/>
      </c>
      <c r="CB3" s="270"/>
      <c r="CC3" s="271"/>
      <c r="CD3" s="272" t="str">
        <f t="shared" ref="CD3:CD51" ca="1" si="43">IF(DATEDIF(CB3,TODAY(),"Y")=118,"",DATEDIF(CB3,TODAY(),"Y"))</f>
        <v/>
      </c>
      <c r="CE3" s="270"/>
      <c r="CF3" s="271"/>
      <c r="CG3" s="272" t="str">
        <f t="shared" ref="CG3:CG51" ca="1" si="44">IF(DATEDIF(CE3,TODAY(),"Y")=118,"",DATEDIF(CE3,TODAY(),"Y"))</f>
        <v/>
      </c>
      <c r="CH3" s="270"/>
      <c r="CI3" s="271"/>
      <c r="CJ3" s="272" t="str">
        <f t="shared" ref="CJ3:CJ51" ca="1" si="45">IF(DATEDIF(CH3,TODAY(),"Y")=118,"",DATEDIF(CH3,TODAY(),"Y"))</f>
        <v/>
      </c>
      <c r="CK3" s="262"/>
      <c r="CL3" s="264"/>
      <c r="CM3" s="264"/>
      <c r="CN3" s="264"/>
      <c r="CO3" s="264"/>
      <c r="CP3" s="264"/>
      <c r="CQ3" s="264"/>
      <c r="CR3" s="262"/>
      <c r="CS3" s="263"/>
      <c r="CT3" s="297" t="str">
        <f t="shared" si="5"/>
        <v/>
      </c>
      <c r="CU3" s="264"/>
      <c r="CV3" s="265"/>
      <c r="CW3" s="264"/>
      <c r="CX3" s="264"/>
      <c r="CY3" s="264" t="str">
        <f t="shared" si="6"/>
        <v/>
      </c>
      <c r="CZ3" s="264"/>
      <c r="DA3" s="264"/>
      <c r="DB3" s="266"/>
      <c r="DC3" s="264"/>
      <c r="DD3" s="264"/>
      <c r="DE3" s="266"/>
      <c r="DF3" s="266"/>
      <c r="DG3" s="264"/>
      <c r="DH3" s="266"/>
      <c r="DI3" s="266"/>
      <c r="DJ3" s="264"/>
      <c r="DK3" s="264"/>
      <c r="DL3" s="267"/>
      <c r="DM3" s="261">
        <f t="shared" si="7"/>
        <v>0</v>
      </c>
      <c r="DN3" s="295" t="str">
        <f t="shared" si="8"/>
        <v/>
      </c>
      <c r="DO3" s="392" t="str">
        <f t="shared" si="9"/>
        <v/>
      </c>
      <c r="DP3" s="392" t="str">
        <f t="shared" ref="DP3:DP51" si="46">IF(BB3="","",BB3)</f>
        <v/>
      </c>
      <c r="DQ3" s="456" t="str">
        <f t="shared" si="10"/>
        <v/>
      </c>
      <c r="DR3" s="456" t="str">
        <f t="shared" ref="DR3:DR51" si="47">IF(M3="","",CONCATENATE("Bonjour ",F3," ",C3,",
Tout d'abord, constatant que vous êtes toujours client chez la mutuelle ",K3," (mutuelle que nous avions choisie ensemble), je tiens à vous remercier de votre fidélité. 
Ensuite, plutôt que de vous faire attendre votre futur échéancier, je tiens à vous informer que ",K3," a depuis peu annoncé ses augmentations pour janvier 2019. Dans votre cas, votre tarif passera à ",AS3,"€/mois. 
Sachant que nous avions initialement souscrit au tarif de ",M3,"€/mois cela fera une augmentation totale de ",ROUND(AU3*100,1)," % ce qui me semble bien trop élevé en si peu de temps. C'est donc pourquoi je prends les devants pour éviter de devoir changer dans la précipitation."))</f>
        <v/>
      </c>
    </row>
    <row r="4" spans="1:122" x14ac:dyDescent="0.25">
      <c r="A4" s="599" t="str">
        <f t="shared" si="11"/>
        <v xml:space="preserve">  -  - </v>
      </c>
      <c r="B4" s="306"/>
      <c r="C4" s="305"/>
      <c r="D4" s="301"/>
      <c r="E4" s="276"/>
      <c r="F4" s="278"/>
      <c r="G4" s="311"/>
      <c r="H4" s="276"/>
      <c r="I4" s="313" t="str">
        <f t="shared" si="12"/>
        <v/>
      </c>
      <c r="J4" s="312"/>
      <c r="K4" s="268"/>
      <c r="L4" s="277"/>
      <c r="M4" s="279"/>
      <c r="N4" s="280"/>
      <c r="O4" s="280"/>
      <c r="P4" s="455"/>
      <c r="Q4" s="281" t="str">
        <f t="shared" si="13"/>
        <v/>
      </c>
      <c r="R4" s="282">
        <f t="shared" si="14"/>
        <v>0</v>
      </c>
      <c r="S4" s="268"/>
      <c r="T4" s="283">
        <f t="shared" si="1"/>
        <v>0</v>
      </c>
      <c r="U4" s="284">
        <f>IF(M4=0,0,IF(G4="Annulation","",IF(assurance="ALPTIS",M4*12*T4/100*'11801 Data'!$K$4,IF(assurance="APRIL",M4*12*T4/100*'11801 Data'!$F$4,IF(assurance="ASAF",M4*12*T4/100*'11801 Data'!$I$4,IF(assurance="NEOLIANE",('11801 Data'!$G$5+M4*12*'11801 Data'!$G$4)*T4/100,IF(assurance="NEOLIANE Prev",('11801 Data'!$H$5+M4*12*'11801 Data'!$H$4)*T4/100,IF(assurance="SWISSLIFE",M4*12*T4/100*'11801 Data'!$J$4,IF(assurance="AVIVA",M4*12*T4/100*'11801 Data'!$L$4,IF(assurance="CIPRES",M4*12*T4/100*'11801 Data'!$M$4,IF(assurance="CEGEMA",M4*12*T4/100*'11801 Data'!$N$4,IF(assurance=0,0))))))))))))</f>
        <v>0</v>
      </c>
      <c r="V4" s="298" t="str">
        <f t="shared" si="15"/>
        <v/>
      </c>
      <c r="W4" s="298" t="str">
        <f t="shared" si="16"/>
        <v/>
      </c>
      <c r="X4" s="299">
        <f t="shared" si="2"/>
        <v>0</v>
      </c>
      <c r="Y4" s="368">
        <f t="shared" si="3"/>
        <v>0</v>
      </c>
      <c r="Z4" s="314"/>
      <c r="AA4" s="313" t="str">
        <f t="shared" si="17"/>
        <v/>
      </c>
      <c r="AB4" s="268" t="s">
        <v>13</v>
      </c>
      <c r="AC4" s="277"/>
      <c r="AD4" s="309" t="str">
        <f t="shared" si="18"/>
        <v/>
      </c>
      <c r="AE4" s="286" t="str">
        <f t="shared" si="19"/>
        <v/>
      </c>
      <c r="AF4" s="277"/>
      <c r="AG4" s="275" t="str">
        <f t="shared" si="20"/>
        <v/>
      </c>
      <c r="AH4" s="287" t="str">
        <f t="shared" ca="1" si="21"/>
        <v/>
      </c>
      <c r="AI4" s="373" t="str">
        <f t="shared" ca="1" si="4"/>
        <v/>
      </c>
      <c r="AJ4" s="296" t="str">
        <f t="shared" si="22"/>
        <v/>
      </c>
      <c r="AK4" s="296" t="str">
        <f t="shared" si="23"/>
        <v/>
      </c>
      <c r="AL4" s="287" t="str">
        <f t="shared" si="24"/>
        <v/>
      </c>
      <c r="AM4" s="279">
        <f t="shared" si="25"/>
        <v>0</v>
      </c>
      <c r="AN4" s="279">
        <f t="shared" si="26"/>
        <v>0</v>
      </c>
      <c r="AO4" s="288">
        <f t="shared" si="27"/>
        <v>0</v>
      </c>
      <c r="AP4" s="279">
        <f t="shared" si="28"/>
        <v>0</v>
      </c>
      <c r="AQ4" s="288">
        <f t="shared" si="29"/>
        <v>0</v>
      </c>
      <c r="AR4" s="289">
        <f t="shared" si="30"/>
        <v>0</v>
      </c>
      <c r="AS4" s="279">
        <f t="shared" si="31"/>
        <v>0</v>
      </c>
      <c r="AT4" s="288">
        <f t="shared" si="32"/>
        <v>0</v>
      </c>
      <c r="AU4" s="289">
        <f t="shared" si="33"/>
        <v>0</v>
      </c>
      <c r="AV4" s="279">
        <f t="shared" si="34"/>
        <v>0</v>
      </c>
      <c r="AW4" s="288">
        <f t="shared" si="35"/>
        <v>0</v>
      </c>
      <c r="AX4" s="289">
        <f t="shared" si="36"/>
        <v>0</v>
      </c>
      <c r="AY4" s="268"/>
      <c r="AZ4" s="291"/>
      <c r="BA4" s="292"/>
      <c r="BB4" s="303"/>
      <c r="BC4" s="293"/>
      <c r="BD4" s="293"/>
      <c r="BE4" s="304"/>
      <c r="BF4" s="274"/>
      <c r="BG4" s="377"/>
      <c r="BH4" s="268">
        <v>1</v>
      </c>
      <c r="BI4" s="273">
        <v>0</v>
      </c>
      <c r="BJ4" s="276"/>
      <c r="BK4" s="294"/>
      <c r="BL4" s="269" t="str">
        <f t="shared" ca="1" si="37"/>
        <v/>
      </c>
      <c r="BM4" s="270"/>
      <c r="BN4" s="271"/>
      <c r="BO4" s="272" t="str">
        <f t="shared" ca="1" si="38"/>
        <v/>
      </c>
      <c r="BP4" s="270"/>
      <c r="BQ4" s="271"/>
      <c r="BR4" s="272" t="str">
        <f t="shared" ca="1" si="39"/>
        <v/>
      </c>
      <c r="BS4" s="270"/>
      <c r="BT4" s="271"/>
      <c r="BU4" s="272" t="str">
        <f t="shared" ca="1" si="40"/>
        <v/>
      </c>
      <c r="BV4" s="270"/>
      <c r="BW4" s="271"/>
      <c r="BX4" s="272" t="str">
        <f t="shared" ca="1" si="41"/>
        <v/>
      </c>
      <c r="BY4" s="270"/>
      <c r="BZ4" s="271"/>
      <c r="CA4" s="272" t="str">
        <f t="shared" ca="1" si="42"/>
        <v/>
      </c>
      <c r="CB4" s="270"/>
      <c r="CC4" s="271"/>
      <c r="CD4" s="272" t="str">
        <f t="shared" ca="1" si="43"/>
        <v/>
      </c>
      <c r="CE4" s="270"/>
      <c r="CF4" s="271"/>
      <c r="CG4" s="272" t="str">
        <f t="shared" ca="1" si="44"/>
        <v/>
      </c>
      <c r="CH4" s="270"/>
      <c r="CI4" s="271"/>
      <c r="CJ4" s="272" t="str">
        <f t="shared" ca="1" si="45"/>
        <v/>
      </c>
      <c r="CK4" s="262"/>
      <c r="CL4" s="264"/>
      <c r="CM4" s="264"/>
      <c r="CN4" s="264"/>
      <c r="CO4" s="264"/>
      <c r="CP4" s="264"/>
      <c r="CQ4" s="264"/>
      <c r="CR4" s="262"/>
      <c r="CS4" s="263"/>
      <c r="CT4" s="297" t="str">
        <f t="shared" si="5"/>
        <v/>
      </c>
      <c r="CU4" s="264"/>
      <c r="CV4" s="265"/>
      <c r="CW4" s="264"/>
      <c r="CX4" s="264"/>
      <c r="CY4" s="264" t="str">
        <f t="shared" si="6"/>
        <v/>
      </c>
      <c r="CZ4" s="264"/>
      <c r="DA4" s="264"/>
      <c r="DB4" s="266"/>
      <c r="DC4" s="264"/>
      <c r="DD4" s="264"/>
      <c r="DE4" s="266"/>
      <c r="DF4" s="266"/>
      <c r="DG4" s="264"/>
      <c r="DH4" s="266"/>
      <c r="DI4" s="266"/>
      <c r="DJ4" s="264"/>
      <c r="DK4" s="264"/>
      <c r="DL4" s="267"/>
      <c r="DM4" s="261">
        <f t="shared" si="7"/>
        <v>0</v>
      </c>
      <c r="DN4" s="295" t="str">
        <f t="shared" si="8"/>
        <v/>
      </c>
      <c r="DO4" s="392" t="str">
        <f t="shared" si="9"/>
        <v/>
      </c>
      <c r="DP4" s="392" t="str">
        <f t="shared" si="46"/>
        <v/>
      </c>
      <c r="DQ4" s="456" t="str">
        <f t="shared" si="10"/>
        <v/>
      </c>
      <c r="DR4" s="456" t="str">
        <f t="shared" si="47"/>
        <v/>
      </c>
    </row>
    <row r="5" spans="1:122" x14ac:dyDescent="0.25">
      <c r="A5" s="599" t="str">
        <f t="shared" si="11"/>
        <v xml:space="preserve">  -  - </v>
      </c>
      <c r="B5" s="306"/>
      <c r="C5" s="305"/>
      <c r="D5" s="301"/>
      <c r="E5" s="276"/>
      <c r="F5" s="278"/>
      <c r="G5" s="311"/>
      <c r="H5" s="276"/>
      <c r="I5" s="313" t="str">
        <f t="shared" si="12"/>
        <v/>
      </c>
      <c r="J5" s="312"/>
      <c r="K5" s="268"/>
      <c r="L5" s="277"/>
      <c r="M5" s="279"/>
      <c r="N5" s="280"/>
      <c r="O5" s="280"/>
      <c r="P5" s="455"/>
      <c r="Q5" s="281" t="str">
        <f t="shared" si="13"/>
        <v/>
      </c>
      <c r="R5" s="282">
        <f t="shared" si="14"/>
        <v>0</v>
      </c>
      <c r="S5" s="268"/>
      <c r="T5" s="283">
        <f t="shared" si="1"/>
        <v>0</v>
      </c>
      <c r="U5" s="284">
        <f>IF(M5=0,0,IF(G5="Annulation","",IF(assurance="ALPTIS",M5*12*T5/100*'11801 Data'!$K$4,IF(assurance="APRIL",M5*12*T5/100*'11801 Data'!$F$4,IF(assurance="ASAF",M5*12*T5/100*'11801 Data'!$I$4,IF(assurance="NEOLIANE",('11801 Data'!$G$5+M5*12*'11801 Data'!$G$4)*T5/100,IF(assurance="NEOLIANE Prev",('11801 Data'!$H$5+M5*12*'11801 Data'!$H$4)*T5/100,IF(assurance="SWISSLIFE",M5*12*T5/100*'11801 Data'!$J$4,IF(assurance="AVIVA",M5*12*T5/100*'11801 Data'!$L$4,IF(assurance="CIPRES",M5*12*T5/100*'11801 Data'!$M$4,IF(assurance="CEGEMA",M5*12*T5/100*'11801 Data'!$N$4,IF(assurance=0,0))))))))))))</f>
        <v>0</v>
      </c>
      <c r="V5" s="298" t="str">
        <f t="shared" si="15"/>
        <v/>
      </c>
      <c r="W5" s="298" t="str">
        <f t="shared" si="16"/>
        <v/>
      </c>
      <c r="X5" s="299">
        <f t="shared" si="2"/>
        <v>0</v>
      </c>
      <c r="Y5" s="368">
        <f t="shared" si="3"/>
        <v>0</v>
      </c>
      <c r="Z5" s="314"/>
      <c r="AA5" s="313" t="str">
        <f t="shared" si="17"/>
        <v/>
      </c>
      <c r="AB5" s="268" t="s">
        <v>13</v>
      </c>
      <c r="AC5" s="277"/>
      <c r="AD5" s="309" t="str">
        <f t="shared" si="18"/>
        <v/>
      </c>
      <c r="AE5" s="286" t="str">
        <f t="shared" si="19"/>
        <v/>
      </c>
      <c r="AF5" s="277"/>
      <c r="AG5" s="275" t="str">
        <f t="shared" si="20"/>
        <v/>
      </c>
      <c r="AH5" s="287" t="str">
        <f t="shared" ca="1" si="21"/>
        <v/>
      </c>
      <c r="AI5" s="373" t="str">
        <f t="shared" ca="1" si="4"/>
        <v/>
      </c>
      <c r="AJ5" s="296" t="str">
        <f t="shared" si="22"/>
        <v/>
      </c>
      <c r="AK5" s="296" t="str">
        <f t="shared" si="23"/>
        <v/>
      </c>
      <c r="AL5" s="287" t="str">
        <f t="shared" si="24"/>
        <v/>
      </c>
      <c r="AM5" s="279">
        <f t="shared" si="25"/>
        <v>0</v>
      </c>
      <c r="AN5" s="279">
        <f t="shared" si="26"/>
        <v>0</v>
      </c>
      <c r="AO5" s="288">
        <f t="shared" si="27"/>
        <v>0</v>
      </c>
      <c r="AP5" s="279">
        <f t="shared" si="28"/>
        <v>0</v>
      </c>
      <c r="AQ5" s="288">
        <f t="shared" si="29"/>
        <v>0</v>
      </c>
      <c r="AR5" s="289">
        <f t="shared" si="30"/>
        <v>0</v>
      </c>
      <c r="AS5" s="279">
        <f t="shared" si="31"/>
        <v>0</v>
      </c>
      <c r="AT5" s="288">
        <f t="shared" si="32"/>
        <v>0</v>
      </c>
      <c r="AU5" s="289">
        <f t="shared" si="33"/>
        <v>0</v>
      </c>
      <c r="AV5" s="279">
        <f t="shared" si="34"/>
        <v>0</v>
      </c>
      <c r="AW5" s="288">
        <f t="shared" si="35"/>
        <v>0</v>
      </c>
      <c r="AX5" s="289">
        <f t="shared" si="36"/>
        <v>0</v>
      </c>
      <c r="AY5" s="268"/>
      <c r="AZ5" s="291"/>
      <c r="BA5" s="292"/>
      <c r="BB5" s="303"/>
      <c r="BC5" s="293"/>
      <c r="BD5" s="293"/>
      <c r="BE5" s="304"/>
      <c r="BF5" s="274"/>
      <c r="BG5" s="377"/>
      <c r="BH5" s="268">
        <v>1</v>
      </c>
      <c r="BI5" s="273">
        <v>0</v>
      </c>
      <c r="BJ5" s="276"/>
      <c r="BK5" s="294"/>
      <c r="BL5" s="269" t="str">
        <f t="shared" ca="1" si="37"/>
        <v/>
      </c>
      <c r="BM5" s="270"/>
      <c r="BN5" s="271"/>
      <c r="BO5" s="272" t="str">
        <f t="shared" ca="1" si="38"/>
        <v/>
      </c>
      <c r="BP5" s="270"/>
      <c r="BQ5" s="271"/>
      <c r="BR5" s="272" t="str">
        <f t="shared" ca="1" si="39"/>
        <v/>
      </c>
      <c r="BS5" s="270"/>
      <c r="BT5" s="271"/>
      <c r="BU5" s="272" t="str">
        <f t="shared" ca="1" si="40"/>
        <v/>
      </c>
      <c r="BV5" s="270"/>
      <c r="BW5" s="271"/>
      <c r="BX5" s="272" t="str">
        <f t="shared" ca="1" si="41"/>
        <v/>
      </c>
      <c r="BY5" s="270"/>
      <c r="BZ5" s="271"/>
      <c r="CA5" s="272" t="str">
        <f t="shared" ca="1" si="42"/>
        <v/>
      </c>
      <c r="CB5" s="270"/>
      <c r="CC5" s="271"/>
      <c r="CD5" s="272" t="str">
        <f t="shared" ca="1" si="43"/>
        <v/>
      </c>
      <c r="CE5" s="270"/>
      <c r="CF5" s="271"/>
      <c r="CG5" s="272" t="str">
        <f t="shared" ca="1" si="44"/>
        <v/>
      </c>
      <c r="CH5" s="270"/>
      <c r="CI5" s="271"/>
      <c r="CJ5" s="272" t="str">
        <f t="shared" ca="1" si="45"/>
        <v/>
      </c>
      <c r="CK5" s="262"/>
      <c r="CL5" s="264"/>
      <c r="CM5" s="264"/>
      <c r="CN5" s="264"/>
      <c r="CO5" s="264"/>
      <c r="CP5" s="264"/>
      <c r="CQ5" s="264"/>
      <c r="CR5" s="262"/>
      <c r="CS5" s="263"/>
      <c r="CT5" s="297" t="str">
        <f t="shared" si="5"/>
        <v/>
      </c>
      <c r="CU5" s="264"/>
      <c r="CV5" s="265"/>
      <c r="CW5" s="264"/>
      <c r="CX5" s="264"/>
      <c r="CY5" s="264" t="str">
        <f t="shared" si="6"/>
        <v/>
      </c>
      <c r="CZ5" s="264"/>
      <c r="DA5" s="264"/>
      <c r="DB5" s="266"/>
      <c r="DC5" s="264"/>
      <c r="DD5" s="264"/>
      <c r="DE5" s="266"/>
      <c r="DF5" s="266"/>
      <c r="DG5" s="264"/>
      <c r="DH5" s="266"/>
      <c r="DI5" s="266"/>
      <c r="DJ5" s="264"/>
      <c r="DK5" s="264"/>
      <c r="DL5" s="267"/>
      <c r="DM5" s="261">
        <f t="shared" si="7"/>
        <v>0</v>
      </c>
      <c r="DN5" s="295" t="str">
        <f t="shared" si="8"/>
        <v/>
      </c>
      <c r="DO5" s="392" t="str">
        <f t="shared" si="9"/>
        <v/>
      </c>
      <c r="DP5" s="392" t="str">
        <f t="shared" si="46"/>
        <v/>
      </c>
      <c r="DQ5" s="456" t="str">
        <f t="shared" si="10"/>
        <v/>
      </c>
      <c r="DR5" s="456" t="str">
        <f t="shared" si="47"/>
        <v/>
      </c>
    </row>
    <row r="6" spans="1:122" x14ac:dyDescent="0.25">
      <c r="A6" s="599" t="str">
        <f t="shared" si="11"/>
        <v xml:space="preserve">  -  - </v>
      </c>
      <c r="B6" s="306"/>
      <c r="C6" s="305"/>
      <c r="D6" s="301"/>
      <c r="E6" s="276"/>
      <c r="F6" s="278"/>
      <c r="G6" s="311"/>
      <c r="H6" s="276"/>
      <c r="I6" s="313" t="str">
        <f t="shared" si="12"/>
        <v/>
      </c>
      <c r="J6" s="312"/>
      <c r="K6" s="268"/>
      <c r="L6" s="277"/>
      <c r="M6" s="279"/>
      <c r="N6" s="280"/>
      <c r="O6" s="280"/>
      <c r="P6" s="455"/>
      <c r="Q6" s="281" t="str">
        <f t="shared" si="13"/>
        <v/>
      </c>
      <c r="R6" s="282">
        <f t="shared" si="14"/>
        <v>0</v>
      </c>
      <c r="S6" s="268"/>
      <c r="T6" s="283">
        <f t="shared" si="1"/>
        <v>0</v>
      </c>
      <c r="U6" s="284">
        <f>IF(M6=0,0,IF(G6="Annulation","",IF(assurance="ALPTIS",M6*12*T6/100*'11801 Data'!$K$4,IF(assurance="APRIL",M6*12*T6/100*'11801 Data'!$F$4,IF(assurance="ASAF",M6*12*T6/100*'11801 Data'!$I$4,IF(assurance="NEOLIANE",('11801 Data'!$G$5+M6*12*'11801 Data'!$G$4)*T6/100,IF(assurance="NEOLIANE Prev",('11801 Data'!$H$5+M6*12*'11801 Data'!$H$4)*T6/100,IF(assurance="SWISSLIFE",M6*12*T6/100*'11801 Data'!$J$4,IF(assurance="AVIVA",M6*12*T6/100*'11801 Data'!$L$4,IF(assurance="CIPRES",M6*12*T6/100*'11801 Data'!$M$4,IF(assurance="CEGEMA",M6*12*T6/100*'11801 Data'!$N$4,IF(assurance=0,0))))))))))))</f>
        <v>0</v>
      </c>
      <c r="V6" s="298" t="str">
        <f t="shared" si="15"/>
        <v/>
      </c>
      <c r="W6" s="298" t="str">
        <f t="shared" si="16"/>
        <v/>
      </c>
      <c r="X6" s="299">
        <f t="shared" si="2"/>
        <v>0</v>
      </c>
      <c r="Y6" s="368">
        <f t="shared" si="3"/>
        <v>0</v>
      </c>
      <c r="Z6" s="314"/>
      <c r="AA6" s="313" t="str">
        <f t="shared" si="17"/>
        <v/>
      </c>
      <c r="AB6" s="268" t="s">
        <v>13</v>
      </c>
      <c r="AC6" s="277"/>
      <c r="AD6" s="309" t="str">
        <f t="shared" si="18"/>
        <v/>
      </c>
      <c r="AE6" s="286" t="str">
        <f t="shared" si="19"/>
        <v/>
      </c>
      <c r="AF6" s="277"/>
      <c r="AG6" s="275" t="str">
        <f t="shared" si="20"/>
        <v/>
      </c>
      <c r="AH6" s="287" t="str">
        <f t="shared" ca="1" si="21"/>
        <v/>
      </c>
      <c r="AI6" s="373" t="str">
        <f t="shared" ca="1" si="4"/>
        <v/>
      </c>
      <c r="AJ6" s="296" t="str">
        <f t="shared" si="22"/>
        <v/>
      </c>
      <c r="AK6" s="296" t="str">
        <f t="shared" si="23"/>
        <v/>
      </c>
      <c r="AL6" s="287" t="str">
        <f t="shared" si="24"/>
        <v/>
      </c>
      <c r="AM6" s="279">
        <f t="shared" si="25"/>
        <v>0</v>
      </c>
      <c r="AN6" s="279">
        <f t="shared" si="26"/>
        <v>0</v>
      </c>
      <c r="AO6" s="288">
        <f t="shared" si="27"/>
        <v>0</v>
      </c>
      <c r="AP6" s="279">
        <f t="shared" si="28"/>
        <v>0</v>
      </c>
      <c r="AQ6" s="288">
        <f t="shared" si="29"/>
        <v>0</v>
      </c>
      <c r="AR6" s="289">
        <f t="shared" si="30"/>
        <v>0</v>
      </c>
      <c r="AS6" s="279">
        <f t="shared" si="31"/>
        <v>0</v>
      </c>
      <c r="AT6" s="288">
        <f t="shared" si="32"/>
        <v>0</v>
      </c>
      <c r="AU6" s="289">
        <f t="shared" si="33"/>
        <v>0</v>
      </c>
      <c r="AV6" s="279">
        <f t="shared" si="34"/>
        <v>0</v>
      </c>
      <c r="AW6" s="288">
        <f t="shared" si="35"/>
        <v>0</v>
      </c>
      <c r="AX6" s="289">
        <f t="shared" si="36"/>
        <v>0</v>
      </c>
      <c r="AY6" s="268"/>
      <c r="AZ6" s="291"/>
      <c r="BA6" s="292"/>
      <c r="BB6" s="303"/>
      <c r="BC6" s="293"/>
      <c r="BD6" s="293"/>
      <c r="BE6" s="304"/>
      <c r="BF6" s="274"/>
      <c r="BG6" s="377"/>
      <c r="BH6" s="268">
        <v>1</v>
      </c>
      <c r="BI6" s="273">
        <v>0</v>
      </c>
      <c r="BJ6" s="276"/>
      <c r="BK6" s="294"/>
      <c r="BL6" s="269" t="str">
        <f t="shared" ca="1" si="37"/>
        <v/>
      </c>
      <c r="BM6" s="270"/>
      <c r="BN6" s="271"/>
      <c r="BO6" s="272" t="str">
        <f t="shared" ca="1" si="38"/>
        <v/>
      </c>
      <c r="BP6" s="270"/>
      <c r="BQ6" s="271"/>
      <c r="BR6" s="272" t="str">
        <f t="shared" ca="1" si="39"/>
        <v/>
      </c>
      <c r="BS6" s="270"/>
      <c r="BT6" s="271"/>
      <c r="BU6" s="272" t="str">
        <f t="shared" ca="1" si="40"/>
        <v/>
      </c>
      <c r="BV6" s="270"/>
      <c r="BW6" s="271"/>
      <c r="BX6" s="272" t="str">
        <f t="shared" ca="1" si="41"/>
        <v/>
      </c>
      <c r="BY6" s="270"/>
      <c r="BZ6" s="271"/>
      <c r="CA6" s="272" t="str">
        <f t="shared" ca="1" si="42"/>
        <v/>
      </c>
      <c r="CB6" s="270"/>
      <c r="CC6" s="271"/>
      <c r="CD6" s="272" t="str">
        <f t="shared" ca="1" si="43"/>
        <v/>
      </c>
      <c r="CE6" s="270"/>
      <c r="CF6" s="271"/>
      <c r="CG6" s="272" t="str">
        <f t="shared" ca="1" si="44"/>
        <v/>
      </c>
      <c r="CH6" s="270"/>
      <c r="CI6" s="271"/>
      <c r="CJ6" s="272" t="str">
        <f t="shared" ca="1" si="45"/>
        <v/>
      </c>
      <c r="CK6" s="262"/>
      <c r="CL6" s="264"/>
      <c r="CM6" s="264"/>
      <c r="CN6" s="264"/>
      <c r="CO6" s="264"/>
      <c r="CP6" s="264"/>
      <c r="CQ6" s="264"/>
      <c r="CR6" s="262"/>
      <c r="CS6" s="263"/>
      <c r="CT6" s="297" t="str">
        <f t="shared" si="5"/>
        <v/>
      </c>
      <c r="CU6" s="264"/>
      <c r="CV6" s="265"/>
      <c r="CW6" s="264"/>
      <c r="CX6" s="264"/>
      <c r="CY6" s="264" t="str">
        <f t="shared" si="6"/>
        <v/>
      </c>
      <c r="CZ6" s="264"/>
      <c r="DA6" s="264"/>
      <c r="DB6" s="266"/>
      <c r="DC6" s="264"/>
      <c r="DD6" s="264"/>
      <c r="DE6" s="266"/>
      <c r="DF6" s="266"/>
      <c r="DG6" s="264"/>
      <c r="DH6" s="266"/>
      <c r="DI6" s="266"/>
      <c r="DJ6" s="264"/>
      <c r="DK6" s="264"/>
      <c r="DL6" s="267"/>
      <c r="DM6" s="261">
        <f t="shared" si="7"/>
        <v>0</v>
      </c>
      <c r="DN6" s="295" t="str">
        <f t="shared" si="8"/>
        <v/>
      </c>
      <c r="DO6" s="392" t="str">
        <f t="shared" si="9"/>
        <v/>
      </c>
      <c r="DP6" s="392" t="str">
        <f t="shared" si="46"/>
        <v/>
      </c>
      <c r="DQ6" s="456" t="str">
        <f t="shared" si="10"/>
        <v/>
      </c>
      <c r="DR6" s="456" t="str">
        <f t="shared" si="47"/>
        <v/>
      </c>
    </row>
    <row r="7" spans="1:122" x14ac:dyDescent="0.25">
      <c r="A7" s="599" t="str">
        <f t="shared" si="11"/>
        <v xml:space="preserve">  -  - </v>
      </c>
      <c r="B7" s="306"/>
      <c r="C7" s="305"/>
      <c r="D7" s="301"/>
      <c r="E7" s="276"/>
      <c r="F7" s="278"/>
      <c r="G7" s="311"/>
      <c r="H7" s="276"/>
      <c r="I7" s="313" t="str">
        <f t="shared" si="12"/>
        <v/>
      </c>
      <c r="J7" s="312"/>
      <c r="K7" s="268"/>
      <c r="L7" s="277"/>
      <c r="M7" s="279"/>
      <c r="N7" s="280"/>
      <c r="O7" s="280"/>
      <c r="P7" s="455"/>
      <c r="Q7" s="281" t="str">
        <f t="shared" si="13"/>
        <v/>
      </c>
      <c r="R7" s="282">
        <f t="shared" si="14"/>
        <v>0</v>
      </c>
      <c r="S7" s="268"/>
      <c r="T7" s="283">
        <f t="shared" si="1"/>
        <v>0</v>
      </c>
      <c r="U7" s="284">
        <f>IF(M7=0,0,IF(G7="Annulation","",IF(assurance="ALPTIS",M7*12*T7/100*'11801 Data'!$K$4,IF(assurance="APRIL",M7*12*T7/100*'11801 Data'!$F$4,IF(assurance="ASAF",M7*12*T7/100*'11801 Data'!$I$4,IF(assurance="NEOLIANE",('11801 Data'!$G$5+M7*12*'11801 Data'!$G$4)*T7/100,IF(assurance="NEOLIANE Prev",('11801 Data'!$H$5+M7*12*'11801 Data'!$H$4)*T7/100,IF(assurance="SWISSLIFE",M7*12*T7/100*'11801 Data'!$J$4,IF(assurance="AVIVA",M7*12*T7/100*'11801 Data'!$L$4,IF(assurance="CIPRES",M7*12*T7/100*'11801 Data'!$M$4,IF(assurance="CEGEMA",M7*12*T7/100*'11801 Data'!$N$4,IF(assurance=0,0))))))))))))</f>
        <v>0</v>
      </c>
      <c r="V7" s="298" t="str">
        <f t="shared" si="15"/>
        <v/>
      </c>
      <c r="W7" s="298" t="str">
        <f t="shared" si="16"/>
        <v/>
      </c>
      <c r="X7" s="299">
        <f t="shared" si="2"/>
        <v>0</v>
      </c>
      <c r="Y7" s="368">
        <f t="shared" si="3"/>
        <v>0</v>
      </c>
      <c r="Z7" s="314"/>
      <c r="AA7" s="313" t="str">
        <f t="shared" si="17"/>
        <v/>
      </c>
      <c r="AB7" s="268" t="s">
        <v>13</v>
      </c>
      <c r="AC7" s="277"/>
      <c r="AD7" s="309" t="str">
        <f t="shared" si="18"/>
        <v/>
      </c>
      <c r="AE7" s="286" t="str">
        <f t="shared" si="19"/>
        <v/>
      </c>
      <c r="AF7" s="277"/>
      <c r="AG7" s="275" t="str">
        <f t="shared" si="20"/>
        <v/>
      </c>
      <c r="AH7" s="287" t="str">
        <f t="shared" ca="1" si="21"/>
        <v/>
      </c>
      <c r="AI7" s="373" t="str">
        <f t="shared" ca="1" si="4"/>
        <v/>
      </c>
      <c r="AJ7" s="296" t="str">
        <f t="shared" si="22"/>
        <v/>
      </c>
      <c r="AK7" s="296" t="str">
        <f t="shared" si="23"/>
        <v/>
      </c>
      <c r="AL7" s="287" t="str">
        <f t="shared" si="24"/>
        <v/>
      </c>
      <c r="AM7" s="279">
        <f t="shared" si="25"/>
        <v>0</v>
      </c>
      <c r="AN7" s="279">
        <f t="shared" si="26"/>
        <v>0</v>
      </c>
      <c r="AO7" s="288">
        <f t="shared" si="27"/>
        <v>0</v>
      </c>
      <c r="AP7" s="279">
        <f t="shared" si="28"/>
        <v>0</v>
      </c>
      <c r="AQ7" s="288">
        <f t="shared" si="29"/>
        <v>0</v>
      </c>
      <c r="AR7" s="289">
        <f t="shared" si="30"/>
        <v>0</v>
      </c>
      <c r="AS7" s="279">
        <f t="shared" si="31"/>
        <v>0</v>
      </c>
      <c r="AT7" s="288">
        <f t="shared" si="32"/>
        <v>0</v>
      </c>
      <c r="AU7" s="289">
        <f t="shared" si="33"/>
        <v>0</v>
      </c>
      <c r="AV7" s="279">
        <f t="shared" si="34"/>
        <v>0</v>
      </c>
      <c r="AW7" s="288">
        <f t="shared" si="35"/>
        <v>0</v>
      </c>
      <c r="AX7" s="289">
        <f t="shared" si="36"/>
        <v>0</v>
      </c>
      <c r="AY7" s="268"/>
      <c r="AZ7" s="291"/>
      <c r="BA7" s="292"/>
      <c r="BB7" s="303"/>
      <c r="BC7" s="293"/>
      <c r="BD7" s="293"/>
      <c r="BE7" s="304"/>
      <c r="BF7" s="274"/>
      <c r="BG7" s="377"/>
      <c r="BH7" s="268">
        <v>1</v>
      </c>
      <c r="BI7" s="273">
        <v>0</v>
      </c>
      <c r="BJ7" s="276"/>
      <c r="BK7" s="294"/>
      <c r="BL7" s="269" t="str">
        <f t="shared" ca="1" si="37"/>
        <v/>
      </c>
      <c r="BM7" s="270"/>
      <c r="BN7" s="271"/>
      <c r="BO7" s="272" t="str">
        <f t="shared" ca="1" si="38"/>
        <v/>
      </c>
      <c r="BP7" s="270"/>
      <c r="BQ7" s="271"/>
      <c r="BR7" s="272" t="str">
        <f t="shared" ca="1" si="39"/>
        <v/>
      </c>
      <c r="BS7" s="270"/>
      <c r="BT7" s="271"/>
      <c r="BU7" s="272" t="str">
        <f t="shared" ca="1" si="40"/>
        <v/>
      </c>
      <c r="BV7" s="270"/>
      <c r="BW7" s="271"/>
      <c r="BX7" s="272" t="str">
        <f t="shared" ca="1" si="41"/>
        <v/>
      </c>
      <c r="BY7" s="270"/>
      <c r="BZ7" s="271"/>
      <c r="CA7" s="272" t="str">
        <f t="shared" ca="1" si="42"/>
        <v/>
      </c>
      <c r="CB7" s="270"/>
      <c r="CC7" s="271"/>
      <c r="CD7" s="272" t="str">
        <f t="shared" ca="1" si="43"/>
        <v/>
      </c>
      <c r="CE7" s="270"/>
      <c r="CF7" s="271"/>
      <c r="CG7" s="272" t="str">
        <f t="shared" ca="1" si="44"/>
        <v/>
      </c>
      <c r="CH7" s="270"/>
      <c r="CI7" s="271"/>
      <c r="CJ7" s="272" t="str">
        <f t="shared" ca="1" si="45"/>
        <v/>
      </c>
      <c r="CK7" s="262"/>
      <c r="CL7" s="264"/>
      <c r="CM7" s="264"/>
      <c r="CN7" s="264"/>
      <c r="CO7" s="264"/>
      <c r="CP7" s="264"/>
      <c r="CQ7" s="264"/>
      <c r="CR7" s="262"/>
      <c r="CS7" s="263"/>
      <c r="CT7" s="297" t="str">
        <f t="shared" si="5"/>
        <v/>
      </c>
      <c r="CU7" s="264"/>
      <c r="CV7" s="265"/>
      <c r="CW7" s="264"/>
      <c r="CX7" s="264"/>
      <c r="CY7" s="264" t="str">
        <f t="shared" si="6"/>
        <v/>
      </c>
      <c r="CZ7" s="264"/>
      <c r="DA7" s="264"/>
      <c r="DB7" s="266"/>
      <c r="DC7" s="264"/>
      <c r="DD7" s="264"/>
      <c r="DE7" s="266"/>
      <c r="DF7" s="266"/>
      <c r="DG7" s="264"/>
      <c r="DH7" s="266"/>
      <c r="DI7" s="266"/>
      <c r="DJ7" s="264"/>
      <c r="DK7" s="264"/>
      <c r="DL7" s="267"/>
      <c r="DM7" s="261">
        <f t="shared" si="7"/>
        <v>0</v>
      </c>
      <c r="DN7" s="295" t="str">
        <f t="shared" si="8"/>
        <v/>
      </c>
      <c r="DO7" s="392" t="str">
        <f t="shared" si="9"/>
        <v/>
      </c>
      <c r="DP7" s="392" t="str">
        <f t="shared" si="46"/>
        <v/>
      </c>
      <c r="DQ7" s="456" t="str">
        <f t="shared" si="10"/>
        <v/>
      </c>
      <c r="DR7" s="456" t="str">
        <f t="shared" si="47"/>
        <v/>
      </c>
    </row>
    <row r="8" spans="1:122" x14ac:dyDescent="0.25">
      <c r="A8" s="599" t="str">
        <f t="shared" si="11"/>
        <v xml:space="preserve">  -  - </v>
      </c>
      <c r="B8" s="306"/>
      <c r="C8" s="305"/>
      <c r="D8" s="301"/>
      <c r="E8" s="276"/>
      <c r="F8" s="278"/>
      <c r="G8" s="311"/>
      <c r="H8" s="276"/>
      <c r="I8" s="313" t="str">
        <f t="shared" si="12"/>
        <v/>
      </c>
      <c r="J8" s="312"/>
      <c r="K8" s="268"/>
      <c r="L8" s="277"/>
      <c r="M8" s="279"/>
      <c r="N8" s="280"/>
      <c r="O8" s="280"/>
      <c r="P8" s="455"/>
      <c r="Q8" s="281" t="str">
        <f t="shared" si="13"/>
        <v/>
      </c>
      <c r="R8" s="282">
        <f t="shared" si="14"/>
        <v>0</v>
      </c>
      <c r="S8" s="268"/>
      <c r="T8" s="283">
        <f t="shared" si="1"/>
        <v>0</v>
      </c>
      <c r="U8" s="284">
        <f>IF(M8=0,0,IF(G8="Annulation","",IF(assurance="ALPTIS",M8*12*T8/100*'11801 Data'!$K$4,IF(assurance="APRIL",M8*12*T8/100*'11801 Data'!$F$4,IF(assurance="ASAF",M8*12*T8/100*'11801 Data'!$I$4,IF(assurance="NEOLIANE",('11801 Data'!$G$5+M8*12*'11801 Data'!$G$4)*T8/100,IF(assurance="NEOLIANE Prev",('11801 Data'!$H$5+M8*12*'11801 Data'!$H$4)*T8/100,IF(assurance="SWISSLIFE",M8*12*T8/100*'11801 Data'!$J$4,IF(assurance="AVIVA",M8*12*T8/100*'11801 Data'!$L$4,IF(assurance="CIPRES",M8*12*T8/100*'11801 Data'!$M$4,IF(assurance="CEGEMA",M8*12*T8/100*'11801 Data'!$N$4,IF(assurance=0,0))))))))))))</f>
        <v>0</v>
      </c>
      <c r="V8" s="298" t="str">
        <f t="shared" si="15"/>
        <v/>
      </c>
      <c r="W8" s="298" t="str">
        <f t="shared" si="16"/>
        <v/>
      </c>
      <c r="X8" s="299">
        <f t="shared" si="2"/>
        <v>0</v>
      </c>
      <c r="Y8" s="368">
        <f t="shared" si="3"/>
        <v>0</v>
      </c>
      <c r="Z8" s="314"/>
      <c r="AA8" s="313" t="str">
        <f t="shared" si="17"/>
        <v/>
      </c>
      <c r="AB8" s="268" t="s">
        <v>13</v>
      </c>
      <c r="AC8" s="277"/>
      <c r="AD8" s="309" t="str">
        <f t="shared" si="18"/>
        <v/>
      </c>
      <c r="AE8" s="286" t="str">
        <f t="shared" si="19"/>
        <v/>
      </c>
      <c r="AF8" s="277"/>
      <c r="AG8" s="275" t="str">
        <f t="shared" si="20"/>
        <v/>
      </c>
      <c r="AH8" s="287" t="str">
        <f t="shared" ca="1" si="21"/>
        <v/>
      </c>
      <c r="AI8" s="373" t="str">
        <f t="shared" ca="1" si="4"/>
        <v/>
      </c>
      <c r="AJ8" s="296" t="str">
        <f t="shared" si="22"/>
        <v/>
      </c>
      <c r="AK8" s="296" t="str">
        <f t="shared" si="23"/>
        <v/>
      </c>
      <c r="AL8" s="287" t="str">
        <f t="shared" si="24"/>
        <v/>
      </c>
      <c r="AM8" s="279">
        <f t="shared" si="25"/>
        <v>0</v>
      </c>
      <c r="AN8" s="279">
        <f t="shared" si="26"/>
        <v>0</v>
      </c>
      <c r="AO8" s="288">
        <f t="shared" si="27"/>
        <v>0</v>
      </c>
      <c r="AP8" s="279">
        <f t="shared" si="28"/>
        <v>0</v>
      </c>
      <c r="AQ8" s="288">
        <f t="shared" si="29"/>
        <v>0</v>
      </c>
      <c r="AR8" s="289">
        <f t="shared" si="30"/>
        <v>0</v>
      </c>
      <c r="AS8" s="279">
        <f t="shared" si="31"/>
        <v>0</v>
      </c>
      <c r="AT8" s="288">
        <f t="shared" si="32"/>
        <v>0</v>
      </c>
      <c r="AU8" s="289">
        <f t="shared" si="33"/>
        <v>0</v>
      </c>
      <c r="AV8" s="279">
        <f t="shared" si="34"/>
        <v>0</v>
      </c>
      <c r="AW8" s="288">
        <f t="shared" si="35"/>
        <v>0</v>
      </c>
      <c r="AX8" s="289">
        <f t="shared" si="36"/>
        <v>0</v>
      </c>
      <c r="AY8" s="268"/>
      <c r="AZ8" s="291"/>
      <c r="BA8" s="292"/>
      <c r="BB8" s="303"/>
      <c r="BC8" s="293"/>
      <c r="BD8" s="293"/>
      <c r="BE8" s="304"/>
      <c r="BF8" s="274"/>
      <c r="BG8" s="377"/>
      <c r="BH8" s="268">
        <v>1</v>
      </c>
      <c r="BI8" s="273">
        <v>0</v>
      </c>
      <c r="BJ8" s="276"/>
      <c r="BK8" s="294"/>
      <c r="BL8" s="269" t="str">
        <f t="shared" ca="1" si="37"/>
        <v/>
      </c>
      <c r="BM8" s="270"/>
      <c r="BN8" s="271"/>
      <c r="BO8" s="272" t="str">
        <f t="shared" ca="1" si="38"/>
        <v/>
      </c>
      <c r="BP8" s="270"/>
      <c r="BQ8" s="271"/>
      <c r="BR8" s="272" t="str">
        <f t="shared" ca="1" si="39"/>
        <v/>
      </c>
      <c r="BS8" s="270"/>
      <c r="BT8" s="271"/>
      <c r="BU8" s="272" t="str">
        <f t="shared" ca="1" si="40"/>
        <v/>
      </c>
      <c r="BV8" s="270"/>
      <c r="BW8" s="271"/>
      <c r="BX8" s="272" t="str">
        <f t="shared" ca="1" si="41"/>
        <v/>
      </c>
      <c r="BY8" s="270"/>
      <c r="BZ8" s="271"/>
      <c r="CA8" s="272" t="str">
        <f t="shared" ca="1" si="42"/>
        <v/>
      </c>
      <c r="CB8" s="270"/>
      <c r="CC8" s="271"/>
      <c r="CD8" s="272" t="str">
        <f t="shared" ca="1" si="43"/>
        <v/>
      </c>
      <c r="CE8" s="270"/>
      <c r="CF8" s="271"/>
      <c r="CG8" s="272" t="str">
        <f t="shared" ca="1" si="44"/>
        <v/>
      </c>
      <c r="CH8" s="270"/>
      <c r="CI8" s="271"/>
      <c r="CJ8" s="272" t="str">
        <f t="shared" ca="1" si="45"/>
        <v/>
      </c>
      <c r="CK8" s="262"/>
      <c r="CL8" s="264"/>
      <c r="CM8" s="264"/>
      <c r="CN8" s="264"/>
      <c r="CO8" s="264"/>
      <c r="CP8" s="264"/>
      <c r="CQ8" s="264"/>
      <c r="CR8" s="262"/>
      <c r="CS8" s="263"/>
      <c r="CT8" s="297" t="str">
        <f t="shared" si="5"/>
        <v/>
      </c>
      <c r="CU8" s="264"/>
      <c r="CV8" s="265"/>
      <c r="CW8" s="264"/>
      <c r="CX8" s="264"/>
      <c r="CY8" s="264" t="str">
        <f t="shared" si="6"/>
        <v/>
      </c>
      <c r="CZ8" s="264"/>
      <c r="DA8" s="264"/>
      <c r="DB8" s="266"/>
      <c r="DC8" s="264"/>
      <c r="DD8" s="264"/>
      <c r="DE8" s="266"/>
      <c r="DF8" s="266"/>
      <c r="DG8" s="264"/>
      <c r="DH8" s="266"/>
      <c r="DI8" s="266"/>
      <c r="DJ8" s="264"/>
      <c r="DK8" s="264"/>
      <c r="DL8" s="267"/>
      <c r="DM8" s="261">
        <f t="shared" si="7"/>
        <v>0</v>
      </c>
      <c r="DN8" s="295" t="str">
        <f t="shared" si="8"/>
        <v/>
      </c>
      <c r="DO8" s="392" t="str">
        <f t="shared" si="9"/>
        <v/>
      </c>
      <c r="DP8" s="392" t="str">
        <f t="shared" si="46"/>
        <v/>
      </c>
      <c r="DQ8" s="456" t="str">
        <f t="shared" si="10"/>
        <v/>
      </c>
      <c r="DR8" s="456" t="str">
        <f t="shared" si="47"/>
        <v/>
      </c>
    </row>
    <row r="9" spans="1:122" x14ac:dyDescent="0.25">
      <c r="A9" s="599" t="str">
        <f t="shared" si="11"/>
        <v xml:space="preserve">  -  - </v>
      </c>
      <c r="B9" s="306"/>
      <c r="C9" s="305"/>
      <c r="D9" s="301"/>
      <c r="E9" s="276"/>
      <c r="F9" s="278"/>
      <c r="G9" s="311"/>
      <c r="H9" s="276"/>
      <c r="I9" s="313" t="str">
        <f t="shared" si="12"/>
        <v/>
      </c>
      <c r="J9" s="312"/>
      <c r="K9" s="268"/>
      <c r="L9" s="277"/>
      <c r="M9" s="279"/>
      <c r="N9" s="280"/>
      <c r="O9" s="280"/>
      <c r="P9" s="455"/>
      <c r="Q9" s="281" t="str">
        <f t="shared" si="13"/>
        <v/>
      </c>
      <c r="R9" s="282">
        <f t="shared" si="14"/>
        <v>0</v>
      </c>
      <c r="S9" s="268"/>
      <c r="T9" s="283">
        <f t="shared" si="1"/>
        <v>0</v>
      </c>
      <c r="U9" s="284">
        <f>IF(M9=0,0,IF(G9="Annulation","",IF(assurance="ALPTIS",M9*12*T9/100*'11801 Data'!$K$4,IF(assurance="APRIL",M9*12*T9/100*'11801 Data'!$F$4,IF(assurance="ASAF",M9*12*T9/100*'11801 Data'!$I$4,IF(assurance="NEOLIANE",('11801 Data'!$G$5+M9*12*'11801 Data'!$G$4)*T9/100,IF(assurance="NEOLIANE Prev",('11801 Data'!$H$5+M9*12*'11801 Data'!$H$4)*T9/100,IF(assurance="SWISSLIFE",M9*12*T9/100*'11801 Data'!$J$4,IF(assurance="AVIVA",M9*12*T9/100*'11801 Data'!$L$4,IF(assurance="CIPRES",M9*12*T9/100*'11801 Data'!$M$4,IF(assurance="CEGEMA",M9*12*T9/100*'11801 Data'!$N$4,IF(assurance=0,0))))))))))))</f>
        <v>0</v>
      </c>
      <c r="V9" s="298" t="str">
        <f t="shared" si="15"/>
        <v/>
      </c>
      <c r="W9" s="298" t="str">
        <f t="shared" si="16"/>
        <v/>
      </c>
      <c r="X9" s="299">
        <f t="shared" si="2"/>
        <v>0</v>
      </c>
      <c r="Y9" s="368">
        <f t="shared" si="3"/>
        <v>0</v>
      </c>
      <c r="Z9" s="314"/>
      <c r="AA9" s="313" t="str">
        <f t="shared" si="17"/>
        <v/>
      </c>
      <c r="AB9" s="268" t="s">
        <v>13</v>
      </c>
      <c r="AC9" s="277"/>
      <c r="AD9" s="309" t="str">
        <f t="shared" si="18"/>
        <v/>
      </c>
      <c r="AE9" s="286" t="str">
        <f t="shared" si="19"/>
        <v/>
      </c>
      <c r="AF9" s="277"/>
      <c r="AG9" s="275" t="str">
        <f t="shared" si="20"/>
        <v/>
      </c>
      <c r="AH9" s="287" t="str">
        <f t="shared" ca="1" si="21"/>
        <v/>
      </c>
      <c r="AI9" s="373" t="str">
        <f t="shared" ca="1" si="4"/>
        <v/>
      </c>
      <c r="AJ9" s="296" t="str">
        <f t="shared" si="22"/>
        <v/>
      </c>
      <c r="AK9" s="296" t="str">
        <f t="shared" si="23"/>
        <v/>
      </c>
      <c r="AL9" s="287" t="str">
        <f t="shared" si="24"/>
        <v/>
      </c>
      <c r="AM9" s="279">
        <f t="shared" si="25"/>
        <v>0</v>
      </c>
      <c r="AN9" s="279">
        <f t="shared" si="26"/>
        <v>0</v>
      </c>
      <c r="AO9" s="288">
        <f t="shared" si="27"/>
        <v>0</v>
      </c>
      <c r="AP9" s="279">
        <f t="shared" si="28"/>
        <v>0</v>
      </c>
      <c r="AQ9" s="288">
        <f t="shared" si="29"/>
        <v>0</v>
      </c>
      <c r="AR9" s="289">
        <f t="shared" si="30"/>
        <v>0</v>
      </c>
      <c r="AS9" s="279">
        <f t="shared" si="31"/>
        <v>0</v>
      </c>
      <c r="AT9" s="288">
        <f t="shared" si="32"/>
        <v>0</v>
      </c>
      <c r="AU9" s="289">
        <f t="shared" si="33"/>
        <v>0</v>
      </c>
      <c r="AV9" s="279">
        <f t="shared" si="34"/>
        <v>0</v>
      </c>
      <c r="AW9" s="288">
        <f t="shared" si="35"/>
        <v>0</v>
      </c>
      <c r="AX9" s="289">
        <f t="shared" si="36"/>
        <v>0</v>
      </c>
      <c r="AY9" s="268"/>
      <c r="AZ9" s="291"/>
      <c r="BA9" s="292"/>
      <c r="BB9" s="303"/>
      <c r="BC9" s="293"/>
      <c r="BD9" s="293"/>
      <c r="BE9" s="304"/>
      <c r="BF9" s="274"/>
      <c r="BG9" s="377"/>
      <c r="BH9" s="268">
        <v>1</v>
      </c>
      <c r="BI9" s="273">
        <v>0</v>
      </c>
      <c r="BJ9" s="276"/>
      <c r="BK9" s="294"/>
      <c r="BL9" s="269" t="str">
        <f t="shared" ca="1" si="37"/>
        <v/>
      </c>
      <c r="BM9" s="270"/>
      <c r="BN9" s="271"/>
      <c r="BO9" s="272" t="str">
        <f t="shared" ca="1" si="38"/>
        <v/>
      </c>
      <c r="BP9" s="270"/>
      <c r="BQ9" s="271"/>
      <c r="BR9" s="272" t="str">
        <f t="shared" ca="1" si="39"/>
        <v/>
      </c>
      <c r="BS9" s="270"/>
      <c r="BT9" s="271"/>
      <c r="BU9" s="272" t="str">
        <f t="shared" ca="1" si="40"/>
        <v/>
      </c>
      <c r="BV9" s="270"/>
      <c r="BW9" s="271"/>
      <c r="BX9" s="272" t="str">
        <f t="shared" ca="1" si="41"/>
        <v/>
      </c>
      <c r="BY9" s="270"/>
      <c r="BZ9" s="271"/>
      <c r="CA9" s="272" t="str">
        <f t="shared" ca="1" si="42"/>
        <v/>
      </c>
      <c r="CB9" s="270"/>
      <c r="CC9" s="271"/>
      <c r="CD9" s="272" t="str">
        <f t="shared" ca="1" si="43"/>
        <v/>
      </c>
      <c r="CE9" s="270"/>
      <c r="CF9" s="271"/>
      <c r="CG9" s="272" t="str">
        <f t="shared" ca="1" si="44"/>
        <v/>
      </c>
      <c r="CH9" s="270"/>
      <c r="CI9" s="271"/>
      <c r="CJ9" s="272" t="str">
        <f t="shared" ca="1" si="45"/>
        <v/>
      </c>
      <c r="CK9" s="262"/>
      <c r="CL9" s="264"/>
      <c r="CM9" s="264"/>
      <c r="CN9" s="264"/>
      <c r="CO9" s="264"/>
      <c r="CP9" s="264"/>
      <c r="CQ9" s="264"/>
      <c r="CR9" s="262"/>
      <c r="CS9" s="263"/>
      <c r="CT9" s="297" t="str">
        <f t="shared" si="5"/>
        <v/>
      </c>
      <c r="CU9" s="264"/>
      <c r="CV9" s="265"/>
      <c r="CW9" s="264"/>
      <c r="CX9" s="264"/>
      <c r="CY9" s="264" t="str">
        <f t="shared" si="6"/>
        <v/>
      </c>
      <c r="CZ9" s="264"/>
      <c r="DA9" s="264"/>
      <c r="DB9" s="266"/>
      <c r="DC9" s="264"/>
      <c r="DD9" s="264"/>
      <c r="DE9" s="266"/>
      <c r="DF9" s="266"/>
      <c r="DG9" s="264"/>
      <c r="DH9" s="266"/>
      <c r="DI9" s="266"/>
      <c r="DJ9" s="264"/>
      <c r="DK9" s="264"/>
      <c r="DL9" s="267"/>
      <c r="DM9" s="261">
        <f t="shared" si="7"/>
        <v>0</v>
      </c>
      <c r="DN9" s="295" t="str">
        <f t="shared" si="8"/>
        <v/>
      </c>
      <c r="DO9" s="392" t="str">
        <f t="shared" si="9"/>
        <v/>
      </c>
      <c r="DP9" s="392" t="str">
        <f t="shared" si="46"/>
        <v/>
      </c>
      <c r="DQ9" s="456" t="str">
        <f t="shared" si="10"/>
        <v/>
      </c>
      <c r="DR9" s="456" t="str">
        <f t="shared" si="47"/>
        <v/>
      </c>
    </row>
    <row r="10" spans="1:122" x14ac:dyDescent="0.25">
      <c r="A10" s="599" t="str">
        <f t="shared" si="11"/>
        <v xml:space="preserve">  -  - </v>
      </c>
      <c r="B10" s="306"/>
      <c r="C10" s="305"/>
      <c r="D10" s="301"/>
      <c r="E10" s="276"/>
      <c r="F10" s="278"/>
      <c r="G10" s="311"/>
      <c r="H10" s="276"/>
      <c r="I10" s="313" t="str">
        <f t="shared" si="12"/>
        <v/>
      </c>
      <c r="J10" s="312"/>
      <c r="K10" s="268"/>
      <c r="L10" s="277"/>
      <c r="M10" s="279"/>
      <c r="N10" s="280"/>
      <c r="O10" s="280"/>
      <c r="P10" s="455"/>
      <c r="Q10" s="281" t="str">
        <f t="shared" si="13"/>
        <v/>
      </c>
      <c r="R10" s="282">
        <f t="shared" si="14"/>
        <v>0</v>
      </c>
      <c r="S10" s="268"/>
      <c r="T10" s="283">
        <f t="shared" si="1"/>
        <v>0</v>
      </c>
      <c r="U10" s="284">
        <f>IF(M10=0,0,IF(G10="Annulation","",IF(assurance="ALPTIS",M10*12*T10/100*'11801 Data'!$K$4,IF(assurance="APRIL",M10*12*T10/100*'11801 Data'!$F$4,IF(assurance="ASAF",M10*12*T10/100*'11801 Data'!$I$4,IF(assurance="NEOLIANE",('11801 Data'!$G$5+M10*12*'11801 Data'!$G$4)*T10/100,IF(assurance="NEOLIANE Prev",('11801 Data'!$H$5+M10*12*'11801 Data'!$H$4)*T10/100,IF(assurance="SWISSLIFE",M10*12*T10/100*'11801 Data'!$J$4,IF(assurance="AVIVA",M10*12*T10/100*'11801 Data'!$L$4,IF(assurance="CIPRES",M10*12*T10/100*'11801 Data'!$M$4,IF(assurance="CEGEMA",M10*12*T10/100*'11801 Data'!$N$4,IF(assurance=0,0))))))))))))</f>
        <v>0</v>
      </c>
      <c r="V10" s="298" t="str">
        <f t="shared" si="15"/>
        <v/>
      </c>
      <c r="W10" s="298" t="str">
        <f t="shared" si="16"/>
        <v/>
      </c>
      <c r="X10" s="299">
        <f t="shared" si="2"/>
        <v>0</v>
      </c>
      <c r="Y10" s="368">
        <f t="shared" si="3"/>
        <v>0</v>
      </c>
      <c r="Z10" s="314"/>
      <c r="AA10" s="313" t="str">
        <f t="shared" si="17"/>
        <v/>
      </c>
      <c r="AB10" s="268" t="s">
        <v>13</v>
      </c>
      <c r="AC10" s="277"/>
      <c r="AD10" s="309" t="str">
        <f t="shared" si="18"/>
        <v/>
      </c>
      <c r="AE10" s="286" t="str">
        <f t="shared" si="19"/>
        <v/>
      </c>
      <c r="AF10" s="277"/>
      <c r="AG10" s="275" t="str">
        <f t="shared" si="20"/>
        <v/>
      </c>
      <c r="AH10" s="287" t="str">
        <f t="shared" ca="1" si="21"/>
        <v/>
      </c>
      <c r="AI10" s="373" t="str">
        <f t="shared" ca="1" si="4"/>
        <v/>
      </c>
      <c r="AJ10" s="296" t="str">
        <f t="shared" si="22"/>
        <v/>
      </c>
      <c r="AK10" s="296" t="str">
        <f t="shared" si="23"/>
        <v/>
      </c>
      <c r="AL10" s="287" t="str">
        <f t="shared" si="24"/>
        <v/>
      </c>
      <c r="AM10" s="279">
        <f t="shared" si="25"/>
        <v>0</v>
      </c>
      <c r="AN10" s="279">
        <f t="shared" si="26"/>
        <v>0</v>
      </c>
      <c r="AO10" s="288">
        <f t="shared" si="27"/>
        <v>0</v>
      </c>
      <c r="AP10" s="279">
        <f t="shared" si="28"/>
        <v>0</v>
      </c>
      <c r="AQ10" s="288">
        <f t="shared" si="29"/>
        <v>0</v>
      </c>
      <c r="AR10" s="289">
        <f t="shared" si="30"/>
        <v>0</v>
      </c>
      <c r="AS10" s="279">
        <f t="shared" si="31"/>
        <v>0</v>
      </c>
      <c r="AT10" s="288">
        <f t="shared" si="32"/>
        <v>0</v>
      </c>
      <c r="AU10" s="289">
        <f t="shared" si="33"/>
        <v>0</v>
      </c>
      <c r="AV10" s="279">
        <f t="shared" si="34"/>
        <v>0</v>
      </c>
      <c r="AW10" s="288">
        <f t="shared" si="35"/>
        <v>0</v>
      </c>
      <c r="AX10" s="289">
        <f t="shared" si="36"/>
        <v>0</v>
      </c>
      <c r="AY10" s="268"/>
      <c r="AZ10" s="291"/>
      <c r="BA10" s="292"/>
      <c r="BB10" s="303"/>
      <c r="BC10" s="293"/>
      <c r="BD10" s="293"/>
      <c r="BE10" s="304"/>
      <c r="BF10" s="274"/>
      <c r="BG10" s="377"/>
      <c r="BH10" s="268">
        <v>1</v>
      </c>
      <c r="BI10" s="273">
        <v>0</v>
      </c>
      <c r="BJ10" s="276"/>
      <c r="BK10" s="294"/>
      <c r="BL10" s="269" t="str">
        <f t="shared" ca="1" si="37"/>
        <v/>
      </c>
      <c r="BM10" s="270"/>
      <c r="BN10" s="271"/>
      <c r="BO10" s="272" t="str">
        <f t="shared" ca="1" si="38"/>
        <v/>
      </c>
      <c r="BP10" s="270"/>
      <c r="BQ10" s="271"/>
      <c r="BR10" s="272" t="str">
        <f t="shared" ca="1" si="39"/>
        <v/>
      </c>
      <c r="BS10" s="270"/>
      <c r="BT10" s="271"/>
      <c r="BU10" s="272" t="str">
        <f t="shared" ca="1" si="40"/>
        <v/>
      </c>
      <c r="BV10" s="270"/>
      <c r="BW10" s="271"/>
      <c r="BX10" s="272" t="str">
        <f t="shared" ca="1" si="41"/>
        <v/>
      </c>
      <c r="BY10" s="270"/>
      <c r="BZ10" s="271"/>
      <c r="CA10" s="272" t="str">
        <f t="shared" ca="1" si="42"/>
        <v/>
      </c>
      <c r="CB10" s="270"/>
      <c r="CC10" s="271"/>
      <c r="CD10" s="272" t="str">
        <f t="shared" ca="1" si="43"/>
        <v/>
      </c>
      <c r="CE10" s="270"/>
      <c r="CF10" s="271"/>
      <c r="CG10" s="272" t="str">
        <f t="shared" ca="1" si="44"/>
        <v/>
      </c>
      <c r="CH10" s="270"/>
      <c r="CI10" s="271"/>
      <c r="CJ10" s="272" t="str">
        <f t="shared" ca="1" si="45"/>
        <v/>
      </c>
      <c r="CK10" s="262"/>
      <c r="CL10" s="264"/>
      <c r="CM10" s="264"/>
      <c r="CN10" s="264"/>
      <c r="CO10" s="264"/>
      <c r="CP10" s="264"/>
      <c r="CQ10" s="264"/>
      <c r="CR10" s="262"/>
      <c r="CS10" s="263"/>
      <c r="CT10" s="297" t="str">
        <f t="shared" si="5"/>
        <v/>
      </c>
      <c r="CU10" s="264"/>
      <c r="CV10" s="265"/>
      <c r="CW10" s="264"/>
      <c r="CX10" s="264"/>
      <c r="CY10" s="264" t="str">
        <f t="shared" si="6"/>
        <v/>
      </c>
      <c r="CZ10" s="264"/>
      <c r="DA10" s="264"/>
      <c r="DB10" s="266"/>
      <c r="DC10" s="264"/>
      <c r="DD10" s="264"/>
      <c r="DE10" s="266"/>
      <c r="DF10" s="266"/>
      <c r="DG10" s="264"/>
      <c r="DH10" s="266"/>
      <c r="DI10" s="266"/>
      <c r="DJ10" s="264"/>
      <c r="DK10" s="264"/>
      <c r="DL10" s="267"/>
      <c r="DM10" s="261">
        <f t="shared" si="7"/>
        <v>0</v>
      </c>
      <c r="DN10" s="295" t="str">
        <f t="shared" si="8"/>
        <v/>
      </c>
      <c r="DO10" s="392" t="str">
        <f t="shared" si="9"/>
        <v/>
      </c>
      <c r="DP10" s="392" t="str">
        <f t="shared" si="46"/>
        <v/>
      </c>
      <c r="DQ10" s="456" t="str">
        <f t="shared" si="10"/>
        <v/>
      </c>
      <c r="DR10" s="456" t="str">
        <f t="shared" si="47"/>
        <v/>
      </c>
    </row>
    <row r="11" spans="1:122" x14ac:dyDescent="0.25">
      <c r="A11" s="599" t="str">
        <f t="shared" si="11"/>
        <v xml:space="preserve">  -  - </v>
      </c>
      <c r="B11" s="306"/>
      <c r="C11" s="305"/>
      <c r="D11" s="301"/>
      <c r="E11" s="276"/>
      <c r="F11" s="278"/>
      <c r="G11" s="311"/>
      <c r="H11" s="276"/>
      <c r="I11" s="313" t="str">
        <f t="shared" si="12"/>
        <v/>
      </c>
      <c r="J11" s="312"/>
      <c r="K11" s="268"/>
      <c r="L11" s="277"/>
      <c r="M11" s="279"/>
      <c r="N11" s="280"/>
      <c r="O11" s="280"/>
      <c r="P11" s="455"/>
      <c r="Q11" s="281" t="str">
        <f t="shared" si="13"/>
        <v/>
      </c>
      <c r="R11" s="282">
        <f t="shared" si="14"/>
        <v>0</v>
      </c>
      <c r="S11" s="268"/>
      <c r="T11" s="283">
        <f t="shared" si="1"/>
        <v>0</v>
      </c>
      <c r="U11" s="284">
        <f>IF(M11=0,0,IF(G11="Annulation","",IF(assurance="ALPTIS",M11*12*T11/100*'11801 Data'!$K$4,IF(assurance="APRIL",M11*12*T11/100*'11801 Data'!$F$4,IF(assurance="ASAF",M11*12*T11/100*'11801 Data'!$I$4,IF(assurance="NEOLIANE",('11801 Data'!$G$5+M11*12*'11801 Data'!$G$4)*T11/100,IF(assurance="NEOLIANE Prev",('11801 Data'!$H$5+M11*12*'11801 Data'!$H$4)*T11/100,IF(assurance="SWISSLIFE",M11*12*T11/100*'11801 Data'!$J$4,IF(assurance="AVIVA",M11*12*T11/100*'11801 Data'!$L$4,IF(assurance="CIPRES",M11*12*T11/100*'11801 Data'!$M$4,IF(assurance="CEGEMA",M11*12*T11/100*'11801 Data'!$N$4,IF(assurance=0,0))))))))))))</f>
        <v>0</v>
      </c>
      <c r="V11" s="298" t="str">
        <f t="shared" si="15"/>
        <v/>
      </c>
      <c r="W11" s="298" t="str">
        <f t="shared" si="16"/>
        <v/>
      </c>
      <c r="X11" s="299">
        <f t="shared" si="2"/>
        <v>0</v>
      </c>
      <c r="Y11" s="368">
        <f t="shared" si="3"/>
        <v>0</v>
      </c>
      <c r="Z11" s="314"/>
      <c r="AA11" s="313" t="str">
        <f t="shared" si="17"/>
        <v/>
      </c>
      <c r="AB11" s="268" t="s">
        <v>13</v>
      </c>
      <c r="AC11" s="277"/>
      <c r="AD11" s="309" t="str">
        <f t="shared" si="18"/>
        <v/>
      </c>
      <c r="AE11" s="286" t="str">
        <f t="shared" si="19"/>
        <v/>
      </c>
      <c r="AF11" s="277"/>
      <c r="AG11" s="275" t="str">
        <f t="shared" si="20"/>
        <v/>
      </c>
      <c r="AH11" s="287" t="str">
        <f t="shared" ca="1" si="21"/>
        <v/>
      </c>
      <c r="AI11" s="373" t="str">
        <f t="shared" ca="1" si="4"/>
        <v/>
      </c>
      <c r="AJ11" s="296" t="str">
        <f t="shared" si="22"/>
        <v/>
      </c>
      <c r="AK11" s="296" t="str">
        <f t="shared" si="23"/>
        <v/>
      </c>
      <c r="AL11" s="287" t="str">
        <f t="shared" si="24"/>
        <v/>
      </c>
      <c r="AM11" s="279">
        <f t="shared" si="25"/>
        <v>0</v>
      </c>
      <c r="AN11" s="279">
        <f t="shared" si="26"/>
        <v>0</v>
      </c>
      <c r="AO11" s="288">
        <f t="shared" si="27"/>
        <v>0</v>
      </c>
      <c r="AP11" s="279">
        <f t="shared" si="28"/>
        <v>0</v>
      </c>
      <c r="AQ11" s="288">
        <f t="shared" si="29"/>
        <v>0</v>
      </c>
      <c r="AR11" s="289">
        <f t="shared" si="30"/>
        <v>0</v>
      </c>
      <c r="AS11" s="279">
        <f t="shared" si="31"/>
        <v>0</v>
      </c>
      <c r="AT11" s="288">
        <f t="shared" si="32"/>
        <v>0</v>
      </c>
      <c r="AU11" s="289">
        <f t="shared" si="33"/>
        <v>0</v>
      </c>
      <c r="AV11" s="279">
        <f t="shared" si="34"/>
        <v>0</v>
      </c>
      <c r="AW11" s="288">
        <f t="shared" si="35"/>
        <v>0</v>
      </c>
      <c r="AX11" s="289">
        <f t="shared" si="36"/>
        <v>0</v>
      </c>
      <c r="AY11" s="268"/>
      <c r="AZ11" s="291"/>
      <c r="BA11" s="292"/>
      <c r="BB11" s="303"/>
      <c r="BC11" s="293"/>
      <c r="BD11" s="293"/>
      <c r="BE11" s="304"/>
      <c r="BF11" s="274"/>
      <c r="BG11" s="377"/>
      <c r="BH11" s="268">
        <v>1</v>
      </c>
      <c r="BI11" s="273">
        <v>0</v>
      </c>
      <c r="BJ11" s="276"/>
      <c r="BK11" s="294"/>
      <c r="BL11" s="269" t="str">
        <f t="shared" ca="1" si="37"/>
        <v/>
      </c>
      <c r="BM11" s="270"/>
      <c r="BN11" s="271"/>
      <c r="BO11" s="272" t="str">
        <f t="shared" ca="1" si="38"/>
        <v/>
      </c>
      <c r="BP11" s="270"/>
      <c r="BQ11" s="271"/>
      <c r="BR11" s="272" t="str">
        <f t="shared" ca="1" si="39"/>
        <v/>
      </c>
      <c r="BS11" s="270"/>
      <c r="BT11" s="271"/>
      <c r="BU11" s="272" t="str">
        <f t="shared" ca="1" si="40"/>
        <v/>
      </c>
      <c r="BV11" s="270"/>
      <c r="BW11" s="271"/>
      <c r="BX11" s="272" t="str">
        <f t="shared" ca="1" si="41"/>
        <v/>
      </c>
      <c r="BY11" s="270"/>
      <c r="BZ11" s="271"/>
      <c r="CA11" s="272" t="str">
        <f t="shared" ca="1" si="42"/>
        <v/>
      </c>
      <c r="CB11" s="270"/>
      <c r="CC11" s="271"/>
      <c r="CD11" s="272" t="str">
        <f t="shared" ca="1" si="43"/>
        <v/>
      </c>
      <c r="CE11" s="270"/>
      <c r="CF11" s="271"/>
      <c r="CG11" s="272" t="str">
        <f t="shared" ca="1" si="44"/>
        <v/>
      </c>
      <c r="CH11" s="270"/>
      <c r="CI11" s="271"/>
      <c r="CJ11" s="272" t="str">
        <f t="shared" ca="1" si="45"/>
        <v/>
      </c>
      <c r="CK11" s="262"/>
      <c r="CL11" s="264"/>
      <c r="CM11" s="264"/>
      <c r="CN11" s="264"/>
      <c r="CO11" s="264"/>
      <c r="CP11" s="264"/>
      <c r="CQ11" s="264"/>
      <c r="CR11" s="262"/>
      <c r="CS11" s="263"/>
      <c r="CT11" s="297" t="str">
        <f t="shared" si="5"/>
        <v/>
      </c>
      <c r="CU11" s="264"/>
      <c r="CV11" s="265"/>
      <c r="CW11" s="264"/>
      <c r="CX11" s="264"/>
      <c r="CY11" s="264" t="str">
        <f t="shared" si="6"/>
        <v/>
      </c>
      <c r="CZ11" s="264"/>
      <c r="DA11" s="264"/>
      <c r="DB11" s="266"/>
      <c r="DC11" s="264"/>
      <c r="DD11" s="264"/>
      <c r="DE11" s="266"/>
      <c r="DF11" s="266"/>
      <c r="DG11" s="264"/>
      <c r="DH11" s="266"/>
      <c r="DI11" s="266"/>
      <c r="DJ11" s="264"/>
      <c r="DK11" s="264"/>
      <c r="DL11" s="267"/>
      <c r="DM11" s="261">
        <f t="shared" si="7"/>
        <v>0</v>
      </c>
      <c r="DN11" s="295" t="str">
        <f t="shared" si="8"/>
        <v/>
      </c>
      <c r="DO11" s="392" t="str">
        <f t="shared" si="9"/>
        <v/>
      </c>
      <c r="DP11" s="392" t="str">
        <f t="shared" si="46"/>
        <v/>
      </c>
      <c r="DQ11" s="456" t="str">
        <f t="shared" si="10"/>
        <v/>
      </c>
      <c r="DR11" s="456" t="str">
        <f t="shared" si="47"/>
        <v/>
      </c>
    </row>
    <row r="12" spans="1:122" x14ac:dyDescent="0.25">
      <c r="A12" s="599" t="str">
        <f t="shared" si="11"/>
        <v xml:space="preserve">  -  - </v>
      </c>
      <c r="B12" s="306"/>
      <c r="C12" s="305"/>
      <c r="D12" s="301"/>
      <c r="E12" s="276"/>
      <c r="F12" s="278"/>
      <c r="G12" s="311"/>
      <c r="H12" s="276"/>
      <c r="I12" s="313" t="str">
        <f t="shared" si="12"/>
        <v/>
      </c>
      <c r="J12" s="312"/>
      <c r="K12" s="268"/>
      <c r="L12" s="277"/>
      <c r="M12" s="279"/>
      <c r="N12" s="280"/>
      <c r="O12" s="280"/>
      <c r="P12" s="455"/>
      <c r="Q12" s="281" t="str">
        <f t="shared" si="13"/>
        <v/>
      </c>
      <c r="R12" s="282">
        <f t="shared" si="14"/>
        <v>0</v>
      </c>
      <c r="S12" s="268"/>
      <c r="T12" s="283">
        <f t="shared" si="1"/>
        <v>0</v>
      </c>
      <c r="U12" s="284">
        <f>IF(M12=0,0,IF(G12="Annulation","",IF(assurance="ALPTIS",M12*12*T12/100*'11801 Data'!$K$4,IF(assurance="APRIL",M12*12*T12/100*'11801 Data'!$F$4,IF(assurance="ASAF",M12*12*T12/100*'11801 Data'!$I$4,IF(assurance="NEOLIANE",('11801 Data'!$G$5+M12*12*'11801 Data'!$G$4)*T12/100,IF(assurance="NEOLIANE Prev",('11801 Data'!$H$5+M12*12*'11801 Data'!$H$4)*T12/100,IF(assurance="SWISSLIFE",M12*12*T12/100*'11801 Data'!$J$4,IF(assurance="AVIVA",M12*12*T12/100*'11801 Data'!$L$4,IF(assurance="CIPRES",M12*12*T12/100*'11801 Data'!$M$4,IF(assurance="CEGEMA",M12*12*T12/100*'11801 Data'!$N$4,IF(assurance=0,0))))))))))))</f>
        <v>0</v>
      </c>
      <c r="V12" s="298" t="str">
        <f t="shared" si="15"/>
        <v/>
      </c>
      <c r="W12" s="298" t="str">
        <f t="shared" si="16"/>
        <v/>
      </c>
      <c r="X12" s="299">
        <f t="shared" si="2"/>
        <v>0</v>
      </c>
      <c r="Y12" s="368">
        <f t="shared" si="3"/>
        <v>0</v>
      </c>
      <c r="Z12" s="314"/>
      <c r="AA12" s="313" t="str">
        <f t="shared" si="17"/>
        <v/>
      </c>
      <c r="AB12" s="268" t="s">
        <v>13</v>
      </c>
      <c r="AC12" s="277"/>
      <c r="AD12" s="309" t="str">
        <f t="shared" si="18"/>
        <v/>
      </c>
      <c r="AE12" s="286" t="str">
        <f t="shared" si="19"/>
        <v/>
      </c>
      <c r="AF12" s="277"/>
      <c r="AG12" s="275" t="str">
        <f t="shared" si="20"/>
        <v/>
      </c>
      <c r="AH12" s="287" t="str">
        <f t="shared" ca="1" si="21"/>
        <v/>
      </c>
      <c r="AI12" s="373" t="str">
        <f t="shared" ca="1" si="4"/>
        <v/>
      </c>
      <c r="AJ12" s="296" t="str">
        <f t="shared" si="22"/>
        <v/>
      </c>
      <c r="AK12" s="296" t="str">
        <f t="shared" si="23"/>
        <v/>
      </c>
      <c r="AL12" s="287" t="str">
        <f t="shared" si="24"/>
        <v/>
      </c>
      <c r="AM12" s="279">
        <f t="shared" si="25"/>
        <v>0</v>
      </c>
      <c r="AN12" s="279">
        <f t="shared" si="26"/>
        <v>0</v>
      </c>
      <c r="AO12" s="288">
        <f t="shared" si="27"/>
        <v>0</v>
      </c>
      <c r="AP12" s="279">
        <f t="shared" si="28"/>
        <v>0</v>
      </c>
      <c r="AQ12" s="288">
        <f t="shared" si="29"/>
        <v>0</v>
      </c>
      <c r="AR12" s="289">
        <f t="shared" si="30"/>
        <v>0</v>
      </c>
      <c r="AS12" s="279">
        <f t="shared" si="31"/>
        <v>0</v>
      </c>
      <c r="AT12" s="288">
        <f t="shared" si="32"/>
        <v>0</v>
      </c>
      <c r="AU12" s="289">
        <f t="shared" si="33"/>
        <v>0</v>
      </c>
      <c r="AV12" s="279">
        <f t="shared" si="34"/>
        <v>0</v>
      </c>
      <c r="AW12" s="288">
        <f t="shared" si="35"/>
        <v>0</v>
      </c>
      <c r="AX12" s="289">
        <f t="shared" si="36"/>
        <v>0</v>
      </c>
      <c r="AY12" s="268"/>
      <c r="AZ12" s="291"/>
      <c r="BA12" s="292"/>
      <c r="BB12" s="303"/>
      <c r="BC12" s="293"/>
      <c r="BD12" s="293"/>
      <c r="BE12" s="304"/>
      <c r="BF12" s="274"/>
      <c r="BG12" s="377"/>
      <c r="BH12" s="268">
        <v>1</v>
      </c>
      <c r="BI12" s="273">
        <v>0</v>
      </c>
      <c r="BJ12" s="276"/>
      <c r="BK12" s="294"/>
      <c r="BL12" s="269" t="str">
        <f t="shared" ca="1" si="37"/>
        <v/>
      </c>
      <c r="BM12" s="270"/>
      <c r="BN12" s="271"/>
      <c r="BO12" s="272" t="str">
        <f t="shared" ca="1" si="38"/>
        <v/>
      </c>
      <c r="BP12" s="270"/>
      <c r="BQ12" s="271"/>
      <c r="BR12" s="272" t="str">
        <f t="shared" ca="1" si="39"/>
        <v/>
      </c>
      <c r="BS12" s="270"/>
      <c r="BT12" s="271"/>
      <c r="BU12" s="272" t="str">
        <f t="shared" ca="1" si="40"/>
        <v/>
      </c>
      <c r="BV12" s="270"/>
      <c r="BW12" s="271"/>
      <c r="BX12" s="272" t="str">
        <f t="shared" ca="1" si="41"/>
        <v/>
      </c>
      <c r="BY12" s="270"/>
      <c r="BZ12" s="271"/>
      <c r="CA12" s="272" t="str">
        <f t="shared" ca="1" si="42"/>
        <v/>
      </c>
      <c r="CB12" s="270"/>
      <c r="CC12" s="271"/>
      <c r="CD12" s="272" t="str">
        <f t="shared" ca="1" si="43"/>
        <v/>
      </c>
      <c r="CE12" s="270"/>
      <c r="CF12" s="271"/>
      <c r="CG12" s="272" t="str">
        <f t="shared" ca="1" si="44"/>
        <v/>
      </c>
      <c r="CH12" s="270"/>
      <c r="CI12" s="271"/>
      <c r="CJ12" s="272" t="str">
        <f t="shared" ca="1" si="45"/>
        <v/>
      </c>
      <c r="CK12" s="262"/>
      <c r="CL12" s="264"/>
      <c r="CM12" s="264"/>
      <c r="CN12" s="264"/>
      <c r="CO12" s="264"/>
      <c r="CP12" s="264"/>
      <c r="CQ12" s="264"/>
      <c r="CR12" s="262"/>
      <c r="CS12" s="263"/>
      <c r="CT12" s="297" t="str">
        <f t="shared" si="5"/>
        <v/>
      </c>
      <c r="CU12" s="264"/>
      <c r="CV12" s="265"/>
      <c r="CW12" s="264"/>
      <c r="CX12" s="264"/>
      <c r="CY12" s="264" t="str">
        <f t="shared" si="6"/>
        <v/>
      </c>
      <c r="CZ12" s="264"/>
      <c r="DA12" s="264"/>
      <c r="DB12" s="266"/>
      <c r="DC12" s="264"/>
      <c r="DD12" s="264"/>
      <c r="DE12" s="266"/>
      <c r="DF12" s="266"/>
      <c r="DG12" s="264"/>
      <c r="DH12" s="266"/>
      <c r="DI12" s="266"/>
      <c r="DJ12" s="264"/>
      <c r="DK12" s="264"/>
      <c r="DL12" s="267"/>
      <c r="DM12" s="261">
        <f t="shared" si="7"/>
        <v>0</v>
      </c>
      <c r="DN12" s="295" t="str">
        <f t="shared" si="8"/>
        <v/>
      </c>
      <c r="DO12" s="392" t="str">
        <f t="shared" si="9"/>
        <v/>
      </c>
      <c r="DP12" s="392" t="str">
        <f t="shared" si="46"/>
        <v/>
      </c>
      <c r="DQ12" s="456" t="str">
        <f t="shared" si="10"/>
        <v/>
      </c>
      <c r="DR12" s="456" t="str">
        <f t="shared" si="47"/>
        <v/>
      </c>
    </row>
    <row r="13" spans="1:122" x14ac:dyDescent="0.25">
      <c r="A13" s="599" t="str">
        <f t="shared" si="11"/>
        <v xml:space="preserve">  -  - </v>
      </c>
      <c r="B13" s="306"/>
      <c r="C13" s="305"/>
      <c r="D13" s="301"/>
      <c r="E13" s="276"/>
      <c r="F13" s="278"/>
      <c r="G13" s="311"/>
      <c r="H13" s="276"/>
      <c r="I13" s="313" t="str">
        <f t="shared" si="12"/>
        <v/>
      </c>
      <c r="J13" s="312"/>
      <c r="K13" s="268"/>
      <c r="L13" s="277"/>
      <c r="M13" s="279"/>
      <c r="N13" s="280"/>
      <c r="O13" s="280"/>
      <c r="P13" s="455"/>
      <c r="Q13" s="281" t="str">
        <f t="shared" si="13"/>
        <v/>
      </c>
      <c r="R13" s="282">
        <f t="shared" si="14"/>
        <v>0</v>
      </c>
      <c r="S13" s="268"/>
      <c r="T13" s="283">
        <f t="shared" si="1"/>
        <v>0</v>
      </c>
      <c r="U13" s="284">
        <f>IF(M13=0,0,IF(G13="Annulation","",IF(assurance="ALPTIS",M13*12*T13/100*'11801 Data'!$K$4,IF(assurance="APRIL",M13*12*T13/100*'11801 Data'!$F$4,IF(assurance="ASAF",M13*12*T13/100*'11801 Data'!$I$4,IF(assurance="NEOLIANE",('11801 Data'!$G$5+M13*12*'11801 Data'!$G$4)*T13/100,IF(assurance="NEOLIANE Prev",('11801 Data'!$H$5+M13*12*'11801 Data'!$H$4)*T13/100,IF(assurance="SWISSLIFE",M13*12*T13/100*'11801 Data'!$J$4,IF(assurance="AVIVA",M13*12*T13/100*'11801 Data'!$L$4,IF(assurance="CIPRES",M13*12*T13/100*'11801 Data'!$M$4,IF(assurance="CEGEMA",M13*12*T13/100*'11801 Data'!$N$4,IF(assurance=0,0))))))))))))</f>
        <v>0</v>
      </c>
      <c r="V13" s="298" t="str">
        <f t="shared" si="15"/>
        <v/>
      </c>
      <c r="W13" s="298" t="str">
        <f t="shared" si="16"/>
        <v/>
      </c>
      <c r="X13" s="299">
        <f t="shared" si="2"/>
        <v>0</v>
      </c>
      <c r="Y13" s="368">
        <f t="shared" si="3"/>
        <v>0</v>
      </c>
      <c r="Z13" s="314"/>
      <c r="AA13" s="313" t="str">
        <f t="shared" si="17"/>
        <v/>
      </c>
      <c r="AB13" s="268" t="s">
        <v>13</v>
      </c>
      <c r="AC13" s="277"/>
      <c r="AD13" s="309" t="str">
        <f t="shared" si="18"/>
        <v/>
      </c>
      <c r="AE13" s="286" t="str">
        <f t="shared" si="19"/>
        <v/>
      </c>
      <c r="AF13" s="277"/>
      <c r="AG13" s="275" t="str">
        <f t="shared" si="20"/>
        <v/>
      </c>
      <c r="AH13" s="287" t="str">
        <f t="shared" ca="1" si="21"/>
        <v/>
      </c>
      <c r="AI13" s="373" t="str">
        <f t="shared" ca="1" si="4"/>
        <v/>
      </c>
      <c r="AJ13" s="296" t="str">
        <f t="shared" si="22"/>
        <v/>
      </c>
      <c r="AK13" s="296" t="str">
        <f t="shared" si="23"/>
        <v/>
      </c>
      <c r="AL13" s="287" t="str">
        <f t="shared" si="24"/>
        <v/>
      </c>
      <c r="AM13" s="279">
        <f t="shared" si="25"/>
        <v>0</v>
      </c>
      <c r="AN13" s="279">
        <f t="shared" si="26"/>
        <v>0</v>
      </c>
      <c r="AO13" s="288">
        <f t="shared" si="27"/>
        <v>0</v>
      </c>
      <c r="AP13" s="279">
        <f t="shared" si="28"/>
        <v>0</v>
      </c>
      <c r="AQ13" s="288">
        <f t="shared" si="29"/>
        <v>0</v>
      </c>
      <c r="AR13" s="289">
        <f t="shared" si="30"/>
        <v>0</v>
      </c>
      <c r="AS13" s="279">
        <f t="shared" si="31"/>
        <v>0</v>
      </c>
      <c r="AT13" s="288">
        <f t="shared" si="32"/>
        <v>0</v>
      </c>
      <c r="AU13" s="289">
        <f t="shared" si="33"/>
        <v>0</v>
      </c>
      <c r="AV13" s="279">
        <f t="shared" si="34"/>
        <v>0</v>
      </c>
      <c r="AW13" s="288">
        <f t="shared" si="35"/>
        <v>0</v>
      </c>
      <c r="AX13" s="289">
        <f t="shared" si="36"/>
        <v>0</v>
      </c>
      <c r="AY13" s="268"/>
      <c r="AZ13" s="291"/>
      <c r="BA13" s="292"/>
      <c r="BB13" s="303"/>
      <c r="BC13" s="293"/>
      <c r="BD13" s="293"/>
      <c r="BE13" s="304"/>
      <c r="BF13" s="274"/>
      <c r="BG13" s="377"/>
      <c r="BH13" s="268">
        <v>1</v>
      </c>
      <c r="BI13" s="273">
        <v>0</v>
      </c>
      <c r="BJ13" s="276"/>
      <c r="BK13" s="294"/>
      <c r="BL13" s="269" t="str">
        <f t="shared" ca="1" si="37"/>
        <v/>
      </c>
      <c r="BM13" s="270"/>
      <c r="BN13" s="271"/>
      <c r="BO13" s="272" t="str">
        <f t="shared" ca="1" si="38"/>
        <v/>
      </c>
      <c r="BP13" s="270"/>
      <c r="BQ13" s="271"/>
      <c r="BR13" s="272" t="str">
        <f t="shared" ca="1" si="39"/>
        <v/>
      </c>
      <c r="BS13" s="270"/>
      <c r="BT13" s="271"/>
      <c r="BU13" s="272" t="str">
        <f t="shared" ca="1" si="40"/>
        <v/>
      </c>
      <c r="BV13" s="270"/>
      <c r="BW13" s="271"/>
      <c r="BX13" s="272" t="str">
        <f t="shared" ca="1" si="41"/>
        <v/>
      </c>
      <c r="BY13" s="270"/>
      <c r="BZ13" s="271"/>
      <c r="CA13" s="272" t="str">
        <f t="shared" ca="1" si="42"/>
        <v/>
      </c>
      <c r="CB13" s="270"/>
      <c r="CC13" s="271"/>
      <c r="CD13" s="272" t="str">
        <f t="shared" ca="1" si="43"/>
        <v/>
      </c>
      <c r="CE13" s="270"/>
      <c r="CF13" s="271"/>
      <c r="CG13" s="272" t="str">
        <f t="shared" ca="1" si="44"/>
        <v/>
      </c>
      <c r="CH13" s="270"/>
      <c r="CI13" s="271"/>
      <c r="CJ13" s="272" t="str">
        <f t="shared" ca="1" si="45"/>
        <v/>
      </c>
      <c r="CK13" s="262"/>
      <c r="CL13" s="264"/>
      <c r="CM13" s="264"/>
      <c r="CN13" s="264"/>
      <c r="CO13" s="264"/>
      <c r="CP13" s="264"/>
      <c r="CQ13" s="264"/>
      <c r="CR13" s="262"/>
      <c r="CS13" s="263"/>
      <c r="CT13" s="297" t="str">
        <f t="shared" si="5"/>
        <v/>
      </c>
      <c r="CU13" s="264"/>
      <c r="CV13" s="265"/>
      <c r="CW13" s="264"/>
      <c r="CX13" s="264"/>
      <c r="CY13" s="264" t="str">
        <f t="shared" si="6"/>
        <v/>
      </c>
      <c r="CZ13" s="264"/>
      <c r="DA13" s="264"/>
      <c r="DB13" s="266"/>
      <c r="DC13" s="264"/>
      <c r="DD13" s="264"/>
      <c r="DE13" s="266"/>
      <c r="DF13" s="266"/>
      <c r="DG13" s="264"/>
      <c r="DH13" s="266"/>
      <c r="DI13" s="266"/>
      <c r="DJ13" s="264"/>
      <c r="DK13" s="264"/>
      <c r="DL13" s="267"/>
      <c r="DM13" s="261">
        <f t="shared" si="7"/>
        <v>0</v>
      </c>
      <c r="DN13" s="295" t="str">
        <f t="shared" si="8"/>
        <v/>
      </c>
      <c r="DO13" s="392" t="str">
        <f t="shared" si="9"/>
        <v/>
      </c>
      <c r="DP13" s="392" t="str">
        <f t="shared" si="46"/>
        <v/>
      </c>
      <c r="DQ13" s="456" t="str">
        <f t="shared" si="10"/>
        <v/>
      </c>
      <c r="DR13" s="456" t="str">
        <f t="shared" si="47"/>
        <v/>
      </c>
    </row>
    <row r="14" spans="1:122" x14ac:dyDescent="0.25">
      <c r="A14" s="599" t="str">
        <f t="shared" si="11"/>
        <v xml:space="preserve">  -  - </v>
      </c>
      <c r="B14" s="306"/>
      <c r="C14" s="305"/>
      <c r="D14" s="301"/>
      <c r="E14" s="276"/>
      <c r="F14" s="278"/>
      <c r="G14" s="311"/>
      <c r="H14" s="276"/>
      <c r="I14" s="313" t="str">
        <f t="shared" si="12"/>
        <v/>
      </c>
      <c r="J14" s="312"/>
      <c r="K14" s="268"/>
      <c r="L14" s="277"/>
      <c r="M14" s="279"/>
      <c r="N14" s="280"/>
      <c r="O14" s="280"/>
      <c r="P14" s="455"/>
      <c r="Q14" s="281" t="str">
        <f t="shared" si="13"/>
        <v/>
      </c>
      <c r="R14" s="282">
        <f t="shared" si="14"/>
        <v>0</v>
      </c>
      <c r="S14" s="268"/>
      <c r="T14" s="283">
        <f t="shared" si="1"/>
        <v>0</v>
      </c>
      <c r="U14" s="284">
        <f>IF(M14=0,0,IF(G14="Annulation","",IF(assurance="ALPTIS",M14*12*T14/100*'11801 Data'!$K$4,IF(assurance="APRIL",M14*12*T14/100*'11801 Data'!$F$4,IF(assurance="ASAF",M14*12*T14/100*'11801 Data'!$I$4,IF(assurance="NEOLIANE",('11801 Data'!$G$5+M14*12*'11801 Data'!$G$4)*T14/100,IF(assurance="NEOLIANE Prev",('11801 Data'!$H$5+M14*12*'11801 Data'!$H$4)*T14/100,IF(assurance="SWISSLIFE",M14*12*T14/100*'11801 Data'!$J$4,IF(assurance="AVIVA",M14*12*T14/100*'11801 Data'!$L$4,IF(assurance="CIPRES",M14*12*T14/100*'11801 Data'!$M$4,IF(assurance="CEGEMA",M14*12*T14/100*'11801 Data'!$N$4,IF(assurance=0,0))))))))))))</f>
        <v>0</v>
      </c>
      <c r="V14" s="298" t="str">
        <f t="shared" si="15"/>
        <v/>
      </c>
      <c r="W14" s="298" t="str">
        <f t="shared" si="16"/>
        <v/>
      </c>
      <c r="X14" s="299">
        <f t="shared" si="2"/>
        <v>0</v>
      </c>
      <c r="Y14" s="368">
        <f t="shared" si="3"/>
        <v>0</v>
      </c>
      <c r="Z14" s="314"/>
      <c r="AA14" s="313" t="str">
        <f t="shared" si="17"/>
        <v/>
      </c>
      <c r="AB14" s="268" t="s">
        <v>13</v>
      </c>
      <c r="AC14" s="277"/>
      <c r="AD14" s="309" t="str">
        <f t="shared" si="18"/>
        <v/>
      </c>
      <c r="AE14" s="286" t="str">
        <f t="shared" si="19"/>
        <v/>
      </c>
      <c r="AF14" s="277"/>
      <c r="AG14" s="275" t="str">
        <f t="shared" si="20"/>
        <v/>
      </c>
      <c r="AH14" s="287" t="str">
        <f t="shared" ca="1" si="21"/>
        <v/>
      </c>
      <c r="AI14" s="373" t="str">
        <f t="shared" ca="1" si="4"/>
        <v/>
      </c>
      <c r="AJ14" s="296" t="str">
        <f t="shared" si="22"/>
        <v/>
      </c>
      <c r="AK14" s="296" t="str">
        <f t="shared" si="23"/>
        <v/>
      </c>
      <c r="AL14" s="287" t="str">
        <f t="shared" si="24"/>
        <v/>
      </c>
      <c r="AM14" s="279">
        <f t="shared" si="25"/>
        <v>0</v>
      </c>
      <c r="AN14" s="279">
        <f t="shared" si="26"/>
        <v>0</v>
      </c>
      <c r="AO14" s="288">
        <f t="shared" si="27"/>
        <v>0</v>
      </c>
      <c r="AP14" s="279">
        <f t="shared" si="28"/>
        <v>0</v>
      </c>
      <c r="AQ14" s="288">
        <f t="shared" si="29"/>
        <v>0</v>
      </c>
      <c r="AR14" s="289">
        <f t="shared" si="30"/>
        <v>0</v>
      </c>
      <c r="AS14" s="279">
        <f t="shared" si="31"/>
        <v>0</v>
      </c>
      <c r="AT14" s="288">
        <f t="shared" si="32"/>
        <v>0</v>
      </c>
      <c r="AU14" s="289">
        <f t="shared" si="33"/>
        <v>0</v>
      </c>
      <c r="AV14" s="279">
        <f t="shared" si="34"/>
        <v>0</v>
      </c>
      <c r="AW14" s="288">
        <f t="shared" si="35"/>
        <v>0</v>
      </c>
      <c r="AX14" s="289">
        <f t="shared" si="36"/>
        <v>0</v>
      </c>
      <c r="AY14" s="268"/>
      <c r="AZ14" s="291"/>
      <c r="BA14" s="292"/>
      <c r="BB14" s="303"/>
      <c r="BC14" s="293"/>
      <c r="BD14" s="293"/>
      <c r="BE14" s="304"/>
      <c r="BF14" s="274"/>
      <c r="BG14" s="377"/>
      <c r="BH14" s="268">
        <v>1</v>
      </c>
      <c r="BI14" s="273">
        <v>0</v>
      </c>
      <c r="BJ14" s="276"/>
      <c r="BK14" s="294"/>
      <c r="BL14" s="269" t="str">
        <f t="shared" ca="1" si="37"/>
        <v/>
      </c>
      <c r="BM14" s="270"/>
      <c r="BN14" s="271"/>
      <c r="BO14" s="272" t="str">
        <f t="shared" ca="1" si="38"/>
        <v/>
      </c>
      <c r="BP14" s="270"/>
      <c r="BQ14" s="271"/>
      <c r="BR14" s="272" t="str">
        <f t="shared" ca="1" si="39"/>
        <v/>
      </c>
      <c r="BS14" s="270"/>
      <c r="BT14" s="271"/>
      <c r="BU14" s="272" t="str">
        <f t="shared" ca="1" si="40"/>
        <v/>
      </c>
      <c r="BV14" s="270"/>
      <c r="BW14" s="271"/>
      <c r="BX14" s="272" t="str">
        <f t="shared" ca="1" si="41"/>
        <v/>
      </c>
      <c r="BY14" s="270"/>
      <c r="BZ14" s="271"/>
      <c r="CA14" s="272" t="str">
        <f t="shared" ca="1" si="42"/>
        <v/>
      </c>
      <c r="CB14" s="270"/>
      <c r="CC14" s="271"/>
      <c r="CD14" s="272" t="str">
        <f t="shared" ca="1" si="43"/>
        <v/>
      </c>
      <c r="CE14" s="270"/>
      <c r="CF14" s="271"/>
      <c r="CG14" s="272" t="str">
        <f t="shared" ca="1" si="44"/>
        <v/>
      </c>
      <c r="CH14" s="270"/>
      <c r="CI14" s="271"/>
      <c r="CJ14" s="272" t="str">
        <f t="shared" ca="1" si="45"/>
        <v/>
      </c>
      <c r="CK14" s="262"/>
      <c r="CL14" s="264"/>
      <c r="CM14" s="264"/>
      <c r="CN14" s="264"/>
      <c r="CO14" s="264"/>
      <c r="CP14" s="264"/>
      <c r="CQ14" s="264"/>
      <c r="CR14" s="262"/>
      <c r="CS14" s="263"/>
      <c r="CT14" s="297" t="str">
        <f t="shared" si="5"/>
        <v/>
      </c>
      <c r="CU14" s="264"/>
      <c r="CV14" s="265"/>
      <c r="CW14" s="264"/>
      <c r="CX14" s="264"/>
      <c r="CY14" s="264" t="str">
        <f t="shared" si="6"/>
        <v/>
      </c>
      <c r="CZ14" s="264"/>
      <c r="DA14" s="264"/>
      <c r="DB14" s="266"/>
      <c r="DC14" s="264"/>
      <c r="DD14" s="264"/>
      <c r="DE14" s="266"/>
      <c r="DF14" s="266"/>
      <c r="DG14" s="264"/>
      <c r="DH14" s="266"/>
      <c r="DI14" s="266"/>
      <c r="DJ14" s="264"/>
      <c r="DK14" s="264"/>
      <c r="DL14" s="267"/>
      <c r="DM14" s="261">
        <f t="shared" si="7"/>
        <v>0</v>
      </c>
      <c r="DN14" s="295" t="str">
        <f t="shared" si="8"/>
        <v/>
      </c>
      <c r="DO14" s="392" t="str">
        <f t="shared" si="9"/>
        <v/>
      </c>
      <c r="DP14" s="392" t="str">
        <f t="shared" si="46"/>
        <v/>
      </c>
      <c r="DQ14" s="456" t="str">
        <f t="shared" si="10"/>
        <v/>
      </c>
      <c r="DR14" s="456" t="str">
        <f t="shared" si="47"/>
        <v/>
      </c>
    </row>
    <row r="15" spans="1:122" x14ac:dyDescent="0.25">
      <c r="A15" s="599" t="str">
        <f t="shared" si="11"/>
        <v xml:space="preserve">  -  - </v>
      </c>
      <c r="B15" s="306"/>
      <c r="C15" s="305"/>
      <c r="D15" s="301"/>
      <c r="E15" s="276"/>
      <c r="F15" s="278"/>
      <c r="G15" s="311"/>
      <c r="H15" s="276"/>
      <c r="I15" s="313" t="str">
        <f t="shared" si="12"/>
        <v/>
      </c>
      <c r="J15" s="312"/>
      <c r="K15" s="268"/>
      <c r="L15" s="277"/>
      <c r="M15" s="279"/>
      <c r="N15" s="280"/>
      <c r="O15" s="280"/>
      <c r="P15" s="455"/>
      <c r="Q15" s="281" t="str">
        <f t="shared" si="13"/>
        <v/>
      </c>
      <c r="R15" s="282">
        <f t="shared" si="14"/>
        <v>0</v>
      </c>
      <c r="S15" s="268"/>
      <c r="T15" s="283">
        <f t="shared" si="1"/>
        <v>0</v>
      </c>
      <c r="U15" s="284">
        <f>IF(M15=0,0,IF(G15="Annulation","",IF(assurance="ALPTIS",M15*12*T15/100*'11801 Data'!$K$4,IF(assurance="APRIL",M15*12*T15/100*'11801 Data'!$F$4,IF(assurance="ASAF",M15*12*T15/100*'11801 Data'!$I$4,IF(assurance="NEOLIANE",('11801 Data'!$G$5+M15*12*'11801 Data'!$G$4)*T15/100,IF(assurance="NEOLIANE Prev",('11801 Data'!$H$5+M15*12*'11801 Data'!$H$4)*T15/100,IF(assurance="SWISSLIFE",M15*12*T15/100*'11801 Data'!$J$4,IF(assurance="AVIVA",M15*12*T15/100*'11801 Data'!$L$4,IF(assurance="CIPRES",M15*12*T15/100*'11801 Data'!$M$4,IF(assurance="CEGEMA",M15*12*T15/100*'11801 Data'!$N$4,IF(assurance=0,0))))))))))))</f>
        <v>0</v>
      </c>
      <c r="V15" s="298" t="str">
        <f t="shared" si="15"/>
        <v/>
      </c>
      <c r="W15" s="298" t="str">
        <f t="shared" si="16"/>
        <v/>
      </c>
      <c r="X15" s="299">
        <f t="shared" si="2"/>
        <v>0</v>
      </c>
      <c r="Y15" s="368">
        <f t="shared" si="3"/>
        <v>0</v>
      </c>
      <c r="Z15" s="314"/>
      <c r="AA15" s="313" t="str">
        <f t="shared" si="17"/>
        <v/>
      </c>
      <c r="AB15" s="268" t="s">
        <v>13</v>
      </c>
      <c r="AC15" s="277"/>
      <c r="AD15" s="309" t="str">
        <f t="shared" si="18"/>
        <v/>
      </c>
      <c r="AE15" s="286" t="str">
        <f t="shared" si="19"/>
        <v/>
      </c>
      <c r="AF15" s="277"/>
      <c r="AG15" s="275" t="str">
        <f t="shared" si="20"/>
        <v/>
      </c>
      <c r="AH15" s="287" t="str">
        <f t="shared" ca="1" si="21"/>
        <v/>
      </c>
      <c r="AI15" s="373" t="str">
        <f t="shared" ca="1" si="4"/>
        <v/>
      </c>
      <c r="AJ15" s="296" t="str">
        <f t="shared" si="22"/>
        <v/>
      </c>
      <c r="AK15" s="296" t="str">
        <f t="shared" si="23"/>
        <v/>
      </c>
      <c r="AL15" s="287" t="str">
        <f t="shared" si="24"/>
        <v/>
      </c>
      <c r="AM15" s="279">
        <f t="shared" si="25"/>
        <v>0</v>
      </c>
      <c r="AN15" s="279">
        <f t="shared" si="26"/>
        <v>0</v>
      </c>
      <c r="AO15" s="288">
        <f t="shared" si="27"/>
        <v>0</v>
      </c>
      <c r="AP15" s="279">
        <f t="shared" si="28"/>
        <v>0</v>
      </c>
      <c r="AQ15" s="288">
        <f t="shared" si="29"/>
        <v>0</v>
      </c>
      <c r="AR15" s="289">
        <f t="shared" si="30"/>
        <v>0</v>
      </c>
      <c r="AS15" s="279">
        <f t="shared" si="31"/>
        <v>0</v>
      </c>
      <c r="AT15" s="288">
        <f t="shared" si="32"/>
        <v>0</v>
      </c>
      <c r="AU15" s="289">
        <f t="shared" si="33"/>
        <v>0</v>
      </c>
      <c r="AV15" s="279">
        <f t="shared" si="34"/>
        <v>0</v>
      </c>
      <c r="AW15" s="288">
        <f t="shared" si="35"/>
        <v>0</v>
      </c>
      <c r="AX15" s="289">
        <f t="shared" si="36"/>
        <v>0</v>
      </c>
      <c r="AY15" s="268"/>
      <c r="AZ15" s="291"/>
      <c r="BA15" s="292"/>
      <c r="BB15" s="303"/>
      <c r="BC15" s="293"/>
      <c r="BD15" s="293"/>
      <c r="BE15" s="304"/>
      <c r="BF15" s="274"/>
      <c r="BG15" s="377"/>
      <c r="BH15" s="268">
        <v>1</v>
      </c>
      <c r="BI15" s="273">
        <v>0</v>
      </c>
      <c r="BJ15" s="276"/>
      <c r="BK15" s="294"/>
      <c r="BL15" s="269" t="str">
        <f t="shared" ca="1" si="37"/>
        <v/>
      </c>
      <c r="BM15" s="270"/>
      <c r="BN15" s="271"/>
      <c r="BO15" s="272" t="str">
        <f t="shared" ca="1" si="38"/>
        <v/>
      </c>
      <c r="BP15" s="270"/>
      <c r="BQ15" s="271"/>
      <c r="BR15" s="272" t="str">
        <f t="shared" ca="1" si="39"/>
        <v/>
      </c>
      <c r="BS15" s="270"/>
      <c r="BT15" s="271"/>
      <c r="BU15" s="272" t="str">
        <f t="shared" ca="1" si="40"/>
        <v/>
      </c>
      <c r="BV15" s="270"/>
      <c r="BW15" s="271"/>
      <c r="BX15" s="272" t="str">
        <f t="shared" ca="1" si="41"/>
        <v/>
      </c>
      <c r="BY15" s="270"/>
      <c r="BZ15" s="271"/>
      <c r="CA15" s="272" t="str">
        <f t="shared" ca="1" si="42"/>
        <v/>
      </c>
      <c r="CB15" s="270"/>
      <c r="CC15" s="271"/>
      <c r="CD15" s="272" t="str">
        <f t="shared" ca="1" si="43"/>
        <v/>
      </c>
      <c r="CE15" s="270"/>
      <c r="CF15" s="271"/>
      <c r="CG15" s="272" t="str">
        <f t="shared" ca="1" si="44"/>
        <v/>
      </c>
      <c r="CH15" s="270"/>
      <c r="CI15" s="271"/>
      <c r="CJ15" s="272" t="str">
        <f t="shared" ca="1" si="45"/>
        <v/>
      </c>
      <c r="CK15" s="262"/>
      <c r="CL15" s="264"/>
      <c r="CM15" s="264"/>
      <c r="CN15" s="264"/>
      <c r="CO15" s="264"/>
      <c r="CP15" s="264"/>
      <c r="CQ15" s="264"/>
      <c r="CR15" s="262"/>
      <c r="CS15" s="263"/>
      <c r="CT15" s="297" t="str">
        <f t="shared" si="5"/>
        <v/>
      </c>
      <c r="CU15" s="264"/>
      <c r="CV15" s="265"/>
      <c r="CW15" s="264"/>
      <c r="CX15" s="264"/>
      <c r="CY15" s="264" t="str">
        <f t="shared" si="6"/>
        <v/>
      </c>
      <c r="CZ15" s="264"/>
      <c r="DA15" s="264"/>
      <c r="DB15" s="266"/>
      <c r="DC15" s="264"/>
      <c r="DD15" s="264"/>
      <c r="DE15" s="266"/>
      <c r="DF15" s="266"/>
      <c r="DG15" s="264"/>
      <c r="DH15" s="266"/>
      <c r="DI15" s="266"/>
      <c r="DJ15" s="264"/>
      <c r="DK15" s="264"/>
      <c r="DL15" s="267"/>
      <c r="DM15" s="261">
        <f t="shared" si="7"/>
        <v>0</v>
      </c>
      <c r="DN15" s="295" t="str">
        <f t="shared" si="8"/>
        <v/>
      </c>
      <c r="DO15" s="392" t="str">
        <f t="shared" si="9"/>
        <v/>
      </c>
      <c r="DP15" s="392" t="str">
        <f t="shared" si="46"/>
        <v/>
      </c>
      <c r="DQ15" s="456" t="str">
        <f t="shared" si="10"/>
        <v/>
      </c>
      <c r="DR15" s="456" t="str">
        <f t="shared" si="47"/>
        <v/>
      </c>
    </row>
    <row r="16" spans="1:122" x14ac:dyDescent="0.25">
      <c r="A16" s="599" t="str">
        <f t="shared" si="11"/>
        <v xml:space="preserve">  -  - </v>
      </c>
      <c r="B16" s="306"/>
      <c r="C16" s="305"/>
      <c r="D16" s="301"/>
      <c r="E16" s="276"/>
      <c r="F16" s="278"/>
      <c r="G16" s="311"/>
      <c r="H16" s="276"/>
      <c r="I16" s="313" t="str">
        <f t="shared" si="12"/>
        <v/>
      </c>
      <c r="J16" s="312"/>
      <c r="K16" s="268"/>
      <c r="L16" s="277"/>
      <c r="M16" s="279"/>
      <c r="N16" s="280"/>
      <c r="O16" s="280"/>
      <c r="P16" s="455"/>
      <c r="Q16" s="281" t="str">
        <f t="shared" si="13"/>
        <v/>
      </c>
      <c r="R16" s="282">
        <f t="shared" si="14"/>
        <v>0</v>
      </c>
      <c r="S16" s="268"/>
      <c r="T16" s="283">
        <f t="shared" si="1"/>
        <v>0</v>
      </c>
      <c r="U16" s="284">
        <f>IF(M16=0,0,IF(G16="Annulation","",IF(assurance="ALPTIS",M16*12*T16/100*'11801 Data'!$K$4,IF(assurance="APRIL",M16*12*T16/100*'11801 Data'!$F$4,IF(assurance="ASAF",M16*12*T16/100*'11801 Data'!$I$4,IF(assurance="NEOLIANE",('11801 Data'!$G$5+M16*12*'11801 Data'!$G$4)*T16/100,IF(assurance="NEOLIANE Prev",('11801 Data'!$H$5+M16*12*'11801 Data'!$H$4)*T16/100,IF(assurance="SWISSLIFE",M16*12*T16/100*'11801 Data'!$J$4,IF(assurance="AVIVA",M16*12*T16/100*'11801 Data'!$L$4,IF(assurance="CIPRES",M16*12*T16/100*'11801 Data'!$M$4,IF(assurance="CEGEMA",M16*12*T16/100*'11801 Data'!$N$4,IF(assurance=0,0))))))))))))</f>
        <v>0</v>
      </c>
      <c r="V16" s="298" t="str">
        <f t="shared" si="15"/>
        <v/>
      </c>
      <c r="W16" s="298" t="str">
        <f t="shared" si="16"/>
        <v/>
      </c>
      <c r="X16" s="299">
        <f t="shared" si="2"/>
        <v>0</v>
      </c>
      <c r="Y16" s="368">
        <f t="shared" si="3"/>
        <v>0</v>
      </c>
      <c r="Z16" s="314"/>
      <c r="AA16" s="313" t="str">
        <f t="shared" si="17"/>
        <v/>
      </c>
      <c r="AB16" s="268" t="s">
        <v>13</v>
      </c>
      <c r="AC16" s="277"/>
      <c r="AD16" s="309" t="str">
        <f t="shared" si="18"/>
        <v/>
      </c>
      <c r="AE16" s="286" t="str">
        <f t="shared" si="19"/>
        <v/>
      </c>
      <c r="AF16" s="277"/>
      <c r="AG16" s="275" t="str">
        <f t="shared" si="20"/>
        <v/>
      </c>
      <c r="AH16" s="287" t="str">
        <f t="shared" ca="1" si="21"/>
        <v/>
      </c>
      <c r="AI16" s="373" t="str">
        <f t="shared" ca="1" si="4"/>
        <v/>
      </c>
      <c r="AJ16" s="296" t="str">
        <f t="shared" si="22"/>
        <v/>
      </c>
      <c r="AK16" s="296" t="str">
        <f t="shared" si="23"/>
        <v/>
      </c>
      <c r="AL16" s="287" t="str">
        <f t="shared" si="24"/>
        <v/>
      </c>
      <c r="AM16" s="279">
        <f t="shared" si="25"/>
        <v>0</v>
      </c>
      <c r="AN16" s="279">
        <f t="shared" si="26"/>
        <v>0</v>
      </c>
      <c r="AO16" s="288">
        <f t="shared" si="27"/>
        <v>0</v>
      </c>
      <c r="AP16" s="279">
        <f t="shared" si="28"/>
        <v>0</v>
      </c>
      <c r="AQ16" s="288">
        <f t="shared" si="29"/>
        <v>0</v>
      </c>
      <c r="AR16" s="289">
        <f t="shared" si="30"/>
        <v>0</v>
      </c>
      <c r="AS16" s="279">
        <f t="shared" si="31"/>
        <v>0</v>
      </c>
      <c r="AT16" s="288">
        <f t="shared" si="32"/>
        <v>0</v>
      </c>
      <c r="AU16" s="289">
        <f t="shared" si="33"/>
        <v>0</v>
      </c>
      <c r="AV16" s="279">
        <f t="shared" si="34"/>
        <v>0</v>
      </c>
      <c r="AW16" s="288">
        <f t="shared" si="35"/>
        <v>0</v>
      </c>
      <c r="AX16" s="289">
        <f t="shared" si="36"/>
        <v>0</v>
      </c>
      <c r="AY16" s="268"/>
      <c r="AZ16" s="291"/>
      <c r="BA16" s="292"/>
      <c r="BB16" s="303"/>
      <c r="BC16" s="293"/>
      <c r="BD16" s="293"/>
      <c r="BE16" s="304"/>
      <c r="BF16" s="274"/>
      <c r="BG16" s="377"/>
      <c r="BH16" s="268">
        <v>1</v>
      </c>
      <c r="BI16" s="273">
        <v>0</v>
      </c>
      <c r="BJ16" s="276"/>
      <c r="BK16" s="294"/>
      <c r="BL16" s="269" t="str">
        <f t="shared" ca="1" si="37"/>
        <v/>
      </c>
      <c r="BM16" s="270"/>
      <c r="BN16" s="271"/>
      <c r="BO16" s="272" t="str">
        <f t="shared" ca="1" si="38"/>
        <v/>
      </c>
      <c r="BP16" s="270"/>
      <c r="BQ16" s="271"/>
      <c r="BR16" s="272" t="str">
        <f t="shared" ca="1" si="39"/>
        <v/>
      </c>
      <c r="BS16" s="270"/>
      <c r="BT16" s="271"/>
      <c r="BU16" s="272" t="str">
        <f t="shared" ca="1" si="40"/>
        <v/>
      </c>
      <c r="BV16" s="270"/>
      <c r="BW16" s="271"/>
      <c r="BX16" s="272" t="str">
        <f t="shared" ca="1" si="41"/>
        <v/>
      </c>
      <c r="BY16" s="270"/>
      <c r="BZ16" s="271"/>
      <c r="CA16" s="272" t="str">
        <f t="shared" ca="1" si="42"/>
        <v/>
      </c>
      <c r="CB16" s="270"/>
      <c r="CC16" s="271"/>
      <c r="CD16" s="272" t="str">
        <f t="shared" ca="1" si="43"/>
        <v/>
      </c>
      <c r="CE16" s="270"/>
      <c r="CF16" s="271"/>
      <c r="CG16" s="272" t="str">
        <f t="shared" ca="1" si="44"/>
        <v/>
      </c>
      <c r="CH16" s="270"/>
      <c r="CI16" s="271"/>
      <c r="CJ16" s="272" t="str">
        <f t="shared" ca="1" si="45"/>
        <v/>
      </c>
      <c r="CK16" s="262"/>
      <c r="CL16" s="264"/>
      <c r="CM16" s="264"/>
      <c r="CN16" s="264"/>
      <c r="CO16" s="264"/>
      <c r="CP16" s="264"/>
      <c r="CQ16" s="264"/>
      <c r="CR16" s="262"/>
      <c r="CS16" s="263"/>
      <c r="CT16" s="297" t="str">
        <f t="shared" si="5"/>
        <v/>
      </c>
      <c r="CU16" s="264"/>
      <c r="CV16" s="265"/>
      <c r="CW16" s="264"/>
      <c r="CX16" s="264"/>
      <c r="CY16" s="264" t="str">
        <f t="shared" si="6"/>
        <v/>
      </c>
      <c r="CZ16" s="264"/>
      <c r="DA16" s="264"/>
      <c r="DB16" s="266"/>
      <c r="DC16" s="264"/>
      <c r="DD16" s="264"/>
      <c r="DE16" s="266"/>
      <c r="DF16" s="266"/>
      <c r="DG16" s="264"/>
      <c r="DH16" s="266"/>
      <c r="DI16" s="266"/>
      <c r="DJ16" s="264"/>
      <c r="DK16" s="264"/>
      <c r="DL16" s="267"/>
      <c r="DM16" s="261">
        <f t="shared" si="7"/>
        <v>0</v>
      </c>
      <c r="DN16" s="295" t="str">
        <f t="shared" si="8"/>
        <v/>
      </c>
      <c r="DO16" s="392" t="str">
        <f t="shared" si="9"/>
        <v/>
      </c>
      <c r="DP16" s="392" t="str">
        <f t="shared" si="46"/>
        <v/>
      </c>
      <c r="DQ16" s="456" t="str">
        <f t="shared" si="10"/>
        <v/>
      </c>
      <c r="DR16" s="456" t="str">
        <f t="shared" si="47"/>
        <v/>
      </c>
    </row>
    <row r="17" spans="1:122" x14ac:dyDescent="0.25">
      <c r="A17" s="599" t="str">
        <f t="shared" si="11"/>
        <v xml:space="preserve">  -  - </v>
      </c>
      <c r="B17" s="306"/>
      <c r="C17" s="305"/>
      <c r="D17" s="301"/>
      <c r="E17" s="276"/>
      <c r="F17" s="278"/>
      <c r="G17" s="311"/>
      <c r="H17" s="276"/>
      <c r="I17" s="313" t="str">
        <f t="shared" si="12"/>
        <v/>
      </c>
      <c r="J17" s="312"/>
      <c r="K17" s="268"/>
      <c r="L17" s="277"/>
      <c r="M17" s="279"/>
      <c r="N17" s="280"/>
      <c r="O17" s="280"/>
      <c r="P17" s="455"/>
      <c r="Q17" s="281" t="str">
        <f t="shared" si="13"/>
        <v/>
      </c>
      <c r="R17" s="282">
        <f t="shared" si="14"/>
        <v>0</v>
      </c>
      <c r="S17" s="268"/>
      <c r="T17" s="283">
        <f t="shared" si="1"/>
        <v>0</v>
      </c>
      <c r="U17" s="284">
        <f>IF(M17=0,0,IF(G17="Annulation","",IF(assurance="ALPTIS",M17*12*T17/100*'11801 Data'!$K$4,IF(assurance="APRIL",M17*12*T17/100*'11801 Data'!$F$4,IF(assurance="ASAF",M17*12*T17/100*'11801 Data'!$I$4,IF(assurance="NEOLIANE",('11801 Data'!$G$5+M17*12*'11801 Data'!$G$4)*T17/100,IF(assurance="NEOLIANE Prev",('11801 Data'!$H$5+M17*12*'11801 Data'!$H$4)*T17/100,IF(assurance="SWISSLIFE",M17*12*T17/100*'11801 Data'!$J$4,IF(assurance="AVIVA",M17*12*T17/100*'11801 Data'!$L$4,IF(assurance="CIPRES",M17*12*T17/100*'11801 Data'!$M$4,IF(assurance="CEGEMA",M17*12*T17/100*'11801 Data'!$N$4,IF(assurance=0,0))))))))))))</f>
        <v>0</v>
      </c>
      <c r="V17" s="298" t="str">
        <f t="shared" si="15"/>
        <v/>
      </c>
      <c r="W17" s="298" t="str">
        <f t="shared" si="16"/>
        <v/>
      </c>
      <c r="X17" s="299">
        <f t="shared" si="2"/>
        <v>0</v>
      </c>
      <c r="Y17" s="368">
        <f t="shared" si="3"/>
        <v>0</v>
      </c>
      <c r="Z17" s="314"/>
      <c r="AA17" s="313" t="str">
        <f t="shared" si="17"/>
        <v/>
      </c>
      <c r="AB17" s="268" t="s">
        <v>13</v>
      </c>
      <c r="AC17" s="277"/>
      <c r="AD17" s="309" t="str">
        <f t="shared" si="18"/>
        <v/>
      </c>
      <c r="AE17" s="286" t="str">
        <f t="shared" si="19"/>
        <v/>
      </c>
      <c r="AF17" s="277"/>
      <c r="AG17" s="275" t="str">
        <f t="shared" si="20"/>
        <v/>
      </c>
      <c r="AH17" s="287" t="str">
        <f t="shared" ca="1" si="21"/>
        <v/>
      </c>
      <c r="AI17" s="373" t="str">
        <f t="shared" ca="1" si="4"/>
        <v/>
      </c>
      <c r="AJ17" s="296" t="str">
        <f t="shared" si="22"/>
        <v/>
      </c>
      <c r="AK17" s="296" t="str">
        <f t="shared" si="23"/>
        <v/>
      </c>
      <c r="AL17" s="287" t="str">
        <f t="shared" si="24"/>
        <v/>
      </c>
      <c r="AM17" s="279">
        <f t="shared" si="25"/>
        <v>0</v>
      </c>
      <c r="AN17" s="279">
        <f t="shared" si="26"/>
        <v>0</v>
      </c>
      <c r="AO17" s="288">
        <f t="shared" si="27"/>
        <v>0</v>
      </c>
      <c r="AP17" s="279">
        <f t="shared" si="28"/>
        <v>0</v>
      </c>
      <c r="AQ17" s="288">
        <f t="shared" si="29"/>
        <v>0</v>
      </c>
      <c r="AR17" s="289">
        <f t="shared" si="30"/>
        <v>0</v>
      </c>
      <c r="AS17" s="279">
        <f t="shared" si="31"/>
        <v>0</v>
      </c>
      <c r="AT17" s="288">
        <f t="shared" si="32"/>
        <v>0</v>
      </c>
      <c r="AU17" s="289">
        <f t="shared" si="33"/>
        <v>0</v>
      </c>
      <c r="AV17" s="279">
        <f t="shared" si="34"/>
        <v>0</v>
      </c>
      <c r="AW17" s="288">
        <f t="shared" si="35"/>
        <v>0</v>
      </c>
      <c r="AX17" s="289">
        <f t="shared" si="36"/>
        <v>0</v>
      </c>
      <c r="AY17" s="268"/>
      <c r="AZ17" s="291"/>
      <c r="BA17" s="292"/>
      <c r="BB17" s="303"/>
      <c r="BC17" s="293"/>
      <c r="BD17" s="293"/>
      <c r="BE17" s="304"/>
      <c r="BF17" s="274"/>
      <c r="BG17" s="377"/>
      <c r="BH17" s="268">
        <v>1</v>
      </c>
      <c r="BI17" s="273">
        <v>0</v>
      </c>
      <c r="BJ17" s="276"/>
      <c r="BK17" s="294"/>
      <c r="BL17" s="269" t="str">
        <f t="shared" ca="1" si="37"/>
        <v/>
      </c>
      <c r="BM17" s="270"/>
      <c r="BN17" s="271"/>
      <c r="BO17" s="272" t="str">
        <f t="shared" ca="1" si="38"/>
        <v/>
      </c>
      <c r="BP17" s="270"/>
      <c r="BQ17" s="271"/>
      <c r="BR17" s="272" t="str">
        <f t="shared" ca="1" si="39"/>
        <v/>
      </c>
      <c r="BS17" s="270"/>
      <c r="BT17" s="271"/>
      <c r="BU17" s="272" t="str">
        <f t="shared" ca="1" si="40"/>
        <v/>
      </c>
      <c r="BV17" s="270"/>
      <c r="BW17" s="271"/>
      <c r="BX17" s="272" t="str">
        <f t="shared" ca="1" si="41"/>
        <v/>
      </c>
      <c r="BY17" s="270"/>
      <c r="BZ17" s="271"/>
      <c r="CA17" s="272" t="str">
        <f t="shared" ca="1" si="42"/>
        <v/>
      </c>
      <c r="CB17" s="270"/>
      <c r="CC17" s="271"/>
      <c r="CD17" s="272" t="str">
        <f t="shared" ca="1" si="43"/>
        <v/>
      </c>
      <c r="CE17" s="270"/>
      <c r="CF17" s="271"/>
      <c r="CG17" s="272" t="str">
        <f t="shared" ca="1" si="44"/>
        <v/>
      </c>
      <c r="CH17" s="270"/>
      <c r="CI17" s="271"/>
      <c r="CJ17" s="272" t="str">
        <f t="shared" ca="1" si="45"/>
        <v/>
      </c>
      <c r="CK17" s="262"/>
      <c r="CL17" s="264"/>
      <c r="CM17" s="264"/>
      <c r="CN17" s="264"/>
      <c r="CO17" s="264"/>
      <c r="CP17" s="264"/>
      <c r="CQ17" s="264"/>
      <c r="CR17" s="262"/>
      <c r="CS17" s="263"/>
      <c r="CT17" s="297" t="str">
        <f t="shared" si="5"/>
        <v/>
      </c>
      <c r="CU17" s="264"/>
      <c r="CV17" s="265"/>
      <c r="CW17" s="264"/>
      <c r="CX17" s="264"/>
      <c r="CY17" s="264" t="str">
        <f t="shared" si="6"/>
        <v/>
      </c>
      <c r="CZ17" s="264"/>
      <c r="DA17" s="264"/>
      <c r="DB17" s="266"/>
      <c r="DC17" s="264"/>
      <c r="DD17" s="264"/>
      <c r="DE17" s="266"/>
      <c r="DF17" s="266"/>
      <c r="DG17" s="264"/>
      <c r="DH17" s="266"/>
      <c r="DI17" s="266"/>
      <c r="DJ17" s="264"/>
      <c r="DK17" s="264"/>
      <c r="DL17" s="267"/>
      <c r="DM17" s="261">
        <f t="shared" si="7"/>
        <v>0</v>
      </c>
      <c r="DN17" s="295" t="str">
        <f t="shared" si="8"/>
        <v/>
      </c>
      <c r="DO17" s="392" t="str">
        <f t="shared" si="9"/>
        <v/>
      </c>
      <c r="DP17" s="392" t="str">
        <f t="shared" si="46"/>
        <v/>
      </c>
      <c r="DQ17" s="456" t="str">
        <f t="shared" si="10"/>
        <v/>
      </c>
      <c r="DR17" s="456" t="str">
        <f t="shared" si="47"/>
        <v/>
      </c>
    </row>
    <row r="18" spans="1:122" x14ac:dyDescent="0.25">
      <c r="A18" s="599" t="str">
        <f t="shared" si="11"/>
        <v xml:space="preserve">  -  - </v>
      </c>
      <c r="B18" s="306"/>
      <c r="C18" s="305"/>
      <c r="D18" s="301"/>
      <c r="E18" s="276"/>
      <c r="F18" s="278"/>
      <c r="G18" s="311"/>
      <c r="H18" s="276"/>
      <c r="I18" s="313" t="str">
        <f t="shared" si="12"/>
        <v/>
      </c>
      <c r="J18" s="312"/>
      <c r="K18" s="268"/>
      <c r="L18" s="277"/>
      <c r="M18" s="279"/>
      <c r="N18" s="280"/>
      <c r="O18" s="280"/>
      <c r="P18" s="455"/>
      <c r="Q18" s="281" t="str">
        <f t="shared" si="13"/>
        <v/>
      </c>
      <c r="R18" s="282">
        <f t="shared" si="14"/>
        <v>0</v>
      </c>
      <c r="S18" s="268"/>
      <c r="T18" s="283">
        <f t="shared" si="1"/>
        <v>0</v>
      </c>
      <c r="U18" s="284">
        <f>IF(M18=0,0,IF(G18="Annulation","",IF(assurance="ALPTIS",M18*12*T18/100*'11801 Data'!$K$4,IF(assurance="APRIL",M18*12*T18/100*'11801 Data'!$F$4,IF(assurance="ASAF",M18*12*T18/100*'11801 Data'!$I$4,IF(assurance="NEOLIANE",('11801 Data'!$G$5+M18*12*'11801 Data'!$G$4)*T18/100,IF(assurance="NEOLIANE Prev",('11801 Data'!$H$5+M18*12*'11801 Data'!$H$4)*T18/100,IF(assurance="SWISSLIFE",M18*12*T18/100*'11801 Data'!$J$4,IF(assurance="AVIVA",M18*12*T18/100*'11801 Data'!$L$4,IF(assurance="CIPRES",M18*12*T18/100*'11801 Data'!$M$4,IF(assurance="CEGEMA",M18*12*T18/100*'11801 Data'!$N$4,IF(assurance=0,0))))))))))))</f>
        <v>0</v>
      </c>
      <c r="V18" s="298" t="str">
        <f t="shared" si="15"/>
        <v/>
      </c>
      <c r="W18" s="298" t="str">
        <f t="shared" si="16"/>
        <v/>
      </c>
      <c r="X18" s="299">
        <f t="shared" si="2"/>
        <v>0</v>
      </c>
      <c r="Y18" s="368">
        <f t="shared" si="3"/>
        <v>0</v>
      </c>
      <c r="Z18" s="314"/>
      <c r="AA18" s="313" t="str">
        <f t="shared" si="17"/>
        <v/>
      </c>
      <c r="AB18" s="268" t="s">
        <v>13</v>
      </c>
      <c r="AC18" s="277"/>
      <c r="AD18" s="309" t="str">
        <f t="shared" si="18"/>
        <v/>
      </c>
      <c r="AE18" s="286" t="str">
        <f t="shared" si="19"/>
        <v/>
      </c>
      <c r="AF18" s="277"/>
      <c r="AG18" s="275" t="str">
        <f t="shared" si="20"/>
        <v/>
      </c>
      <c r="AH18" s="287" t="str">
        <f t="shared" ca="1" si="21"/>
        <v/>
      </c>
      <c r="AI18" s="373" t="str">
        <f t="shared" ca="1" si="4"/>
        <v/>
      </c>
      <c r="AJ18" s="296" t="str">
        <f t="shared" si="22"/>
        <v/>
      </c>
      <c r="AK18" s="296" t="str">
        <f t="shared" si="23"/>
        <v/>
      </c>
      <c r="AL18" s="287" t="str">
        <f t="shared" si="24"/>
        <v/>
      </c>
      <c r="AM18" s="279">
        <f t="shared" si="25"/>
        <v>0</v>
      </c>
      <c r="AN18" s="279">
        <f t="shared" si="26"/>
        <v>0</v>
      </c>
      <c r="AO18" s="288">
        <f t="shared" si="27"/>
        <v>0</v>
      </c>
      <c r="AP18" s="279">
        <f t="shared" si="28"/>
        <v>0</v>
      </c>
      <c r="AQ18" s="288">
        <f t="shared" si="29"/>
        <v>0</v>
      </c>
      <c r="AR18" s="289">
        <f t="shared" si="30"/>
        <v>0</v>
      </c>
      <c r="AS18" s="279">
        <f t="shared" si="31"/>
        <v>0</v>
      </c>
      <c r="AT18" s="288">
        <f t="shared" si="32"/>
        <v>0</v>
      </c>
      <c r="AU18" s="289">
        <f t="shared" si="33"/>
        <v>0</v>
      </c>
      <c r="AV18" s="279">
        <f t="shared" si="34"/>
        <v>0</v>
      </c>
      <c r="AW18" s="288">
        <f t="shared" si="35"/>
        <v>0</v>
      </c>
      <c r="AX18" s="289">
        <f t="shared" si="36"/>
        <v>0</v>
      </c>
      <c r="AY18" s="268"/>
      <c r="AZ18" s="291"/>
      <c r="BA18" s="292"/>
      <c r="BB18" s="303"/>
      <c r="BC18" s="293"/>
      <c r="BD18" s="293"/>
      <c r="BE18" s="304"/>
      <c r="BF18" s="274"/>
      <c r="BG18" s="377"/>
      <c r="BH18" s="268">
        <v>1</v>
      </c>
      <c r="BI18" s="273">
        <v>0</v>
      </c>
      <c r="BJ18" s="276"/>
      <c r="BK18" s="294"/>
      <c r="BL18" s="269" t="str">
        <f t="shared" ca="1" si="37"/>
        <v/>
      </c>
      <c r="BM18" s="270"/>
      <c r="BN18" s="271"/>
      <c r="BO18" s="272" t="str">
        <f t="shared" ca="1" si="38"/>
        <v/>
      </c>
      <c r="BP18" s="270"/>
      <c r="BQ18" s="271"/>
      <c r="BR18" s="272" t="str">
        <f t="shared" ca="1" si="39"/>
        <v/>
      </c>
      <c r="BS18" s="270"/>
      <c r="BT18" s="271"/>
      <c r="BU18" s="272" t="str">
        <f t="shared" ca="1" si="40"/>
        <v/>
      </c>
      <c r="BV18" s="270"/>
      <c r="BW18" s="271"/>
      <c r="BX18" s="272" t="str">
        <f t="shared" ca="1" si="41"/>
        <v/>
      </c>
      <c r="BY18" s="270"/>
      <c r="BZ18" s="271"/>
      <c r="CA18" s="272" t="str">
        <f t="shared" ca="1" si="42"/>
        <v/>
      </c>
      <c r="CB18" s="270"/>
      <c r="CC18" s="271"/>
      <c r="CD18" s="272" t="str">
        <f t="shared" ca="1" si="43"/>
        <v/>
      </c>
      <c r="CE18" s="270"/>
      <c r="CF18" s="271"/>
      <c r="CG18" s="272" t="str">
        <f t="shared" ca="1" si="44"/>
        <v/>
      </c>
      <c r="CH18" s="270"/>
      <c r="CI18" s="271"/>
      <c r="CJ18" s="272" t="str">
        <f t="shared" ca="1" si="45"/>
        <v/>
      </c>
      <c r="CK18" s="262"/>
      <c r="CL18" s="264"/>
      <c r="CM18" s="264"/>
      <c r="CN18" s="264"/>
      <c r="CO18" s="264"/>
      <c r="CP18" s="264"/>
      <c r="CQ18" s="264"/>
      <c r="CR18" s="262"/>
      <c r="CS18" s="263"/>
      <c r="CT18" s="297" t="str">
        <f t="shared" si="5"/>
        <v/>
      </c>
      <c r="CU18" s="264"/>
      <c r="CV18" s="265"/>
      <c r="CW18" s="264"/>
      <c r="CX18" s="264"/>
      <c r="CY18" s="264" t="str">
        <f t="shared" si="6"/>
        <v/>
      </c>
      <c r="CZ18" s="264"/>
      <c r="DA18" s="264"/>
      <c r="DB18" s="266"/>
      <c r="DC18" s="264"/>
      <c r="DD18" s="264"/>
      <c r="DE18" s="266"/>
      <c r="DF18" s="266"/>
      <c r="DG18" s="264"/>
      <c r="DH18" s="266"/>
      <c r="DI18" s="266"/>
      <c r="DJ18" s="264"/>
      <c r="DK18" s="264"/>
      <c r="DL18" s="267"/>
      <c r="DM18" s="261">
        <f t="shared" si="7"/>
        <v>0</v>
      </c>
      <c r="DN18" s="295" t="str">
        <f t="shared" si="8"/>
        <v/>
      </c>
      <c r="DO18" s="392" t="str">
        <f t="shared" si="9"/>
        <v/>
      </c>
      <c r="DP18" s="392" t="str">
        <f t="shared" si="46"/>
        <v/>
      </c>
      <c r="DQ18" s="456" t="str">
        <f t="shared" si="10"/>
        <v/>
      </c>
      <c r="DR18" s="456" t="str">
        <f t="shared" si="47"/>
        <v/>
      </c>
    </row>
    <row r="19" spans="1:122" x14ac:dyDescent="0.25">
      <c r="A19" s="599" t="str">
        <f t="shared" si="11"/>
        <v xml:space="preserve">  -  - </v>
      </c>
      <c r="B19" s="306"/>
      <c r="C19" s="305"/>
      <c r="D19" s="301"/>
      <c r="E19" s="276"/>
      <c r="F19" s="278"/>
      <c r="G19" s="311"/>
      <c r="H19" s="276"/>
      <c r="I19" s="313" t="str">
        <f t="shared" si="12"/>
        <v/>
      </c>
      <c r="J19" s="312"/>
      <c r="K19" s="268"/>
      <c r="L19" s="277"/>
      <c r="M19" s="279"/>
      <c r="N19" s="280"/>
      <c r="O19" s="280"/>
      <c r="P19" s="455"/>
      <c r="Q19" s="281" t="str">
        <f t="shared" si="13"/>
        <v/>
      </c>
      <c r="R19" s="282">
        <f t="shared" si="14"/>
        <v>0</v>
      </c>
      <c r="S19" s="268"/>
      <c r="T19" s="283">
        <f t="shared" si="1"/>
        <v>0</v>
      </c>
      <c r="U19" s="284">
        <f>IF(M19=0,0,IF(G19="Annulation","",IF(assurance="ALPTIS",M19*12*T19/100*'11801 Data'!$K$4,IF(assurance="APRIL",M19*12*T19/100*'11801 Data'!$F$4,IF(assurance="ASAF",M19*12*T19/100*'11801 Data'!$I$4,IF(assurance="NEOLIANE",('11801 Data'!$G$5+M19*12*'11801 Data'!$G$4)*T19/100,IF(assurance="NEOLIANE Prev",('11801 Data'!$H$5+M19*12*'11801 Data'!$H$4)*T19/100,IF(assurance="SWISSLIFE",M19*12*T19/100*'11801 Data'!$J$4,IF(assurance="AVIVA",M19*12*T19/100*'11801 Data'!$L$4,IF(assurance="CIPRES",M19*12*T19/100*'11801 Data'!$M$4,IF(assurance="CEGEMA",M19*12*T19/100*'11801 Data'!$N$4,IF(assurance=0,0))))))))))))</f>
        <v>0</v>
      </c>
      <c r="V19" s="298" t="str">
        <f t="shared" si="15"/>
        <v/>
      </c>
      <c r="W19" s="298" t="str">
        <f t="shared" si="16"/>
        <v/>
      </c>
      <c r="X19" s="299">
        <f t="shared" si="2"/>
        <v>0</v>
      </c>
      <c r="Y19" s="368">
        <f t="shared" si="3"/>
        <v>0</v>
      </c>
      <c r="Z19" s="314"/>
      <c r="AA19" s="313" t="str">
        <f t="shared" si="17"/>
        <v/>
      </c>
      <c r="AB19" s="268" t="s">
        <v>13</v>
      </c>
      <c r="AC19" s="277"/>
      <c r="AD19" s="309" t="str">
        <f t="shared" si="18"/>
        <v/>
      </c>
      <c r="AE19" s="286" t="str">
        <f t="shared" si="19"/>
        <v/>
      </c>
      <c r="AF19" s="277"/>
      <c r="AG19" s="275" t="str">
        <f t="shared" si="20"/>
        <v/>
      </c>
      <c r="AH19" s="287" t="str">
        <f t="shared" ca="1" si="21"/>
        <v/>
      </c>
      <c r="AI19" s="373" t="str">
        <f t="shared" ca="1" si="4"/>
        <v/>
      </c>
      <c r="AJ19" s="296" t="str">
        <f t="shared" si="22"/>
        <v/>
      </c>
      <c r="AK19" s="296" t="str">
        <f t="shared" si="23"/>
        <v/>
      </c>
      <c r="AL19" s="287" t="str">
        <f t="shared" si="24"/>
        <v/>
      </c>
      <c r="AM19" s="279">
        <f t="shared" si="25"/>
        <v>0</v>
      </c>
      <c r="AN19" s="279">
        <f t="shared" si="26"/>
        <v>0</v>
      </c>
      <c r="AO19" s="288">
        <f t="shared" si="27"/>
        <v>0</v>
      </c>
      <c r="AP19" s="279">
        <f t="shared" si="28"/>
        <v>0</v>
      </c>
      <c r="AQ19" s="288">
        <f t="shared" si="29"/>
        <v>0</v>
      </c>
      <c r="AR19" s="289">
        <f t="shared" si="30"/>
        <v>0</v>
      </c>
      <c r="AS19" s="279">
        <f t="shared" si="31"/>
        <v>0</v>
      </c>
      <c r="AT19" s="288">
        <f t="shared" si="32"/>
        <v>0</v>
      </c>
      <c r="AU19" s="289">
        <f t="shared" si="33"/>
        <v>0</v>
      </c>
      <c r="AV19" s="279">
        <f t="shared" si="34"/>
        <v>0</v>
      </c>
      <c r="AW19" s="288">
        <f t="shared" si="35"/>
        <v>0</v>
      </c>
      <c r="AX19" s="289">
        <f t="shared" si="36"/>
        <v>0</v>
      </c>
      <c r="AY19" s="268"/>
      <c r="AZ19" s="291"/>
      <c r="BA19" s="292"/>
      <c r="BB19" s="303"/>
      <c r="BC19" s="293"/>
      <c r="BD19" s="293"/>
      <c r="BE19" s="304"/>
      <c r="BF19" s="274"/>
      <c r="BG19" s="377"/>
      <c r="BH19" s="268">
        <v>1</v>
      </c>
      <c r="BI19" s="273">
        <v>0</v>
      </c>
      <c r="BJ19" s="276"/>
      <c r="BK19" s="294"/>
      <c r="BL19" s="269" t="str">
        <f t="shared" ca="1" si="37"/>
        <v/>
      </c>
      <c r="BM19" s="270"/>
      <c r="BN19" s="271"/>
      <c r="BO19" s="272" t="str">
        <f t="shared" ca="1" si="38"/>
        <v/>
      </c>
      <c r="BP19" s="270"/>
      <c r="BQ19" s="271"/>
      <c r="BR19" s="272" t="str">
        <f t="shared" ca="1" si="39"/>
        <v/>
      </c>
      <c r="BS19" s="270"/>
      <c r="BT19" s="271"/>
      <c r="BU19" s="272" t="str">
        <f t="shared" ca="1" si="40"/>
        <v/>
      </c>
      <c r="BV19" s="270"/>
      <c r="BW19" s="271"/>
      <c r="BX19" s="272" t="str">
        <f t="shared" ca="1" si="41"/>
        <v/>
      </c>
      <c r="BY19" s="270"/>
      <c r="BZ19" s="271"/>
      <c r="CA19" s="272" t="str">
        <f t="shared" ca="1" si="42"/>
        <v/>
      </c>
      <c r="CB19" s="270"/>
      <c r="CC19" s="271"/>
      <c r="CD19" s="272" t="str">
        <f t="shared" ca="1" si="43"/>
        <v/>
      </c>
      <c r="CE19" s="270"/>
      <c r="CF19" s="271"/>
      <c r="CG19" s="272" t="str">
        <f t="shared" ca="1" si="44"/>
        <v/>
      </c>
      <c r="CH19" s="270"/>
      <c r="CI19" s="271"/>
      <c r="CJ19" s="272" t="str">
        <f t="shared" ca="1" si="45"/>
        <v/>
      </c>
      <c r="CK19" s="262"/>
      <c r="CL19" s="264"/>
      <c r="CM19" s="264"/>
      <c r="CN19" s="264"/>
      <c r="CO19" s="264"/>
      <c r="CP19" s="264"/>
      <c r="CQ19" s="264"/>
      <c r="CR19" s="262"/>
      <c r="CS19" s="263"/>
      <c r="CT19" s="297" t="str">
        <f t="shared" si="5"/>
        <v/>
      </c>
      <c r="CU19" s="264"/>
      <c r="CV19" s="265"/>
      <c r="CW19" s="264"/>
      <c r="CX19" s="264"/>
      <c r="CY19" s="264" t="str">
        <f t="shared" si="6"/>
        <v/>
      </c>
      <c r="CZ19" s="264"/>
      <c r="DA19" s="264"/>
      <c r="DB19" s="266"/>
      <c r="DC19" s="264"/>
      <c r="DD19" s="264"/>
      <c r="DE19" s="266"/>
      <c r="DF19" s="266"/>
      <c r="DG19" s="264"/>
      <c r="DH19" s="266"/>
      <c r="DI19" s="266"/>
      <c r="DJ19" s="264"/>
      <c r="DK19" s="264"/>
      <c r="DL19" s="267"/>
      <c r="DM19" s="261">
        <f t="shared" si="7"/>
        <v>0</v>
      </c>
      <c r="DN19" s="295" t="str">
        <f t="shared" si="8"/>
        <v/>
      </c>
      <c r="DO19" s="392" t="str">
        <f t="shared" si="9"/>
        <v/>
      </c>
      <c r="DP19" s="392" t="str">
        <f t="shared" si="46"/>
        <v/>
      </c>
      <c r="DQ19" s="456" t="str">
        <f t="shared" si="10"/>
        <v/>
      </c>
      <c r="DR19" s="456" t="str">
        <f t="shared" si="47"/>
        <v/>
      </c>
    </row>
    <row r="20" spans="1:122" x14ac:dyDescent="0.25">
      <c r="A20" s="599" t="str">
        <f t="shared" si="11"/>
        <v xml:space="preserve">  -  - </v>
      </c>
      <c r="B20" s="306"/>
      <c r="C20" s="305"/>
      <c r="D20" s="301"/>
      <c r="E20" s="276"/>
      <c r="F20" s="278"/>
      <c r="G20" s="311"/>
      <c r="H20" s="276"/>
      <c r="I20" s="313" t="str">
        <f t="shared" si="12"/>
        <v/>
      </c>
      <c r="J20" s="312"/>
      <c r="K20" s="268"/>
      <c r="L20" s="277"/>
      <c r="M20" s="279"/>
      <c r="N20" s="280"/>
      <c r="O20" s="280"/>
      <c r="P20" s="455"/>
      <c r="Q20" s="281" t="str">
        <f t="shared" si="13"/>
        <v/>
      </c>
      <c r="R20" s="282">
        <f t="shared" si="14"/>
        <v>0</v>
      </c>
      <c r="S20" s="268"/>
      <c r="T20" s="283">
        <f t="shared" si="1"/>
        <v>0</v>
      </c>
      <c r="U20" s="284">
        <f>IF(M20=0,0,IF(G20="Annulation","",IF(assurance="ALPTIS",M20*12*T20/100*'11801 Data'!$K$4,IF(assurance="APRIL",M20*12*T20/100*'11801 Data'!$F$4,IF(assurance="ASAF",M20*12*T20/100*'11801 Data'!$I$4,IF(assurance="NEOLIANE",('11801 Data'!$G$5+M20*12*'11801 Data'!$G$4)*T20/100,IF(assurance="NEOLIANE Prev",('11801 Data'!$H$5+M20*12*'11801 Data'!$H$4)*T20/100,IF(assurance="SWISSLIFE",M20*12*T20/100*'11801 Data'!$J$4,IF(assurance="AVIVA",M20*12*T20/100*'11801 Data'!$L$4,IF(assurance="CIPRES",M20*12*T20/100*'11801 Data'!$M$4,IF(assurance="CEGEMA",M20*12*T20/100*'11801 Data'!$N$4,IF(assurance=0,0))))))))))))</f>
        <v>0</v>
      </c>
      <c r="V20" s="298" t="str">
        <f t="shared" si="15"/>
        <v/>
      </c>
      <c r="W20" s="298" t="str">
        <f t="shared" si="16"/>
        <v/>
      </c>
      <c r="X20" s="299">
        <f t="shared" si="2"/>
        <v>0</v>
      </c>
      <c r="Y20" s="368">
        <f t="shared" si="3"/>
        <v>0</v>
      </c>
      <c r="Z20" s="314"/>
      <c r="AA20" s="313" t="str">
        <f t="shared" si="17"/>
        <v/>
      </c>
      <c r="AB20" s="268" t="s">
        <v>13</v>
      </c>
      <c r="AC20" s="277"/>
      <c r="AD20" s="309" t="str">
        <f t="shared" si="18"/>
        <v/>
      </c>
      <c r="AE20" s="286" t="str">
        <f t="shared" si="19"/>
        <v/>
      </c>
      <c r="AF20" s="277"/>
      <c r="AG20" s="275" t="str">
        <f t="shared" si="20"/>
        <v/>
      </c>
      <c r="AH20" s="287" t="str">
        <f t="shared" ca="1" si="21"/>
        <v/>
      </c>
      <c r="AI20" s="373" t="str">
        <f t="shared" ca="1" si="4"/>
        <v/>
      </c>
      <c r="AJ20" s="296" t="str">
        <f t="shared" si="22"/>
        <v/>
      </c>
      <c r="AK20" s="296" t="str">
        <f t="shared" si="23"/>
        <v/>
      </c>
      <c r="AL20" s="287" t="str">
        <f t="shared" si="24"/>
        <v/>
      </c>
      <c r="AM20" s="279">
        <f t="shared" si="25"/>
        <v>0</v>
      </c>
      <c r="AN20" s="279">
        <f t="shared" si="26"/>
        <v>0</v>
      </c>
      <c r="AO20" s="288">
        <f t="shared" si="27"/>
        <v>0</v>
      </c>
      <c r="AP20" s="279">
        <f t="shared" si="28"/>
        <v>0</v>
      </c>
      <c r="AQ20" s="288">
        <f t="shared" si="29"/>
        <v>0</v>
      </c>
      <c r="AR20" s="289">
        <f t="shared" si="30"/>
        <v>0</v>
      </c>
      <c r="AS20" s="279">
        <f t="shared" si="31"/>
        <v>0</v>
      </c>
      <c r="AT20" s="288">
        <f t="shared" si="32"/>
        <v>0</v>
      </c>
      <c r="AU20" s="289">
        <f t="shared" si="33"/>
        <v>0</v>
      </c>
      <c r="AV20" s="279">
        <f t="shared" si="34"/>
        <v>0</v>
      </c>
      <c r="AW20" s="288">
        <f t="shared" si="35"/>
        <v>0</v>
      </c>
      <c r="AX20" s="289">
        <f t="shared" si="36"/>
        <v>0</v>
      </c>
      <c r="AY20" s="268"/>
      <c r="AZ20" s="291"/>
      <c r="BA20" s="292"/>
      <c r="BB20" s="303"/>
      <c r="BC20" s="293"/>
      <c r="BD20" s="293"/>
      <c r="BE20" s="304"/>
      <c r="BF20" s="274"/>
      <c r="BG20" s="377"/>
      <c r="BH20" s="268">
        <v>1</v>
      </c>
      <c r="BI20" s="273">
        <v>0</v>
      </c>
      <c r="BJ20" s="276"/>
      <c r="BK20" s="294"/>
      <c r="BL20" s="269" t="str">
        <f t="shared" ca="1" si="37"/>
        <v/>
      </c>
      <c r="BM20" s="270"/>
      <c r="BN20" s="271"/>
      <c r="BO20" s="272" t="str">
        <f t="shared" ca="1" si="38"/>
        <v/>
      </c>
      <c r="BP20" s="270"/>
      <c r="BQ20" s="271"/>
      <c r="BR20" s="272" t="str">
        <f t="shared" ca="1" si="39"/>
        <v/>
      </c>
      <c r="BS20" s="270"/>
      <c r="BT20" s="271"/>
      <c r="BU20" s="272" t="str">
        <f t="shared" ca="1" si="40"/>
        <v/>
      </c>
      <c r="BV20" s="270"/>
      <c r="BW20" s="271"/>
      <c r="BX20" s="272" t="str">
        <f t="shared" ca="1" si="41"/>
        <v/>
      </c>
      <c r="BY20" s="270"/>
      <c r="BZ20" s="271"/>
      <c r="CA20" s="272" t="str">
        <f t="shared" ca="1" si="42"/>
        <v/>
      </c>
      <c r="CB20" s="270"/>
      <c r="CC20" s="271"/>
      <c r="CD20" s="272" t="str">
        <f t="shared" ca="1" si="43"/>
        <v/>
      </c>
      <c r="CE20" s="270"/>
      <c r="CF20" s="271"/>
      <c r="CG20" s="272" t="str">
        <f t="shared" ca="1" si="44"/>
        <v/>
      </c>
      <c r="CH20" s="270"/>
      <c r="CI20" s="271"/>
      <c r="CJ20" s="272" t="str">
        <f t="shared" ca="1" si="45"/>
        <v/>
      </c>
      <c r="CK20" s="262"/>
      <c r="CL20" s="264"/>
      <c r="CM20" s="264"/>
      <c r="CN20" s="264"/>
      <c r="CO20" s="264"/>
      <c r="CP20" s="264"/>
      <c r="CQ20" s="264"/>
      <c r="CR20" s="262"/>
      <c r="CS20" s="263"/>
      <c r="CT20" s="297" t="str">
        <f t="shared" si="5"/>
        <v/>
      </c>
      <c r="CU20" s="264"/>
      <c r="CV20" s="265"/>
      <c r="CW20" s="264"/>
      <c r="CX20" s="264"/>
      <c r="CY20" s="264" t="str">
        <f t="shared" si="6"/>
        <v/>
      </c>
      <c r="CZ20" s="264"/>
      <c r="DA20" s="264"/>
      <c r="DB20" s="266"/>
      <c r="DC20" s="264"/>
      <c r="DD20" s="264"/>
      <c r="DE20" s="266"/>
      <c r="DF20" s="266"/>
      <c r="DG20" s="264"/>
      <c r="DH20" s="266"/>
      <c r="DI20" s="266"/>
      <c r="DJ20" s="264"/>
      <c r="DK20" s="264"/>
      <c r="DL20" s="267"/>
      <c r="DM20" s="261">
        <f t="shared" si="7"/>
        <v>0</v>
      </c>
      <c r="DN20" s="295" t="str">
        <f t="shared" si="8"/>
        <v/>
      </c>
      <c r="DO20" s="392" t="str">
        <f t="shared" si="9"/>
        <v/>
      </c>
      <c r="DP20" s="392" t="str">
        <f t="shared" si="46"/>
        <v/>
      </c>
      <c r="DQ20" s="456" t="str">
        <f t="shared" si="10"/>
        <v/>
      </c>
      <c r="DR20" s="456" t="str">
        <f t="shared" si="47"/>
        <v/>
      </c>
    </row>
    <row r="21" spans="1:122" x14ac:dyDescent="0.25">
      <c r="A21" s="599" t="str">
        <f t="shared" si="11"/>
        <v xml:space="preserve">  -  - </v>
      </c>
      <c r="B21" s="306"/>
      <c r="C21" s="305"/>
      <c r="D21" s="301"/>
      <c r="E21" s="276"/>
      <c r="F21" s="278"/>
      <c r="G21" s="311"/>
      <c r="H21" s="276"/>
      <c r="I21" s="313" t="str">
        <f t="shared" si="12"/>
        <v/>
      </c>
      <c r="J21" s="312"/>
      <c r="K21" s="268"/>
      <c r="L21" s="277"/>
      <c r="M21" s="279"/>
      <c r="N21" s="280"/>
      <c r="O21" s="280"/>
      <c r="P21" s="455"/>
      <c r="Q21" s="281" t="str">
        <f t="shared" si="13"/>
        <v/>
      </c>
      <c r="R21" s="282">
        <f t="shared" si="14"/>
        <v>0</v>
      </c>
      <c r="S21" s="268"/>
      <c r="T21" s="283">
        <f t="shared" si="1"/>
        <v>0</v>
      </c>
      <c r="U21" s="284">
        <f>IF(M21=0,0,IF(G21="Annulation","",IF(assurance="ALPTIS",M21*12*T21/100*'11801 Data'!$K$4,IF(assurance="APRIL",M21*12*T21/100*'11801 Data'!$F$4,IF(assurance="ASAF",M21*12*T21/100*'11801 Data'!$I$4,IF(assurance="NEOLIANE",('11801 Data'!$G$5+M21*12*'11801 Data'!$G$4)*T21/100,IF(assurance="NEOLIANE Prev",('11801 Data'!$H$5+M21*12*'11801 Data'!$H$4)*T21/100,IF(assurance="SWISSLIFE",M21*12*T21/100*'11801 Data'!$J$4,IF(assurance="AVIVA",M21*12*T21/100*'11801 Data'!$L$4,IF(assurance="CIPRES",M21*12*T21/100*'11801 Data'!$M$4,IF(assurance="CEGEMA",M21*12*T21/100*'11801 Data'!$N$4,IF(assurance=0,0))))))))))))</f>
        <v>0</v>
      </c>
      <c r="V21" s="298" t="str">
        <f t="shared" si="15"/>
        <v/>
      </c>
      <c r="W21" s="298" t="str">
        <f t="shared" si="16"/>
        <v/>
      </c>
      <c r="X21" s="299">
        <f t="shared" si="2"/>
        <v>0</v>
      </c>
      <c r="Y21" s="368">
        <f t="shared" si="3"/>
        <v>0</v>
      </c>
      <c r="Z21" s="314"/>
      <c r="AA21" s="313" t="str">
        <f t="shared" si="17"/>
        <v/>
      </c>
      <c r="AB21" s="268" t="s">
        <v>13</v>
      </c>
      <c r="AC21" s="277"/>
      <c r="AD21" s="309" t="str">
        <f t="shared" si="18"/>
        <v/>
      </c>
      <c r="AE21" s="286" t="str">
        <f t="shared" si="19"/>
        <v/>
      </c>
      <c r="AF21" s="277"/>
      <c r="AG21" s="275" t="str">
        <f t="shared" si="20"/>
        <v/>
      </c>
      <c r="AH21" s="287" t="str">
        <f t="shared" ca="1" si="21"/>
        <v/>
      </c>
      <c r="AI21" s="373" t="str">
        <f t="shared" ca="1" si="4"/>
        <v/>
      </c>
      <c r="AJ21" s="296" t="str">
        <f t="shared" si="22"/>
        <v/>
      </c>
      <c r="AK21" s="296" t="str">
        <f t="shared" si="23"/>
        <v/>
      </c>
      <c r="AL21" s="287" t="str">
        <f t="shared" si="24"/>
        <v/>
      </c>
      <c r="AM21" s="279">
        <f t="shared" si="25"/>
        <v>0</v>
      </c>
      <c r="AN21" s="279">
        <f t="shared" si="26"/>
        <v>0</v>
      </c>
      <c r="AO21" s="288">
        <f t="shared" si="27"/>
        <v>0</v>
      </c>
      <c r="AP21" s="279">
        <f t="shared" si="28"/>
        <v>0</v>
      </c>
      <c r="AQ21" s="288">
        <f t="shared" si="29"/>
        <v>0</v>
      </c>
      <c r="AR21" s="289">
        <f t="shared" si="30"/>
        <v>0</v>
      </c>
      <c r="AS21" s="279">
        <f t="shared" si="31"/>
        <v>0</v>
      </c>
      <c r="AT21" s="288">
        <f t="shared" si="32"/>
        <v>0</v>
      </c>
      <c r="AU21" s="289">
        <f t="shared" si="33"/>
        <v>0</v>
      </c>
      <c r="AV21" s="279">
        <f t="shared" si="34"/>
        <v>0</v>
      </c>
      <c r="AW21" s="288">
        <f t="shared" si="35"/>
        <v>0</v>
      </c>
      <c r="AX21" s="289">
        <f t="shared" si="36"/>
        <v>0</v>
      </c>
      <c r="AY21" s="268"/>
      <c r="AZ21" s="291"/>
      <c r="BA21" s="292"/>
      <c r="BB21" s="303"/>
      <c r="BC21" s="293"/>
      <c r="BD21" s="293"/>
      <c r="BE21" s="304"/>
      <c r="BF21" s="274"/>
      <c r="BG21" s="377"/>
      <c r="BH21" s="268">
        <v>1</v>
      </c>
      <c r="BI21" s="273">
        <v>0</v>
      </c>
      <c r="BJ21" s="276"/>
      <c r="BK21" s="294"/>
      <c r="BL21" s="269" t="str">
        <f t="shared" ca="1" si="37"/>
        <v/>
      </c>
      <c r="BM21" s="270"/>
      <c r="BN21" s="271"/>
      <c r="BO21" s="272" t="str">
        <f t="shared" ca="1" si="38"/>
        <v/>
      </c>
      <c r="BP21" s="270"/>
      <c r="BQ21" s="271"/>
      <c r="BR21" s="272" t="str">
        <f t="shared" ca="1" si="39"/>
        <v/>
      </c>
      <c r="BS21" s="270"/>
      <c r="BT21" s="271"/>
      <c r="BU21" s="272" t="str">
        <f t="shared" ca="1" si="40"/>
        <v/>
      </c>
      <c r="BV21" s="270"/>
      <c r="BW21" s="271"/>
      <c r="BX21" s="272" t="str">
        <f t="shared" ca="1" si="41"/>
        <v/>
      </c>
      <c r="BY21" s="270"/>
      <c r="BZ21" s="271"/>
      <c r="CA21" s="272" t="str">
        <f t="shared" ca="1" si="42"/>
        <v/>
      </c>
      <c r="CB21" s="270"/>
      <c r="CC21" s="271"/>
      <c r="CD21" s="272" t="str">
        <f t="shared" ca="1" si="43"/>
        <v/>
      </c>
      <c r="CE21" s="270"/>
      <c r="CF21" s="271"/>
      <c r="CG21" s="272" t="str">
        <f t="shared" ca="1" si="44"/>
        <v/>
      </c>
      <c r="CH21" s="270"/>
      <c r="CI21" s="271"/>
      <c r="CJ21" s="272" t="str">
        <f t="shared" ca="1" si="45"/>
        <v/>
      </c>
      <c r="CK21" s="262"/>
      <c r="CL21" s="264"/>
      <c r="CM21" s="264"/>
      <c r="CN21" s="264"/>
      <c r="CO21" s="264"/>
      <c r="CP21" s="264"/>
      <c r="CQ21" s="264"/>
      <c r="CR21" s="262"/>
      <c r="CS21" s="263"/>
      <c r="CT21" s="297" t="str">
        <f t="shared" si="5"/>
        <v/>
      </c>
      <c r="CU21" s="264"/>
      <c r="CV21" s="265"/>
      <c r="CW21" s="264"/>
      <c r="CX21" s="264"/>
      <c r="CY21" s="264" t="str">
        <f t="shared" si="6"/>
        <v/>
      </c>
      <c r="CZ21" s="264"/>
      <c r="DA21" s="264"/>
      <c r="DB21" s="266"/>
      <c r="DC21" s="264"/>
      <c r="DD21" s="264"/>
      <c r="DE21" s="266"/>
      <c r="DF21" s="266"/>
      <c r="DG21" s="264"/>
      <c r="DH21" s="266"/>
      <c r="DI21" s="266"/>
      <c r="DJ21" s="264"/>
      <c r="DK21" s="264"/>
      <c r="DL21" s="267"/>
      <c r="DM21" s="261">
        <f t="shared" si="7"/>
        <v>0</v>
      </c>
      <c r="DN21" s="295" t="str">
        <f t="shared" si="8"/>
        <v/>
      </c>
      <c r="DO21" s="392" t="str">
        <f t="shared" si="9"/>
        <v/>
      </c>
      <c r="DP21" s="392" t="str">
        <f t="shared" si="46"/>
        <v/>
      </c>
      <c r="DQ21" s="456" t="str">
        <f t="shared" si="10"/>
        <v/>
      </c>
      <c r="DR21" s="456" t="str">
        <f t="shared" si="47"/>
        <v/>
      </c>
    </row>
    <row r="22" spans="1:122" x14ac:dyDescent="0.25">
      <c r="A22" s="599" t="str">
        <f t="shared" si="11"/>
        <v xml:space="preserve">  -  - </v>
      </c>
      <c r="B22" s="306"/>
      <c r="C22" s="305"/>
      <c r="D22" s="301"/>
      <c r="E22" s="276"/>
      <c r="F22" s="278"/>
      <c r="G22" s="311"/>
      <c r="H22" s="276"/>
      <c r="I22" s="313" t="str">
        <f t="shared" si="12"/>
        <v/>
      </c>
      <c r="J22" s="312"/>
      <c r="K22" s="268"/>
      <c r="L22" s="277"/>
      <c r="M22" s="279"/>
      <c r="N22" s="280"/>
      <c r="O22" s="280"/>
      <c r="P22" s="455"/>
      <c r="Q22" s="281" t="str">
        <f t="shared" si="13"/>
        <v/>
      </c>
      <c r="R22" s="282">
        <f t="shared" si="14"/>
        <v>0</v>
      </c>
      <c r="S22" s="268"/>
      <c r="T22" s="283">
        <f t="shared" si="1"/>
        <v>0</v>
      </c>
      <c r="U22" s="284">
        <f>IF(M22=0,0,IF(G22="Annulation","",IF(assurance="ALPTIS",M22*12*T22/100*'11801 Data'!$K$4,IF(assurance="APRIL",M22*12*T22/100*'11801 Data'!$F$4,IF(assurance="ASAF",M22*12*T22/100*'11801 Data'!$I$4,IF(assurance="NEOLIANE",('11801 Data'!$G$5+M22*12*'11801 Data'!$G$4)*T22/100,IF(assurance="NEOLIANE Prev",('11801 Data'!$H$5+M22*12*'11801 Data'!$H$4)*T22/100,IF(assurance="SWISSLIFE",M22*12*T22/100*'11801 Data'!$J$4,IF(assurance="AVIVA",M22*12*T22/100*'11801 Data'!$L$4,IF(assurance="CIPRES",M22*12*T22/100*'11801 Data'!$M$4,IF(assurance="CEGEMA",M22*12*T22/100*'11801 Data'!$N$4,IF(assurance=0,0))))))))))))</f>
        <v>0</v>
      </c>
      <c r="V22" s="298" t="str">
        <f t="shared" si="15"/>
        <v/>
      </c>
      <c r="W22" s="298" t="str">
        <f t="shared" si="16"/>
        <v/>
      </c>
      <c r="X22" s="299">
        <f t="shared" si="2"/>
        <v>0</v>
      </c>
      <c r="Y22" s="368">
        <f t="shared" si="3"/>
        <v>0</v>
      </c>
      <c r="Z22" s="314"/>
      <c r="AA22" s="313" t="str">
        <f t="shared" si="17"/>
        <v/>
      </c>
      <c r="AB22" s="268" t="s">
        <v>13</v>
      </c>
      <c r="AC22" s="277"/>
      <c r="AD22" s="309" t="str">
        <f t="shared" si="18"/>
        <v/>
      </c>
      <c r="AE22" s="286" t="str">
        <f t="shared" si="19"/>
        <v/>
      </c>
      <c r="AF22" s="277"/>
      <c r="AG22" s="275" t="str">
        <f t="shared" si="20"/>
        <v/>
      </c>
      <c r="AH22" s="287" t="str">
        <f t="shared" ca="1" si="21"/>
        <v/>
      </c>
      <c r="AI22" s="373" t="str">
        <f t="shared" ca="1" si="4"/>
        <v/>
      </c>
      <c r="AJ22" s="296" t="str">
        <f t="shared" si="22"/>
        <v/>
      </c>
      <c r="AK22" s="296" t="str">
        <f t="shared" si="23"/>
        <v/>
      </c>
      <c r="AL22" s="287" t="str">
        <f t="shared" si="24"/>
        <v/>
      </c>
      <c r="AM22" s="279">
        <f t="shared" si="25"/>
        <v>0</v>
      </c>
      <c r="AN22" s="279">
        <f t="shared" si="26"/>
        <v>0</v>
      </c>
      <c r="AO22" s="288">
        <f t="shared" si="27"/>
        <v>0</v>
      </c>
      <c r="AP22" s="279">
        <f t="shared" si="28"/>
        <v>0</v>
      </c>
      <c r="AQ22" s="288">
        <f t="shared" si="29"/>
        <v>0</v>
      </c>
      <c r="AR22" s="289">
        <f t="shared" si="30"/>
        <v>0</v>
      </c>
      <c r="AS22" s="279">
        <f t="shared" si="31"/>
        <v>0</v>
      </c>
      <c r="AT22" s="288">
        <f t="shared" si="32"/>
        <v>0</v>
      </c>
      <c r="AU22" s="289">
        <f t="shared" si="33"/>
        <v>0</v>
      </c>
      <c r="AV22" s="279">
        <f t="shared" si="34"/>
        <v>0</v>
      </c>
      <c r="AW22" s="288">
        <f t="shared" si="35"/>
        <v>0</v>
      </c>
      <c r="AX22" s="289">
        <f t="shared" si="36"/>
        <v>0</v>
      </c>
      <c r="AY22" s="268"/>
      <c r="AZ22" s="291"/>
      <c r="BA22" s="292"/>
      <c r="BB22" s="303"/>
      <c r="BC22" s="293"/>
      <c r="BD22" s="293"/>
      <c r="BE22" s="304"/>
      <c r="BF22" s="274"/>
      <c r="BG22" s="377"/>
      <c r="BH22" s="268">
        <v>1</v>
      </c>
      <c r="BI22" s="273">
        <v>0</v>
      </c>
      <c r="BJ22" s="276"/>
      <c r="BK22" s="294"/>
      <c r="BL22" s="269" t="str">
        <f t="shared" ca="1" si="37"/>
        <v/>
      </c>
      <c r="BM22" s="270"/>
      <c r="BN22" s="271"/>
      <c r="BO22" s="272" t="str">
        <f t="shared" ca="1" si="38"/>
        <v/>
      </c>
      <c r="BP22" s="270"/>
      <c r="BQ22" s="271"/>
      <c r="BR22" s="272" t="str">
        <f t="shared" ca="1" si="39"/>
        <v/>
      </c>
      <c r="BS22" s="270"/>
      <c r="BT22" s="271"/>
      <c r="BU22" s="272" t="str">
        <f t="shared" ca="1" si="40"/>
        <v/>
      </c>
      <c r="BV22" s="270"/>
      <c r="BW22" s="271"/>
      <c r="BX22" s="272" t="str">
        <f t="shared" ca="1" si="41"/>
        <v/>
      </c>
      <c r="BY22" s="270"/>
      <c r="BZ22" s="271"/>
      <c r="CA22" s="272" t="str">
        <f t="shared" ca="1" si="42"/>
        <v/>
      </c>
      <c r="CB22" s="270"/>
      <c r="CC22" s="271"/>
      <c r="CD22" s="272" t="str">
        <f t="shared" ca="1" si="43"/>
        <v/>
      </c>
      <c r="CE22" s="270"/>
      <c r="CF22" s="271"/>
      <c r="CG22" s="272" t="str">
        <f t="shared" ca="1" si="44"/>
        <v/>
      </c>
      <c r="CH22" s="270"/>
      <c r="CI22" s="271"/>
      <c r="CJ22" s="272" t="str">
        <f t="shared" ca="1" si="45"/>
        <v/>
      </c>
      <c r="CK22" s="262"/>
      <c r="CL22" s="264"/>
      <c r="CM22" s="264"/>
      <c r="CN22" s="264"/>
      <c r="CO22" s="264"/>
      <c r="CP22" s="264"/>
      <c r="CQ22" s="264"/>
      <c r="CR22" s="262"/>
      <c r="CS22" s="263"/>
      <c r="CT22" s="297" t="str">
        <f t="shared" si="5"/>
        <v/>
      </c>
      <c r="CU22" s="264"/>
      <c r="CV22" s="265"/>
      <c r="CW22" s="264"/>
      <c r="CX22" s="264"/>
      <c r="CY22" s="264" t="str">
        <f t="shared" si="6"/>
        <v/>
      </c>
      <c r="CZ22" s="264"/>
      <c r="DA22" s="264"/>
      <c r="DB22" s="266"/>
      <c r="DC22" s="264"/>
      <c r="DD22" s="264"/>
      <c r="DE22" s="266"/>
      <c r="DF22" s="266"/>
      <c r="DG22" s="264"/>
      <c r="DH22" s="266"/>
      <c r="DI22" s="266"/>
      <c r="DJ22" s="264"/>
      <c r="DK22" s="264"/>
      <c r="DL22" s="267"/>
      <c r="DM22" s="261">
        <f t="shared" si="7"/>
        <v>0</v>
      </c>
      <c r="DN22" s="295" t="str">
        <f t="shared" si="8"/>
        <v/>
      </c>
      <c r="DO22" s="392" t="str">
        <f t="shared" si="9"/>
        <v/>
      </c>
      <c r="DP22" s="392" t="str">
        <f t="shared" si="46"/>
        <v/>
      </c>
      <c r="DQ22" s="456" t="str">
        <f t="shared" si="10"/>
        <v/>
      </c>
      <c r="DR22" s="456" t="str">
        <f t="shared" si="47"/>
        <v/>
      </c>
    </row>
    <row r="23" spans="1:122" x14ac:dyDescent="0.25">
      <c r="A23" s="599" t="str">
        <f t="shared" si="11"/>
        <v xml:space="preserve">  -  - </v>
      </c>
      <c r="B23" s="306"/>
      <c r="C23" s="305"/>
      <c r="D23" s="301"/>
      <c r="E23" s="276"/>
      <c r="F23" s="278"/>
      <c r="G23" s="311"/>
      <c r="H23" s="276"/>
      <c r="I23" s="313" t="str">
        <f t="shared" si="12"/>
        <v/>
      </c>
      <c r="J23" s="312"/>
      <c r="K23" s="268"/>
      <c r="L23" s="277"/>
      <c r="M23" s="279"/>
      <c r="N23" s="280"/>
      <c r="O23" s="280"/>
      <c r="P23" s="455"/>
      <c r="Q23" s="281" t="str">
        <f t="shared" si="13"/>
        <v/>
      </c>
      <c r="R23" s="282">
        <f t="shared" si="14"/>
        <v>0</v>
      </c>
      <c r="S23" s="268"/>
      <c r="T23" s="283">
        <f t="shared" si="1"/>
        <v>0</v>
      </c>
      <c r="U23" s="284">
        <f>IF(M23=0,0,IF(G23="Annulation","",IF(assurance="ALPTIS",M23*12*T23/100*'11801 Data'!$K$4,IF(assurance="APRIL",M23*12*T23/100*'11801 Data'!$F$4,IF(assurance="ASAF",M23*12*T23/100*'11801 Data'!$I$4,IF(assurance="NEOLIANE",('11801 Data'!$G$5+M23*12*'11801 Data'!$G$4)*T23/100,IF(assurance="NEOLIANE Prev",('11801 Data'!$H$5+M23*12*'11801 Data'!$H$4)*T23/100,IF(assurance="SWISSLIFE",M23*12*T23/100*'11801 Data'!$J$4,IF(assurance="AVIVA",M23*12*T23/100*'11801 Data'!$L$4,IF(assurance="CIPRES",M23*12*T23/100*'11801 Data'!$M$4,IF(assurance="CEGEMA",M23*12*T23/100*'11801 Data'!$N$4,IF(assurance=0,0))))))))))))</f>
        <v>0</v>
      </c>
      <c r="V23" s="298" t="str">
        <f t="shared" si="15"/>
        <v/>
      </c>
      <c r="W23" s="298" t="str">
        <f t="shared" si="16"/>
        <v/>
      </c>
      <c r="X23" s="299">
        <f t="shared" si="2"/>
        <v>0</v>
      </c>
      <c r="Y23" s="368">
        <f t="shared" si="3"/>
        <v>0</v>
      </c>
      <c r="Z23" s="314"/>
      <c r="AA23" s="313" t="str">
        <f t="shared" si="17"/>
        <v/>
      </c>
      <c r="AB23" s="268" t="s">
        <v>13</v>
      </c>
      <c r="AC23" s="277"/>
      <c r="AD23" s="309" t="str">
        <f t="shared" si="18"/>
        <v/>
      </c>
      <c r="AE23" s="286" t="str">
        <f t="shared" si="19"/>
        <v/>
      </c>
      <c r="AF23" s="277"/>
      <c r="AG23" s="275" t="str">
        <f t="shared" si="20"/>
        <v/>
      </c>
      <c r="AH23" s="287" t="str">
        <f t="shared" ca="1" si="21"/>
        <v/>
      </c>
      <c r="AI23" s="373" t="str">
        <f t="shared" ca="1" si="4"/>
        <v/>
      </c>
      <c r="AJ23" s="296" t="str">
        <f t="shared" si="22"/>
        <v/>
      </c>
      <c r="AK23" s="296" t="str">
        <f t="shared" si="23"/>
        <v/>
      </c>
      <c r="AL23" s="287" t="str">
        <f t="shared" si="24"/>
        <v/>
      </c>
      <c r="AM23" s="279">
        <f t="shared" si="25"/>
        <v>0</v>
      </c>
      <c r="AN23" s="279">
        <f t="shared" si="26"/>
        <v>0</v>
      </c>
      <c r="AO23" s="288">
        <f t="shared" si="27"/>
        <v>0</v>
      </c>
      <c r="AP23" s="279">
        <f t="shared" si="28"/>
        <v>0</v>
      </c>
      <c r="AQ23" s="288">
        <f t="shared" si="29"/>
        <v>0</v>
      </c>
      <c r="AR23" s="289">
        <f t="shared" si="30"/>
        <v>0</v>
      </c>
      <c r="AS23" s="279">
        <f t="shared" si="31"/>
        <v>0</v>
      </c>
      <c r="AT23" s="288">
        <f t="shared" si="32"/>
        <v>0</v>
      </c>
      <c r="AU23" s="289">
        <f t="shared" si="33"/>
        <v>0</v>
      </c>
      <c r="AV23" s="279">
        <f t="shared" si="34"/>
        <v>0</v>
      </c>
      <c r="AW23" s="288">
        <f t="shared" si="35"/>
        <v>0</v>
      </c>
      <c r="AX23" s="289">
        <f t="shared" si="36"/>
        <v>0</v>
      </c>
      <c r="AY23" s="268"/>
      <c r="AZ23" s="291"/>
      <c r="BA23" s="292"/>
      <c r="BB23" s="303"/>
      <c r="BC23" s="293"/>
      <c r="BD23" s="293"/>
      <c r="BE23" s="304"/>
      <c r="BF23" s="274"/>
      <c r="BG23" s="377"/>
      <c r="BH23" s="268">
        <v>1</v>
      </c>
      <c r="BI23" s="273">
        <v>0</v>
      </c>
      <c r="BJ23" s="276"/>
      <c r="BK23" s="294"/>
      <c r="BL23" s="269" t="str">
        <f t="shared" ca="1" si="37"/>
        <v/>
      </c>
      <c r="BM23" s="270"/>
      <c r="BN23" s="271"/>
      <c r="BO23" s="272" t="str">
        <f t="shared" ca="1" si="38"/>
        <v/>
      </c>
      <c r="BP23" s="270"/>
      <c r="BQ23" s="271"/>
      <c r="BR23" s="272" t="str">
        <f t="shared" ca="1" si="39"/>
        <v/>
      </c>
      <c r="BS23" s="270"/>
      <c r="BT23" s="271"/>
      <c r="BU23" s="272" t="str">
        <f t="shared" ca="1" si="40"/>
        <v/>
      </c>
      <c r="BV23" s="270"/>
      <c r="BW23" s="271"/>
      <c r="BX23" s="272" t="str">
        <f t="shared" ca="1" si="41"/>
        <v/>
      </c>
      <c r="BY23" s="270"/>
      <c r="BZ23" s="271"/>
      <c r="CA23" s="272" t="str">
        <f t="shared" ca="1" si="42"/>
        <v/>
      </c>
      <c r="CB23" s="270"/>
      <c r="CC23" s="271"/>
      <c r="CD23" s="272" t="str">
        <f t="shared" ca="1" si="43"/>
        <v/>
      </c>
      <c r="CE23" s="270"/>
      <c r="CF23" s="271"/>
      <c r="CG23" s="272" t="str">
        <f t="shared" ca="1" si="44"/>
        <v/>
      </c>
      <c r="CH23" s="270"/>
      <c r="CI23" s="271"/>
      <c r="CJ23" s="272" t="str">
        <f t="shared" ca="1" si="45"/>
        <v/>
      </c>
      <c r="CK23" s="262"/>
      <c r="CL23" s="264"/>
      <c r="CM23" s="264"/>
      <c r="CN23" s="264"/>
      <c r="CO23" s="264"/>
      <c r="CP23" s="264"/>
      <c r="CQ23" s="264"/>
      <c r="CR23" s="262"/>
      <c r="CS23" s="263"/>
      <c r="CT23" s="297" t="str">
        <f t="shared" si="5"/>
        <v/>
      </c>
      <c r="CU23" s="264"/>
      <c r="CV23" s="265"/>
      <c r="CW23" s="264"/>
      <c r="CX23" s="264"/>
      <c r="CY23" s="264" t="str">
        <f t="shared" si="6"/>
        <v/>
      </c>
      <c r="CZ23" s="264"/>
      <c r="DA23" s="264"/>
      <c r="DB23" s="266"/>
      <c r="DC23" s="264"/>
      <c r="DD23" s="264"/>
      <c r="DE23" s="266"/>
      <c r="DF23" s="266"/>
      <c r="DG23" s="264"/>
      <c r="DH23" s="266"/>
      <c r="DI23" s="266"/>
      <c r="DJ23" s="264"/>
      <c r="DK23" s="264"/>
      <c r="DL23" s="267"/>
      <c r="DM23" s="261">
        <f t="shared" si="7"/>
        <v>0</v>
      </c>
      <c r="DN23" s="295" t="str">
        <f t="shared" si="8"/>
        <v/>
      </c>
      <c r="DO23" s="392" t="str">
        <f t="shared" si="9"/>
        <v/>
      </c>
      <c r="DP23" s="392" t="str">
        <f t="shared" si="46"/>
        <v/>
      </c>
      <c r="DQ23" s="456" t="str">
        <f t="shared" si="10"/>
        <v/>
      </c>
      <c r="DR23" s="456" t="str">
        <f t="shared" si="47"/>
        <v/>
      </c>
    </row>
    <row r="24" spans="1:122" x14ac:dyDescent="0.25">
      <c r="A24" s="599" t="str">
        <f t="shared" si="11"/>
        <v xml:space="preserve">  -  - </v>
      </c>
      <c r="B24" s="306"/>
      <c r="C24" s="305"/>
      <c r="D24" s="301"/>
      <c r="E24" s="276"/>
      <c r="F24" s="278"/>
      <c r="G24" s="311"/>
      <c r="H24" s="276"/>
      <c r="I24" s="313" t="str">
        <f t="shared" si="12"/>
        <v/>
      </c>
      <c r="J24" s="312"/>
      <c r="K24" s="268"/>
      <c r="L24" s="277"/>
      <c r="M24" s="279"/>
      <c r="N24" s="280"/>
      <c r="O24" s="280"/>
      <c r="P24" s="455"/>
      <c r="Q24" s="281" t="str">
        <f t="shared" si="13"/>
        <v/>
      </c>
      <c r="R24" s="282">
        <f t="shared" si="14"/>
        <v>0</v>
      </c>
      <c r="S24" s="268"/>
      <c r="T24" s="283">
        <f t="shared" si="1"/>
        <v>0</v>
      </c>
      <c r="U24" s="284">
        <f>IF(M24=0,0,IF(G24="Annulation","",IF(assurance="ALPTIS",M24*12*T24/100*'11801 Data'!$K$4,IF(assurance="APRIL",M24*12*T24/100*'11801 Data'!$F$4,IF(assurance="ASAF",M24*12*T24/100*'11801 Data'!$I$4,IF(assurance="NEOLIANE",('11801 Data'!$G$5+M24*12*'11801 Data'!$G$4)*T24/100,IF(assurance="NEOLIANE Prev",('11801 Data'!$H$5+M24*12*'11801 Data'!$H$4)*T24/100,IF(assurance="SWISSLIFE",M24*12*T24/100*'11801 Data'!$J$4,IF(assurance="AVIVA",M24*12*T24/100*'11801 Data'!$L$4,IF(assurance="CIPRES",M24*12*T24/100*'11801 Data'!$M$4,IF(assurance="CEGEMA",M24*12*T24/100*'11801 Data'!$N$4,IF(assurance=0,0))))))))))))</f>
        <v>0</v>
      </c>
      <c r="V24" s="298" t="str">
        <f t="shared" si="15"/>
        <v/>
      </c>
      <c r="W24" s="298" t="str">
        <f t="shared" si="16"/>
        <v/>
      </c>
      <c r="X24" s="299">
        <f t="shared" si="2"/>
        <v>0</v>
      </c>
      <c r="Y24" s="368">
        <f t="shared" si="3"/>
        <v>0</v>
      </c>
      <c r="Z24" s="314"/>
      <c r="AA24" s="313" t="str">
        <f t="shared" si="17"/>
        <v/>
      </c>
      <c r="AB24" s="268" t="s">
        <v>13</v>
      </c>
      <c r="AC24" s="277"/>
      <c r="AD24" s="309" t="str">
        <f t="shared" si="18"/>
        <v/>
      </c>
      <c r="AE24" s="286" t="str">
        <f t="shared" si="19"/>
        <v/>
      </c>
      <c r="AF24" s="277"/>
      <c r="AG24" s="275" t="str">
        <f t="shared" si="20"/>
        <v/>
      </c>
      <c r="AH24" s="287" t="str">
        <f t="shared" ca="1" si="21"/>
        <v/>
      </c>
      <c r="AI24" s="373" t="str">
        <f t="shared" ca="1" si="4"/>
        <v/>
      </c>
      <c r="AJ24" s="296" t="str">
        <f t="shared" si="22"/>
        <v/>
      </c>
      <c r="AK24" s="296" t="str">
        <f t="shared" si="23"/>
        <v/>
      </c>
      <c r="AL24" s="287" t="str">
        <f t="shared" si="24"/>
        <v/>
      </c>
      <c r="AM24" s="279">
        <f t="shared" si="25"/>
        <v>0</v>
      </c>
      <c r="AN24" s="279">
        <f t="shared" si="26"/>
        <v>0</v>
      </c>
      <c r="AO24" s="288">
        <f t="shared" si="27"/>
        <v>0</v>
      </c>
      <c r="AP24" s="279">
        <f t="shared" si="28"/>
        <v>0</v>
      </c>
      <c r="AQ24" s="288">
        <f t="shared" si="29"/>
        <v>0</v>
      </c>
      <c r="AR24" s="289">
        <f t="shared" si="30"/>
        <v>0</v>
      </c>
      <c r="AS24" s="279">
        <f t="shared" si="31"/>
        <v>0</v>
      </c>
      <c r="AT24" s="288">
        <f t="shared" si="32"/>
        <v>0</v>
      </c>
      <c r="AU24" s="289">
        <f t="shared" si="33"/>
        <v>0</v>
      </c>
      <c r="AV24" s="279">
        <f t="shared" si="34"/>
        <v>0</v>
      </c>
      <c r="AW24" s="288">
        <f t="shared" si="35"/>
        <v>0</v>
      </c>
      <c r="AX24" s="289">
        <f t="shared" si="36"/>
        <v>0</v>
      </c>
      <c r="AY24" s="268"/>
      <c r="AZ24" s="291"/>
      <c r="BA24" s="292"/>
      <c r="BB24" s="303"/>
      <c r="BC24" s="293"/>
      <c r="BD24" s="293"/>
      <c r="BE24" s="304"/>
      <c r="BF24" s="274"/>
      <c r="BG24" s="377"/>
      <c r="BH24" s="268">
        <v>1</v>
      </c>
      <c r="BI24" s="273">
        <v>0</v>
      </c>
      <c r="BJ24" s="276"/>
      <c r="BK24" s="294"/>
      <c r="BL24" s="269" t="str">
        <f t="shared" ca="1" si="37"/>
        <v/>
      </c>
      <c r="BM24" s="270"/>
      <c r="BN24" s="271"/>
      <c r="BO24" s="272" t="str">
        <f t="shared" ca="1" si="38"/>
        <v/>
      </c>
      <c r="BP24" s="270"/>
      <c r="BQ24" s="271"/>
      <c r="BR24" s="272" t="str">
        <f t="shared" ca="1" si="39"/>
        <v/>
      </c>
      <c r="BS24" s="270"/>
      <c r="BT24" s="271"/>
      <c r="BU24" s="272" t="str">
        <f t="shared" ca="1" si="40"/>
        <v/>
      </c>
      <c r="BV24" s="270"/>
      <c r="BW24" s="271"/>
      <c r="BX24" s="272" t="str">
        <f t="shared" ca="1" si="41"/>
        <v/>
      </c>
      <c r="BY24" s="270"/>
      <c r="BZ24" s="271"/>
      <c r="CA24" s="272" t="str">
        <f t="shared" ca="1" si="42"/>
        <v/>
      </c>
      <c r="CB24" s="270"/>
      <c r="CC24" s="271"/>
      <c r="CD24" s="272" t="str">
        <f t="shared" ca="1" si="43"/>
        <v/>
      </c>
      <c r="CE24" s="270"/>
      <c r="CF24" s="271"/>
      <c r="CG24" s="272" t="str">
        <f t="shared" ca="1" si="44"/>
        <v/>
      </c>
      <c r="CH24" s="270"/>
      <c r="CI24" s="271"/>
      <c r="CJ24" s="272" t="str">
        <f t="shared" ca="1" si="45"/>
        <v/>
      </c>
      <c r="CK24" s="262"/>
      <c r="CL24" s="264"/>
      <c r="CM24" s="264"/>
      <c r="CN24" s="264"/>
      <c r="CO24" s="264"/>
      <c r="CP24" s="264"/>
      <c r="CQ24" s="264"/>
      <c r="CR24" s="262"/>
      <c r="CS24" s="263"/>
      <c r="CT24" s="297" t="str">
        <f t="shared" si="5"/>
        <v/>
      </c>
      <c r="CU24" s="264"/>
      <c r="CV24" s="265"/>
      <c r="CW24" s="264"/>
      <c r="CX24" s="264"/>
      <c r="CY24" s="264" t="str">
        <f t="shared" si="6"/>
        <v/>
      </c>
      <c r="CZ24" s="264"/>
      <c r="DA24" s="264"/>
      <c r="DB24" s="266"/>
      <c r="DC24" s="264"/>
      <c r="DD24" s="264"/>
      <c r="DE24" s="266"/>
      <c r="DF24" s="266"/>
      <c r="DG24" s="264"/>
      <c r="DH24" s="266"/>
      <c r="DI24" s="266"/>
      <c r="DJ24" s="264"/>
      <c r="DK24" s="264"/>
      <c r="DL24" s="267"/>
      <c r="DM24" s="261">
        <f t="shared" si="7"/>
        <v>0</v>
      </c>
      <c r="DN24" s="295" t="str">
        <f t="shared" si="8"/>
        <v/>
      </c>
      <c r="DO24" s="392" t="str">
        <f t="shared" si="9"/>
        <v/>
      </c>
      <c r="DP24" s="392" t="str">
        <f t="shared" si="46"/>
        <v/>
      </c>
      <c r="DQ24" s="456" t="str">
        <f t="shared" si="10"/>
        <v/>
      </c>
      <c r="DR24" s="456" t="str">
        <f t="shared" si="47"/>
        <v/>
      </c>
    </row>
    <row r="25" spans="1:122" x14ac:dyDescent="0.25">
      <c r="A25" s="599" t="str">
        <f t="shared" si="11"/>
        <v xml:space="preserve">  -  - </v>
      </c>
      <c r="B25" s="306"/>
      <c r="C25" s="305"/>
      <c r="D25" s="301"/>
      <c r="E25" s="276"/>
      <c r="F25" s="278"/>
      <c r="G25" s="311"/>
      <c r="H25" s="276"/>
      <c r="I25" s="313" t="str">
        <f t="shared" si="12"/>
        <v/>
      </c>
      <c r="J25" s="312"/>
      <c r="K25" s="268"/>
      <c r="L25" s="277"/>
      <c r="M25" s="279"/>
      <c r="N25" s="280"/>
      <c r="O25" s="280"/>
      <c r="P25" s="455"/>
      <c r="Q25" s="281" t="str">
        <f t="shared" si="13"/>
        <v/>
      </c>
      <c r="R25" s="282">
        <f t="shared" si="14"/>
        <v>0</v>
      </c>
      <c r="S25" s="268"/>
      <c r="T25" s="283">
        <f t="shared" si="1"/>
        <v>0</v>
      </c>
      <c r="U25" s="284">
        <f>IF(M25=0,0,IF(G25="Annulation","",IF(assurance="ALPTIS",M25*12*T25/100*'11801 Data'!$K$4,IF(assurance="APRIL",M25*12*T25/100*'11801 Data'!$F$4,IF(assurance="ASAF",M25*12*T25/100*'11801 Data'!$I$4,IF(assurance="NEOLIANE",('11801 Data'!$G$5+M25*12*'11801 Data'!$G$4)*T25/100,IF(assurance="NEOLIANE Prev",('11801 Data'!$H$5+M25*12*'11801 Data'!$H$4)*T25/100,IF(assurance="SWISSLIFE",M25*12*T25/100*'11801 Data'!$J$4,IF(assurance="AVIVA",M25*12*T25/100*'11801 Data'!$L$4,IF(assurance="CIPRES",M25*12*T25/100*'11801 Data'!$M$4,IF(assurance="CEGEMA",M25*12*T25/100*'11801 Data'!$N$4,IF(assurance=0,0))))))))))))</f>
        <v>0</v>
      </c>
      <c r="V25" s="298" t="str">
        <f t="shared" si="15"/>
        <v/>
      </c>
      <c r="W25" s="298" t="str">
        <f t="shared" si="16"/>
        <v/>
      </c>
      <c r="X25" s="299">
        <f t="shared" si="2"/>
        <v>0</v>
      </c>
      <c r="Y25" s="368">
        <f t="shared" si="3"/>
        <v>0</v>
      </c>
      <c r="Z25" s="314"/>
      <c r="AA25" s="313" t="str">
        <f t="shared" si="17"/>
        <v/>
      </c>
      <c r="AB25" s="268" t="s">
        <v>13</v>
      </c>
      <c r="AC25" s="277"/>
      <c r="AD25" s="309" t="str">
        <f t="shared" si="18"/>
        <v/>
      </c>
      <c r="AE25" s="286" t="str">
        <f t="shared" si="19"/>
        <v/>
      </c>
      <c r="AF25" s="277"/>
      <c r="AG25" s="275" t="str">
        <f t="shared" si="20"/>
        <v/>
      </c>
      <c r="AH25" s="287" t="str">
        <f t="shared" ca="1" si="21"/>
        <v/>
      </c>
      <c r="AI25" s="373" t="str">
        <f t="shared" ca="1" si="4"/>
        <v/>
      </c>
      <c r="AJ25" s="296" t="str">
        <f t="shared" si="22"/>
        <v/>
      </c>
      <c r="AK25" s="296" t="str">
        <f t="shared" si="23"/>
        <v/>
      </c>
      <c r="AL25" s="287" t="str">
        <f t="shared" si="24"/>
        <v/>
      </c>
      <c r="AM25" s="279">
        <f t="shared" si="25"/>
        <v>0</v>
      </c>
      <c r="AN25" s="279">
        <f t="shared" si="26"/>
        <v>0</v>
      </c>
      <c r="AO25" s="288">
        <f t="shared" si="27"/>
        <v>0</v>
      </c>
      <c r="AP25" s="279">
        <f t="shared" si="28"/>
        <v>0</v>
      </c>
      <c r="AQ25" s="288">
        <f t="shared" si="29"/>
        <v>0</v>
      </c>
      <c r="AR25" s="289">
        <f t="shared" si="30"/>
        <v>0</v>
      </c>
      <c r="AS25" s="279">
        <f t="shared" si="31"/>
        <v>0</v>
      </c>
      <c r="AT25" s="288">
        <f t="shared" si="32"/>
        <v>0</v>
      </c>
      <c r="AU25" s="289">
        <f t="shared" si="33"/>
        <v>0</v>
      </c>
      <c r="AV25" s="279">
        <f t="shared" si="34"/>
        <v>0</v>
      </c>
      <c r="AW25" s="288">
        <f t="shared" si="35"/>
        <v>0</v>
      </c>
      <c r="AX25" s="289">
        <f t="shared" si="36"/>
        <v>0</v>
      </c>
      <c r="AY25" s="268"/>
      <c r="AZ25" s="291"/>
      <c r="BA25" s="292"/>
      <c r="BB25" s="303"/>
      <c r="BC25" s="293"/>
      <c r="BD25" s="293"/>
      <c r="BE25" s="304"/>
      <c r="BF25" s="274"/>
      <c r="BG25" s="377"/>
      <c r="BH25" s="268">
        <v>1</v>
      </c>
      <c r="BI25" s="273">
        <v>0</v>
      </c>
      <c r="BJ25" s="276"/>
      <c r="BK25" s="294"/>
      <c r="BL25" s="269" t="str">
        <f t="shared" ca="1" si="37"/>
        <v/>
      </c>
      <c r="BM25" s="270"/>
      <c r="BN25" s="271"/>
      <c r="BO25" s="272" t="str">
        <f t="shared" ca="1" si="38"/>
        <v/>
      </c>
      <c r="BP25" s="270"/>
      <c r="BQ25" s="271"/>
      <c r="BR25" s="272" t="str">
        <f t="shared" ca="1" si="39"/>
        <v/>
      </c>
      <c r="BS25" s="270"/>
      <c r="BT25" s="271"/>
      <c r="BU25" s="272" t="str">
        <f t="shared" ca="1" si="40"/>
        <v/>
      </c>
      <c r="BV25" s="270"/>
      <c r="BW25" s="271"/>
      <c r="BX25" s="272" t="str">
        <f t="shared" ca="1" si="41"/>
        <v/>
      </c>
      <c r="BY25" s="270"/>
      <c r="BZ25" s="271"/>
      <c r="CA25" s="272" t="str">
        <f t="shared" ca="1" si="42"/>
        <v/>
      </c>
      <c r="CB25" s="270"/>
      <c r="CC25" s="271"/>
      <c r="CD25" s="272" t="str">
        <f t="shared" ca="1" si="43"/>
        <v/>
      </c>
      <c r="CE25" s="270"/>
      <c r="CF25" s="271"/>
      <c r="CG25" s="272" t="str">
        <f t="shared" ca="1" si="44"/>
        <v/>
      </c>
      <c r="CH25" s="270"/>
      <c r="CI25" s="271"/>
      <c r="CJ25" s="272" t="str">
        <f t="shared" ca="1" si="45"/>
        <v/>
      </c>
      <c r="CK25" s="262"/>
      <c r="CL25" s="264"/>
      <c r="CM25" s="264"/>
      <c r="CN25" s="264"/>
      <c r="CO25" s="264"/>
      <c r="CP25" s="264"/>
      <c r="CQ25" s="264"/>
      <c r="CR25" s="262"/>
      <c r="CS25" s="263"/>
      <c r="CT25" s="297" t="str">
        <f t="shared" si="5"/>
        <v/>
      </c>
      <c r="CU25" s="264"/>
      <c r="CV25" s="265"/>
      <c r="CW25" s="264"/>
      <c r="CX25" s="264"/>
      <c r="CY25" s="264" t="str">
        <f t="shared" si="6"/>
        <v/>
      </c>
      <c r="CZ25" s="264"/>
      <c r="DA25" s="264"/>
      <c r="DB25" s="266"/>
      <c r="DC25" s="264"/>
      <c r="DD25" s="264"/>
      <c r="DE25" s="266"/>
      <c r="DF25" s="266"/>
      <c r="DG25" s="264"/>
      <c r="DH25" s="266"/>
      <c r="DI25" s="266"/>
      <c r="DJ25" s="264"/>
      <c r="DK25" s="264"/>
      <c r="DL25" s="267"/>
      <c r="DM25" s="261">
        <f t="shared" si="7"/>
        <v>0</v>
      </c>
      <c r="DN25" s="295" t="str">
        <f t="shared" si="8"/>
        <v/>
      </c>
      <c r="DO25" s="392" t="str">
        <f t="shared" si="9"/>
        <v/>
      </c>
      <c r="DP25" s="392" t="str">
        <f t="shared" si="46"/>
        <v/>
      </c>
      <c r="DQ25" s="456" t="str">
        <f t="shared" si="10"/>
        <v/>
      </c>
      <c r="DR25" s="456" t="str">
        <f t="shared" si="47"/>
        <v/>
      </c>
    </row>
    <row r="26" spans="1:122" x14ac:dyDescent="0.25">
      <c r="A26" s="599" t="str">
        <f t="shared" si="11"/>
        <v xml:space="preserve">  -  - </v>
      </c>
      <c r="B26" s="306"/>
      <c r="C26" s="305"/>
      <c r="D26" s="301"/>
      <c r="E26" s="276"/>
      <c r="F26" s="278"/>
      <c r="G26" s="311"/>
      <c r="H26" s="276"/>
      <c r="I26" s="313" t="str">
        <f t="shared" si="12"/>
        <v/>
      </c>
      <c r="J26" s="312"/>
      <c r="K26" s="268"/>
      <c r="L26" s="277"/>
      <c r="M26" s="279"/>
      <c r="N26" s="280"/>
      <c r="O26" s="280"/>
      <c r="P26" s="455"/>
      <c r="Q26" s="281" t="str">
        <f t="shared" si="13"/>
        <v/>
      </c>
      <c r="R26" s="282">
        <f t="shared" si="14"/>
        <v>0</v>
      </c>
      <c r="S26" s="268"/>
      <c r="T26" s="283">
        <f t="shared" si="1"/>
        <v>0</v>
      </c>
      <c r="U26" s="284">
        <f>IF(M26=0,0,IF(G26="Annulation","",IF(assurance="ALPTIS",M26*12*T26/100*'11801 Data'!$K$4,IF(assurance="APRIL",M26*12*T26/100*'11801 Data'!$F$4,IF(assurance="ASAF",M26*12*T26/100*'11801 Data'!$I$4,IF(assurance="NEOLIANE",('11801 Data'!$G$5+M26*12*'11801 Data'!$G$4)*T26/100,IF(assurance="NEOLIANE Prev",('11801 Data'!$H$5+M26*12*'11801 Data'!$H$4)*T26/100,IF(assurance="SWISSLIFE",M26*12*T26/100*'11801 Data'!$J$4,IF(assurance="AVIVA",M26*12*T26/100*'11801 Data'!$L$4,IF(assurance="CIPRES",M26*12*T26/100*'11801 Data'!$M$4,IF(assurance="CEGEMA",M26*12*T26/100*'11801 Data'!$N$4,IF(assurance=0,0))))))))))))</f>
        <v>0</v>
      </c>
      <c r="V26" s="298" t="str">
        <f t="shared" si="15"/>
        <v/>
      </c>
      <c r="W26" s="298" t="str">
        <f t="shared" si="16"/>
        <v/>
      </c>
      <c r="X26" s="299">
        <f t="shared" si="2"/>
        <v>0</v>
      </c>
      <c r="Y26" s="368">
        <f t="shared" si="3"/>
        <v>0</v>
      </c>
      <c r="Z26" s="314"/>
      <c r="AA26" s="313" t="str">
        <f t="shared" si="17"/>
        <v/>
      </c>
      <c r="AB26" s="268" t="s">
        <v>13</v>
      </c>
      <c r="AC26" s="277"/>
      <c r="AD26" s="309" t="str">
        <f t="shared" si="18"/>
        <v/>
      </c>
      <c r="AE26" s="286" t="str">
        <f t="shared" si="19"/>
        <v/>
      </c>
      <c r="AF26" s="277"/>
      <c r="AG26" s="275" t="str">
        <f t="shared" si="20"/>
        <v/>
      </c>
      <c r="AH26" s="287" t="str">
        <f t="shared" ca="1" si="21"/>
        <v/>
      </c>
      <c r="AI26" s="373" t="str">
        <f t="shared" ca="1" si="4"/>
        <v/>
      </c>
      <c r="AJ26" s="296" t="str">
        <f t="shared" si="22"/>
        <v/>
      </c>
      <c r="AK26" s="296" t="str">
        <f t="shared" si="23"/>
        <v/>
      </c>
      <c r="AL26" s="287" t="str">
        <f t="shared" si="24"/>
        <v/>
      </c>
      <c r="AM26" s="279">
        <f t="shared" si="25"/>
        <v>0</v>
      </c>
      <c r="AN26" s="279">
        <f t="shared" si="26"/>
        <v>0</v>
      </c>
      <c r="AO26" s="288">
        <f t="shared" si="27"/>
        <v>0</v>
      </c>
      <c r="AP26" s="279">
        <f t="shared" si="28"/>
        <v>0</v>
      </c>
      <c r="AQ26" s="288">
        <f t="shared" si="29"/>
        <v>0</v>
      </c>
      <c r="AR26" s="289">
        <f t="shared" si="30"/>
        <v>0</v>
      </c>
      <c r="AS26" s="279">
        <f t="shared" si="31"/>
        <v>0</v>
      </c>
      <c r="AT26" s="288">
        <f t="shared" si="32"/>
        <v>0</v>
      </c>
      <c r="AU26" s="289">
        <f t="shared" si="33"/>
        <v>0</v>
      </c>
      <c r="AV26" s="279">
        <f t="shared" si="34"/>
        <v>0</v>
      </c>
      <c r="AW26" s="288">
        <f t="shared" si="35"/>
        <v>0</v>
      </c>
      <c r="AX26" s="289">
        <f t="shared" si="36"/>
        <v>0</v>
      </c>
      <c r="AY26" s="268"/>
      <c r="AZ26" s="291"/>
      <c r="BA26" s="292"/>
      <c r="BB26" s="303"/>
      <c r="BC26" s="293"/>
      <c r="BD26" s="293"/>
      <c r="BE26" s="304"/>
      <c r="BF26" s="274"/>
      <c r="BG26" s="377"/>
      <c r="BH26" s="268">
        <v>1</v>
      </c>
      <c r="BI26" s="273">
        <v>0</v>
      </c>
      <c r="BJ26" s="276"/>
      <c r="BK26" s="294"/>
      <c r="BL26" s="269" t="str">
        <f t="shared" ca="1" si="37"/>
        <v/>
      </c>
      <c r="BM26" s="270"/>
      <c r="BN26" s="271"/>
      <c r="BO26" s="272" t="str">
        <f t="shared" ca="1" si="38"/>
        <v/>
      </c>
      <c r="BP26" s="270"/>
      <c r="BQ26" s="271"/>
      <c r="BR26" s="272" t="str">
        <f t="shared" ca="1" si="39"/>
        <v/>
      </c>
      <c r="BS26" s="270"/>
      <c r="BT26" s="271"/>
      <c r="BU26" s="272" t="str">
        <f t="shared" ca="1" si="40"/>
        <v/>
      </c>
      <c r="BV26" s="270"/>
      <c r="BW26" s="271"/>
      <c r="BX26" s="272" t="str">
        <f t="shared" ca="1" si="41"/>
        <v/>
      </c>
      <c r="BY26" s="270"/>
      <c r="BZ26" s="271"/>
      <c r="CA26" s="272" t="str">
        <f t="shared" ca="1" si="42"/>
        <v/>
      </c>
      <c r="CB26" s="270"/>
      <c r="CC26" s="271"/>
      <c r="CD26" s="272" t="str">
        <f t="shared" ca="1" si="43"/>
        <v/>
      </c>
      <c r="CE26" s="270"/>
      <c r="CF26" s="271"/>
      <c r="CG26" s="272" t="str">
        <f t="shared" ca="1" si="44"/>
        <v/>
      </c>
      <c r="CH26" s="270"/>
      <c r="CI26" s="271"/>
      <c r="CJ26" s="272" t="str">
        <f t="shared" ca="1" si="45"/>
        <v/>
      </c>
      <c r="CK26" s="262"/>
      <c r="CL26" s="264"/>
      <c r="CM26" s="264"/>
      <c r="CN26" s="264"/>
      <c r="CO26" s="264"/>
      <c r="CP26" s="264"/>
      <c r="CQ26" s="264"/>
      <c r="CR26" s="262"/>
      <c r="CS26" s="263"/>
      <c r="CT26" s="297" t="str">
        <f t="shared" si="5"/>
        <v/>
      </c>
      <c r="CU26" s="264"/>
      <c r="CV26" s="265"/>
      <c r="CW26" s="264"/>
      <c r="CX26" s="264"/>
      <c r="CY26" s="264" t="str">
        <f t="shared" si="6"/>
        <v/>
      </c>
      <c r="CZ26" s="264"/>
      <c r="DA26" s="264"/>
      <c r="DB26" s="266"/>
      <c r="DC26" s="264"/>
      <c r="DD26" s="264"/>
      <c r="DE26" s="266"/>
      <c r="DF26" s="266"/>
      <c r="DG26" s="264"/>
      <c r="DH26" s="266"/>
      <c r="DI26" s="266"/>
      <c r="DJ26" s="264"/>
      <c r="DK26" s="264"/>
      <c r="DL26" s="267"/>
      <c r="DM26" s="261">
        <f t="shared" si="7"/>
        <v>0</v>
      </c>
      <c r="DN26" s="295" t="str">
        <f t="shared" si="8"/>
        <v/>
      </c>
      <c r="DO26" s="392" t="str">
        <f t="shared" si="9"/>
        <v/>
      </c>
      <c r="DP26" s="392" t="str">
        <f t="shared" si="46"/>
        <v/>
      </c>
      <c r="DQ26" s="456" t="str">
        <f t="shared" si="10"/>
        <v/>
      </c>
      <c r="DR26" s="456" t="str">
        <f t="shared" si="47"/>
        <v/>
      </c>
    </row>
    <row r="27" spans="1:122" x14ac:dyDescent="0.25">
      <c r="A27" s="599" t="str">
        <f t="shared" si="11"/>
        <v xml:space="preserve">  -  - </v>
      </c>
      <c r="B27" s="306"/>
      <c r="C27" s="305"/>
      <c r="D27" s="301"/>
      <c r="E27" s="276"/>
      <c r="F27" s="278"/>
      <c r="G27" s="311"/>
      <c r="H27" s="276"/>
      <c r="I27" s="313" t="str">
        <f t="shared" si="12"/>
        <v/>
      </c>
      <c r="J27" s="312"/>
      <c r="K27" s="268"/>
      <c r="L27" s="277"/>
      <c r="M27" s="279"/>
      <c r="N27" s="280"/>
      <c r="O27" s="280"/>
      <c r="P27" s="455"/>
      <c r="Q27" s="281" t="str">
        <f t="shared" si="13"/>
        <v/>
      </c>
      <c r="R27" s="282">
        <f t="shared" si="14"/>
        <v>0</v>
      </c>
      <c r="S27" s="268"/>
      <c r="T27" s="283">
        <f t="shared" si="1"/>
        <v>0</v>
      </c>
      <c r="U27" s="284">
        <f>IF(M27=0,0,IF(G27="Annulation","",IF(assurance="ALPTIS",M27*12*T27/100*'11801 Data'!$K$4,IF(assurance="APRIL",M27*12*T27/100*'11801 Data'!$F$4,IF(assurance="ASAF",M27*12*T27/100*'11801 Data'!$I$4,IF(assurance="NEOLIANE",('11801 Data'!$G$5+M27*12*'11801 Data'!$G$4)*T27/100,IF(assurance="NEOLIANE Prev",('11801 Data'!$H$5+M27*12*'11801 Data'!$H$4)*T27/100,IF(assurance="SWISSLIFE",M27*12*T27/100*'11801 Data'!$J$4,IF(assurance="AVIVA",M27*12*T27/100*'11801 Data'!$L$4,IF(assurance="CIPRES",M27*12*T27/100*'11801 Data'!$M$4,IF(assurance="CEGEMA",M27*12*T27/100*'11801 Data'!$N$4,IF(assurance=0,0))))))))))))</f>
        <v>0</v>
      </c>
      <c r="V27" s="298" t="str">
        <f t="shared" si="15"/>
        <v/>
      </c>
      <c r="W27" s="298" t="str">
        <f t="shared" si="16"/>
        <v/>
      </c>
      <c r="X27" s="299">
        <f t="shared" si="2"/>
        <v>0</v>
      </c>
      <c r="Y27" s="368">
        <f t="shared" si="3"/>
        <v>0</v>
      </c>
      <c r="Z27" s="314"/>
      <c r="AA27" s="313" t="str">
        <f t="shared" si="17"/>
        <v/>
      </c>
      <c r="AB27" s="268" t="s">
        <v>13</v>
      </c>
      <c r="AC27" s="277"/>
      <c r="AD27" s="309" t="str">
        <f t="shared" si="18"/>
        <v/>
      </c>
      <c r="AE27" s="286" t="str">
        <f t="shared" si="19"/>
        <v/>
      </c>
      <c r="AF27" s="277"/>
      <c r="AG27" s="275" t="str">
        <f t="shared" si="20"/>
        <v/>
      </c>
      <c r="AH27" s="287" t="str">
        <f t="shared" ca="1" si="21"/>
        <v/>
      </c>
      <c r="AI27" s="373" t="str">
        <f t="shared" ca="1" si="4"/>
        <v/>
      </c>
      <c r="AJ27" s="296" t="str">
        <f t="shared" si="22"/>
        <v/>
      </c>
      <c r="AK27" s="296" t="str">
        <f t="shared" si="23"/>
        <v/>
      </c>
      <c r="AL27" s="287" t="str">
        <f t="shared" si="24"/>
        <v/>
      </c>
      <c r="AM27" s="279">
        <f t="shared" si="25"/>
        <v>0</v>
      </c>
      <c r="AN27" s="279">
        <f t="shared" si="26"/>
        <v>0</v>
      </c>
      <c r="AO27" s="288">
        <f t="shared" si="27"/>
        <v>0</v>
      </c>
      <c r="AP27" s="279">
        <f t="shared" si="28"/>
        <v>0</v>
      </c>
      <c r="AQ27" s="288">
        <f t="shared" si="29"/>
        <v>0</v>
      </c>
      <c r="AR27" s="289">
        <f t="shared" si="30"/>
        <v>0</v>
      </c>
      <c r="AS27" s="279">
        <f t="shared" si="31"/>
        <v>0</v>
      </c>
      <c r="AT27" s="288">
        <f t="shared" si="32"/>
        <v>0</v>
      </c>
      <c r="AU27" s="289">
        <f t="shared" si="33"/>
        <v>0</v>
      </c>
      <c r="AV27" s="279">
        <f t="shared" si="34"/>
        <v>0</v>
      </c>
      <c r="AW27" s="288">
        <f t="shared" si="35"/>
        <v>0</v>
      </c>
      <c r="AX27" s="289">
        <f t="shared" si="36"/>
        <v>0</v>
      </c>
      <c r="AY27" s="268"/>
      <c r="AZ27" s="291"/>
      <c r="BA27" s="292"/>
      <c r="BB27" s="303"/>
      <c r="BC27" s="293"/>
      <c r="BD27" s="293"/>
      <c r="BE27" s="304"/>
      <c r="BF27" s="274"/>
      <c r="BG27" s="377"/>
      <c r="BH27" s="268">
        <v>1</v>
      </c>
      <c r="BI27" s="273">
        <v>0</v>
      </c>
      <c r="BJ27" s="276"/>
      <c r="BK27" s="294"/>
      <c r="BL27" s="269" t="str">
        <f t="shared" ca="1" si="37"/>
        <v/>
      </c>
      <c r="BM27" s="270"/>
      <c r="BN27" s="271"/>
      <c r="BO27" s="272" t="str">
        <f t="shared" ca="1" si="38"/>
        <v/>
      </c>
      <c r="BP27" s="270"/>
      <c r="BQ27" s="271"/>
      <c r="BR27" s="272" t="str">
        <f t="shared" ca="1" si="39"/>
        <v/>
      </c>
      <c r="BS27" s="270"/>
      <c r="BT27" s="271"/>
      <c r="BU27" s="272" t="str">
        <f t="shared" ca="1" si="40"/>
        <v/>
      </c>
      <c r="BV27" s="270"/>
      <c r="BW27" s="271"/>
      <c r="BX27" s="272" t="str">
        <f t="shared" ca="1" si="41"/>
        <v/>
      </c>
      <c r="BY27" s="270"/>
      <c r="BZ27" s="271"/>
      <c r="CA27" s="272" t="str">
        <f t="shared" ca="1" si="42"/>
        <v/>
      </c>
      <c r="CB27" s="270"/>
      <c r="CC27" s="271"/>
      <c r="CD27" s="272" t="str">
        <f t="shared" ca="1" si="43"/>
        <v/>
      </c>
      <c r="CE27" s="270"/>
      <c r="CF27" s="271"/>
      <c r="CG27" s="272" t="str">
        <f t="shared" ca="1" si="44"/>
        <v/>
      </c>
      <c r="CH27" s="270"/>
      <c r="CI27" s="271"/>
      <c r="CJ27" s="272" t="str">
        <f t="shared" ca="1" si="45"/>
        <v/>
      </c>
      <c r="CK27" s="262"/>
      <c r="CL27" s="264"/>
      <c r="CM27" s="264"/>
      <c r="CN27" s="264"/>
      <c r="CO27" s="264"/>
      <c r="CP27" s="264"/>
      <c r="CQ27" s="264"/>
      <c r="CR27" s="262"/>
      <c r="CS27" s="263"/>
      <c r="CT27" s="297" t="str">
        <f t="shared" si="5"/>
        <v/>
      </c>
      <c r="CU27" s="264"/>
      <c r="CV27" s="265"/>
      <c r="CW27" s="264"/>
      <c r="CX27" s="264"/>
      <c r="CY27" s="264" t="str">
        <f t="shared" si="6"/>
        <v/>
      </c>
      <c r="CZ27" s="264"/>
      <c r="DA27" s="264"/>
      <c r="DB27" s="266"/>
      <c r="DC27" s="264"/>
      <c r="DD27" s="264"/>
      <c r="DE27" s="266"/>
      <c r="DF27" s="266"/>
      <c r="DG27" s="264"/>
      <c r="DH27" s="266"/>
      <c r="DI27" s="266"/>
      <c r="DJ27" s="264"/>
      <c r="DK27" s="264"/>
      <c r="DL27" s="267"/>
      <c r="DM27" s="261">
        <f t="shared" si="7"/>
        <v>0</v>
      </c>
      <c r="DN27" s="295" t="str">
        <f t="shared" si="8"/>
        <v/>
      </c>
      <c r="DO27" s="392" t="str">
        <f t="shared" si="9"/>
        <v/>
      </c>
      <c r="DP27" s="392" t="str">
        <f t="shared" si="46"/>
        <v/>
      </c>
      <c r="DQ27" s="456" t="str">
        <f t="shared" si="10"/>
        <v/>
      </c>
      <c r="DR27" s="456" t="str">
        <f t="shared" si="47"/>
        <v/>
      </c>
    </row>
    <row r="28" spans="1:122" x14ac:dyDescent="0.25">
      <c r="A28" s="599" t="str">
        <f t="shared" si="11"/>
        <v xml:space="preserve">  -  - </v>
      </c>
      <c r="B28" s="306"/>
      <c r="C28" s="305"/>
      <c r="D28" s="301"/>
      <c r="E28" s="276"/>
      <c r="F28" s="278"/>
      <c r="G28" s="311"/>
      <c r="H28" s="276"/>
      <c r="I28" s="313" t="str">
        <f t="shared" si="12"/>
        <v/>
      </c>
      <c r="J28" s="312"/>
      <c r="K28" s="268"/>
      <c r="L28" s="277"/>
      <c r="M28" s="279"/>
      <c r="N28" s="280"/>
      <c r="O28" s="280"/>
      <c r="P28" s="455"/>
      <c r="Q28" s="281" t="str">
        <f t="shared" si="13"/>
        <v/>
      </c>
      <c r="R28" s="282">
        <f t="shared" si="14"/>
        <v>0</v>
      </c>
      <c r="S28" s="268"/>
      <c r="T28" s="283">
        <f t="shared" si="1"/>
        <v>0</v>
      </c>
      <c r="U28" s="284">
        <f>IF(M28=0,0,IF(G28="Annulation","",IF(assurance="ALPTIS",M28*12*T28/100*'11801 Data'!$K$4,IF(assurance="APRIL",M28*12*T28/100*'11801 Data'!$F$4,IF(assurance="ASAF",M28*12*T28/100*'11801 Data'!$I$4,IF(assurance="NEOLIANE",('11801 Data'!$G$5+M28*12*'11801 Data'!$G$4)*T28/100,IF(assurance="NEOLIANE Prev",('11801 Data'!$H$5+M28*12*'11801 Data'!$H$4)*T28/100,IF(assurance="SWISSLIFE",M28*12*T28/100*'11801 Data'!$J$4,IF(assurance="AVIVA",M28*12*T28/100*'11801 Data'!$L$4,IF(assurance="CIPRES",M28*12*T28/100*'11801 Data'!$M$4,IF(assurance="CEGEMA",M28*12*T28/100*'11801 Data'!$N$4,IF(assurance=0,0))))))))))))</f>
        <v>0</v>
      </c>
      <c r="V28" s="298" t="str">
        <f t="shared" si="15"/>
        <v/>
      </c>
      <c r="W28" s="298" t="str">
        <f t="shared" si="16"/>
        <v/>
      </c>
      <c r="X28" s="299">
        <f t="shared" si="2"/>
        <v>0</v>
      </c>
      <c r="Y28" s="368">
        <f t="shared" si="3"/>
        <v>0</v>
      </c>
      <c r="Z28" s="314"/>
      <c r="AA28" s="313" t="str">
        <f t="shared" si="17"/>
        <v/>
      </c>
      <c r="AB28" s="268" t="s">
        <v>13</v>
      </c>
      <c r="AC28" s="277"/>
      <c r="AD28" s="309" t="str">
        <f t="shared" si="18"/>
        <v/>
      </c>
      <c r="AE28" s="286" t="str">
        <f t="shared" si="19"/>
        <v/>
      </c>
      <c r="AF28" s="277"/>
      <c r="AG28" s="275" t="str">
        <f t="shared" si="20"/>
        <v/>
      </c>
      <c r="AH28" s="287" t="str">
        <f t="shared" ca="1" si="21"/>
        <v/>
      </c>
      <c r="AI28" s="373" t="str">
        <f t="shared" ca="1" si="4"/>
        <v/>
      </c>
      <c r="AJ28" s="296" t="str">
        <f t="shared" si="22"/>
        <v/>
      </c>
      <c r="AK28" s="296" t="str">
        <f t="shared" si="23"/>
        <v/>
      </c>
      <c r="AL28" s="287" t="str">
        <f t="shared" si="24"/>
        <v/>
      </c>
      <c r="AM28" s="279">
        <f t="shared" si="25"/>
        <v>0</v>
      </c>
      <c r="AN28" s="279">
        <f t="shared" si="26"/>
        <v>0</v>
      </c>
      <c r="AO28" s="288">
        <f t="shared" si="27"/>
        <v>0</v>
      </c>
      <c r="AP28" s="279">
        <f t="shared" si="28"/>
        <v>0</v>
      </c>
      <c r="AQ28" s="288">
        <f t="shared" si="29"/>
        <v>0</v>
      </c>
      <c r="AR28" s="289">
        <f t="shared" si="30"/>
        <v>0</v>
      </c>
      <c r="AS28" s="279">
        <f t="shared" si="31"/>
        <v>0</v>
      </c>
      <c r="AT28" s="288">
        <f t="shared" si="32"/>
        <v>0</v>
      </c>
      <c r="AU28" s="289">
        <f t="shared" si="33"/>
        <v>0</v>
      </c>
      <c r="AV28" s="279">
        <f t="shared" si="34"/>
        <v>0</v>
      </c>
      <c r="AW28" s="288">
        <f t="shared" si="35"/>
        <v>0</v>
      </c>
      <c r="AX28" s="289">
        <f t="shared" si="36"/>
        <v>0</v>
      </c>
      <c r="AY28" s="268"/>
      <c r="AZ28" s="291"/>
      <c r="BA28" s="292"/>
      <c r="BB28" s="303"/>
      <c r="BC28" s="293"/>
      <c r="BD28" s="293"/>
      <c r="BE28" s="304"/>
      <c r="BF28" s="274"/>
      <c r="BG28" s="377"/>
      <c r="BH28" s="268">
        <v>1</v>
      </c>
      <c r="BI28" s="273">
        <v>0</v>
      </c>
      <c r="BJ28" s="276"/>
      <c r="BK28" s="294"/>
      <c r="BL28" s="269" t="str">
        <f t="shared" ca="1" si="37"/>
        <v/>
      </c>
      <c r="BM28" s="270"/>
      <c r="BN28" s="271"/>
      <c r="BO28" s="272" t="str">
        <f t="shared" ca="1" si="38"/>
        <v/>
      </c>
      <c r="BP28" s="270"/>
      <c r="BQ28" s="271"/>
      <c r="BR28" s="272" t="str">
        <f t="shared" ca="1" si="39"/>
        <v/>
      </c>
      <c r="BS28" s="270"/>
      <c r="BT28" s="271"/>
      <c r="BU28" s="272" t="str">
        <f t="shared" ca="1" si="40"/>
        <v/>
      </c>
      <c r="BV28" s="270"/>
      <c r="BW28" s="271"/>
      <c r="BX28" s="272" t="str">
        <f t="shared" ca="1" si="41"/>
        <v/>
      </c>
      <c r="BY28" s="270"/>
      <c r="BZ28" s="271"/>
      <c r="CA28" s="272" t="str">
        <f t="shared" ca="1" si="42"/>
        <v/>
      </c>
      <c r="CB28" s="270"/>
      <c r="CC28" s="271"/>
      <c r="CD28" s="272" t="str">
        <f t="shared" ca="1" si="43"/>
        <v/>
      </c>
      <c r="CE28" s="270"/>
      <c r="CF28" s="271"/>
      <c r="CG28" s="272" t="str">
        <f t="shared" ca="1" si="44"/>
        <v/>
      </c>
      <c r="CH28" s="270"/>
      <c r="CI28" s="271"/>
      <c r="CJ28" s="272" t="str">
        <f t="shared" ca="1" si="45"/>
        <v/>
      </c>
      <c r="CK28" s="262"/>
      <c r="CL28" s="264"/>
      <c r="CM28" s="264"/>
      <c r="CN28" s="264"/>
      <c r="CO28" s="264"/>
      <c r="CP28" s="264"/>
      <c r="CQ28" s="264"/>
      <c r="CR28" s="262"/>
      <c r="CS28" s="263"/>
      <c r="CT28" s="297" t="str">
        <f t="shared" si="5"/>
        <v/>
      </c>
      <c r="CU28" s="264"/>
      <c r="CV28" s="265"/>
      <c r="CW28" s="264"/>
      <c r="CX28" s="264"/>
      <c r="CY28" s="264" t="str">
        <f t="shared" si="6"/>
        <v/>
      </c>
      <c r="CZ28" s="264"/>
      <c r="DA28" s="264"/>
      <c r="DB28" s="266"/>
      <c r="DC28" s="264"/>
      <c r="DD28" s="264"/>
      <c r="DE28" s="266"/>
      <c r="DF28" s="266"/>
      <c r="DG28" s="264"/>
      <c r="DH28" s="266"/>
      <c r="DI28" s="266"/>
      <c r="DJ28" s="264"/>
      <c r="DK28" s="264"/>
      <c r="DL28" s="267"/>
      <c r="DM28" s="261">
        <f t="shared" si="7"/>
        <v>0</v>
      </c>
      <c r="DN28" s="295" t="str">
        <f t="shared" si="8"/>
        <v/>
      </c>
      <c r="DO28" s="392" t="str">
        <f t="shared" si="9"/>
        <v/>
      </c>
      <c r="DP28" s="392" t="str">
        <f t="shared" si="46"/>
        <v/>
      </c>
      <c r="DQ28" s="456" t="str">
        <f t="shared" si="10"/>
        <v/>
      </c>
      <c r="DR28" s="456" t="str">
        <f t="shared" si="47"/>
        <v/>
      </c>
    </row>
    <row r="29" spans="1:122" x14ac:dyDescent="0.25">
      <c r="A29" s="599" t="str">
        <f t="shared" si="11"/>
        <v xml:space="preserve">  -  - </v>
      </c>
      <c r="B29" s="306"/>
      <c r="C29" s="305"/>
      <c r="D29" s="301"/>
      <c r="E29" s="276"/>
      <c r="F29" s="278"/>
      <c r="G29" s="311"/>
      <c r="H29" s="276"/>
      <c r="I29" s="313" t="str">
        <f t="shared" si="12"/>
        <v/>
      </c>
      <c r="J29" s="312"/>
      <c r="K29" s="268"/>
      <c r="L29" s="277"/>
      <c r="M29" s="279"/>
      <c r="N29" s="280"/>
      <c r="O29" s="280"/>
      <c r="P29" s="455"/>
      <c r="Q29" s="281" t="str">
        <f t="shared" si="13"/>
        <v/>
      </c>
      <c r="R29" s="282">
        <f t="shared" si="14"/>
        <v>0</v>
      </c>
      <c r="S29" s="268"/>
      <c r="T29" s="283">
        <f t="shared" si="1"/>
        <v>0</v>
      </c>
      <c r="U29" s="284">
        <f>IF(M29=0,0,IF(G29="Annulation","",IF(assurance="ALPTIS",M29*12*T29/100*'11801 Data'!$K$4,IF(assurance="APRIL",M29*12*T29/100*'11801 Data'!$F$4,IF(assurance="ASAF",M29*12*T29/100*'11801 Data'!$I$4,IF(assurance="NEOLIANE",('11801 Data'!$G$5+M29*12*'11801 Data'!$G$4)*T29/100,IF(assurance="NEOLIANE Prev",('11801 Data'!$H$5+M29*12*'11801 Data'!$H$4)*T29/100,IF(assurance="SWISSLIFE",M29*12*T29/100*'11801 Data'!$J$4,IF(assurance="AVIVA",M29*12*T29/100*'11801 Data'!$L$4,IF(assurance="CIPRES",M29*12*T29/100*'11801 Data'!$M$4,IF(assurance="CEGEMA",M29*12*T29/100*'11801 Data'!$N$4,IF(assurance=0,0))))))))))))</f>
        <v>0</v>
      </c>
      <c r="V29" s="298" t="str">
        <f t="shared" si="15"/>
        <v/>
      </c>
      <c r="W29" s="298" t="str">
        <f t="shared" si="16"/>
        <v/>
      </c>
      <c r="X29" s="299">
        <f t="shared" si="2"/>
        <v>0</v>
      </c>
      <c r="Y29" s="368">
        <f t="shared" si="3"/>
        <v>0</v>
      </c>
      <c r="Z29" s="314"/>
      <c r="AA29" s="313" t="str">
        <f t="shared" si="17"/>
        <v/>
      </c>
      <c r="AB29" s="268" t="s">
        <v>13</v>
      </c>
      <c r="AC29" s="277"/>
      <c r="AD29" s="309" t="str">
        <f t="shared" si="18"/>
        <v/>
      </c>
      <c r="AE29" s="286" t="str">
        <f t="shared" si="19"/>
        <v/>
      </c>
      <c r="AF29" s="277"/>
      <c r="AG29" s="275" t="str">
        <f t="shared" si="20"/>
        <v/>
      </c>
      <c r="AH29" s="287" t="str">
        <f t="shared" ca="1" si="21"/>
        <v/>
      </c>
      <c r="AI29" s="373" t="str">
        <f t="shared" ca="1" si="4"/>
        <v/>
      </c>
      <c r="AJ29" s="296" t="str">
        <f t="shared" si="22"/>
        <v/>
      </c>
      <c r="AK29" s="296" t="str">
        <f t="shared" si="23"/>
        <v/>
      </c>
      <c r="AL29" s="287" t="str">
        <f t="shared" si="24"/>
        <v/>
      </c>
      <c r="AM29" s="279">
        <f t="shared" si="25"/>
        <v>0</v>
      </c>
      <c r="AN29" s="279">
        <f t="shared" si="26"/>
        <v>0</v>
      </c>
      <c r="AO29" s="288">
        <f t="shared" si="27"/>
        <v>0</v>
      </c>
      <c r="AP29" s="279">
        <f t="shared" si="28"/>
        <v>0</v>
      </c>
      <c r="AQ29" s="288">
        <f t="shared" si="29"/>
        <v>0</v>
      </c>
      <c r="AR29" s="289">
        <f t="shared" si="30"/>
        <v>0</v>
      </c>
      <c r="AS29" s="279">
        <f t="shared" si="31"/>
        <v>0</v>
      </c>
      <c r="AT29" s="288">
        <f t="shared" si="32"/>
        <v>0</v>
      </c>
      <c r="AU29" s="289">
        <f t="shared" si="33"/>
        <v>0</v>
      </c>
      <c r="AV29" s="279">
        <f t="shared" si="34"/>
        <v>0</v>
      </c>
      <c r="AW29" s="288">
        <f t="shared" si="35"/>
        <v>0</v>
      </c>
      <c r="AX29" s="289">
        <f t="shared" si="36"/>
        <v>0</v>
      </c>
      <c r="AY29" s="268"/>
      <c r="AZ29" s="291"/>
      <c r="BA29" s="292"/>
      <c r="BB29" s="303"/>
      <c r="BC29" s="293"/>
      <c r="BD29" s="293"/>
      <c r="BE29" s="304"/>
      <c r="BF29" s="274"/>
      <c r="BG29" s="377"/>
      <c r="BH29" s="268">
        <v>1</v>
      </c>
      <c r="BI29" s="273">
        <v>0</v>
      </c>
      <c r="BJ29" s="276"/>
      <c r="BK29" s="294"/>
      <c r="BL29" s="269" t="str">
        <f t="shared" ca="1" si="37"/>
        <v/>
      </c>
      <c r="BM29" s="270"/>
      <c r="BN29" s="271"/>
      <c r="BO29" s="272" t="str">
        <f t="shared" ca="1" si="38"/>
        <v/>
      </c>
      <c r="BP29" s="270"/>
      <c r="BQ29" s="271"/>
      <c r="BR29" s="272" t="str">
        <f t="shared" ca="1" si="39"/>
        <v/>
      </c>
      <c r="BS29" s="270"/>
      <c r="BT29" s="271"/>
      <c r="BU29" s="272" t="str">
        <f t="shared" ca="1" si="40"/>
        <v/>
      </c>
      <c r="BV29" s="270"/>
      <c r="BW29" s="271"/>
      <c r="BX29" s="272" t="str">
        <f t="shared" ca="1" si="41"/>
        <v/>
      </c>
      <c r="BY29" s="270"/>
      <c r="BZ29" s="271"/>
      <c r="CA29" s="272" t="str">
        <f t="shared" ca="1" si="42"/>
        <v/>
      </c>
      <c r="CB29" s="270"/>
      <c r="CC29" s="271"/>
      <c r="CD29" s="272" t="str">
        <f t="shared" ca="1" si="43"/>
        <v/>
      </c>
      <c r="CE29" s="270"/>
      <c r="CF29" s="271"/>
      <c r="CG29" s="272" t="str">
        <f t="shared" ca="1" si="44"/>
        <v/>
      </c>
      <c r="CH29" s="270"/>
      <c r="CI29" s="271"/>
      <c r="CJ29" s="272" t="str">
        <f t="shared" ca="1" si="45"/>
        <v/>
      </c>
      <c r="CK29" s="262"/>
      <c r="CL29" s="264"/>
      <c r="CM29" s="264"/>
      <c r="CN29" s="264"/>
      <c r="CO29" s="264"/>
      <c r="CP29" s="264"/>
      <c r="CQ29" s="264"/>
      <c r="CR29" s="262"/>
      <c r="CS29" s="263"/>
      <c r="CT29" s="297" t="str">
        <f t="shared" si="5"/>
        <v/>
      </c>
      <c r="CU29" s="264"/>
      <c r="CV29" s="265"/>
      <c r="CW29" s="264"/>
      <c r="CX29" s="264"/>
      <c r="CY29" s="264" t="str">
        <f t="shared" si="6"/>
        <v/>
      </c>
      <c r="CZ29" s="264"/>
      <c r="DA29" s="264"/>
      <c r="DB29" s="266"/>
      <c r="DC29" s="264"/>
      <c r="DD29" s="264"/>
      <c r="DE29" s="266"/>
      <c r="DF29" s="266"/>
      <c r="DG29" s="264"/>
      <c r="DH29" s="266"/>
      <c r="DI29" s="266"/>
      <c r="DJ29" s="264"/>
      <c r="DK29" s="264"/>
      <c r="DL29" s="267"/>
      <c r="DM29" s="261">
        <f t="shared" si="7"/>
        <v>0</v>
      </c>
      <c r="DN29" s="295" t="str">
        <f t="shared" si="8"/>
        <v/>
      </c>
      <c r="DO29" s="392" t="str">
        <f t="shared" si="9"/>
        <v/>
      </c>
      <c r="DP29" s="392" t="str">
        <f t="shared" si="46"/>
        <v/>
      </c>
      <c r="DQ29" s="456" t="str">
        <f t="shared" si="10"/>
        <v/>
      </c>
      <c r="DR29" s="456" t="str">
        <f t="shared" si="47"/>
        <v/>
      </c>
    </row>
    <row r="30" spans="1:122" x14ac:dyDescent="0.25">
      <c r="A30" s="599" t="str">
        <f t="shared" si="11"/>
        <v xml:space="preserve">  -  - </v>
      </c>
      <c r="B30" s="306"/>
      <c r="C30" s="305"/>
      <c r="D30" s="301"/>
      <c r="E30" s="276"/>
      <c r="F30" s="278"/>
      <c r="G30" s="311"/>
      <c r="H30" s="276"/>
      <c r="I30" s="313" t="str">
        <f t="shared" si="12"/>
        <v/>
      </c>
      <c r="J30" s="312"/>
      <c r="K30" s="268"/>
      <c r="L30" s="277"/>
      <c r="M30" s="279"/>
      <c r="N30" s="280"/>
      <c r="O30" s="280"/>
      <c r="P30" s="455"/>
      <c r="Q30" s="281" t="str">
        <f t="shared" si="13"/>
        <v/>
      </c>
      <c r="R30" s="282">
        <f t="shared" si="14"/>
        <v>0</v>
      </c>
      <c r="S30" s="268"/>
      <c r="T30" s="283">
        <f t="shared" si="1"/>
        <v>0</v>
      </c>
      <c r="U30" s="284">
        <f>IF(M30=0,0,IF(G30="Annulation","",IF(assurance="ALPTIS",M30*12*T30/100*'11801 Data'!$K$4,IF(assurance="APRIL",M30*12*T30/100*'11801 Data'!$F$4,IF(assurance="ASAF",M30*12*T30/100*'11801 Data'!$I$4,IF(assurance="NEOLIANE",('11801 Data'!$G$5+M30*12*'11801 Data'!$G$4)*T30/100,IF(assurance="NEOLIANE Prev",('11801 Data'!$H$5+M30*12*'11801 Data'!$H$4)*T30/100,IF(assurance="SWISSLIFE",M30*12*T30/100*'11801 Data'!$J$4,IF(assurance="AVIVA",M30*12*T30/100*'11801 Data'!$L$4,IF(assurance="CIPRES",M30*12*T30/100*'11801 Data'!$M$4,IF(assurance="CEGEMA",M30*12*T30/100*'11801 Data'!$N$4,IF(assurance=0,0))))))))))))</f>
        <v>0</v>
      </c>
      <c r="V30" s="298" t="str">
        <f t="shared" si="15"/>
        <v/>
      </c>
      <c r="W30" s="298" t="str">
        <f t="shared" si="16"/>
        <v/>
      </c>
      <c r="X30" s="299">
        <f t="shared" si="2"/>
        <v>0</v>
      </c>
      <c r="Y30" s="368">
        <f t="shared" si="3"/>
        <v>0</v>
      </c>
      <c r="Z30" s="314"/>
      <c r="AA30" s="313" t="str">
        <f t="shared" si="17"/>
        <v/>
      </c>
      <c r="AB30" s="268" t="s">
        <v>13</v>
      </c>
      <c r="AC30" s="277"/>
      <c r="AD30" s="309" t="str">
        <f t="shared" si="18"/>
        <v/>
      </c>
      <c r="AE30" s="286" t="str">
        <f t="shared" si="19"/>
        <v/>
      </c>
      <c r="AF30" s="277"/>
      <c r="AG30" s="275" t="str">
        <f t="shared" si="20"/>
        <v/>
      </c>
      <c r="AH30" s="287" t="str">
        <f t="shared" ca="1" si="21"/>
        <v/>
      </c>
      <c r="AI30" s="373" t="str">
        <f t="shared" ca="1" si="4"/>
        <v/>
      </c>
      <c r="AJ30" s="296" t="str">
        <f t="shared" si="22"/>
        <v/>
      </c>
      <c r="AK30" s="296" t="str">
        <f t="shared" si="23"/>
        <v/>
      </c>
      <c r="AL30" s="287" t="str">
        <f t="shared" si="24"/>
        <v/>
      </c>
      <c r="AM30" s="279">
        <f t="shared" si="25"/>
        <v>0</v>
      </c>
      <c r="AN30" s="279">
        <f t="shared" si="26"/>
        <v>0</v>
      </c>
      <c r="AO30" s="288">
        <f t="shared" si="27"/>
        <v>0</v>
      </c>
      <c r="AP30" s="279">
        <f t="shared" si="28"/>
        <v>0</v>
      </c>
      <c r="AQ30" s="288">
        <f t="shared" si="29"/>
        <v>0</v>
      </c>
      <c r="AR30" s="289">
        <f t="shared" si="30"/>
        <v>0</v>
      </c>
      <c r="AS30" s="279">
        <f t="shared" si="31"/>
        <v>0</v>
      </c>
      <c r="AT30" s="288">
        <f t="shared" si="32"/>
        <v>0</v>
      </c>
      <c r="AU30" s="289">
        <f t="shared" si="33"/>
        <v>0</v>
      </c>
      <c r="AV30" s="279">
        <f t="shared" si="34"/>
        <v>0</v>
      </c>
      <c r="AW30" s="288">
        <f t="shared" si="35"/>
        <v>0</v>
      </c>
      <c r="AX30" s="289">
        <f t="shared" si="36"/>
        <v>0</v>
      </c>
      <c r="AY30" s="268"/>
      <c r="AZ30" s="291"/>
      <c r="BA30" s="292"/>
      <c r="BB30" s="303"/>
      <c r="BC30" s="293"/>
      <c r="BD30" s="293"/>
      <c r="BE30" s="304"/>
      <c r="BF30" s="274"/>
      <c r="BG30" s="377"/>
      <c r="BH30" s="268">
        <v>1</v>
      </c>
      <c r="BI30" s="273">
        <v>0</v>
      </c>
      <c r="BJ30" s="276"/>
      <c r="BK30" s="294"/>
      <c r="BL30" s="269" t="str">
        <f t="shared" ca="1" si="37"/>
        <v/>
      </c>
      <c r="BM30" s="270"/>
      <c r="BN30" s="271"/>
      <c r="BO30" s="272" t="str">
        <f t="shared" ca="1" si="38"/>
        <v/>
      </c>
      <c r="BP30" s="270"/>
      <c r="BQ30" s="271"/>
      <c r="BR30" s="272" t="str">
        <f t="shared" ca="1" si="39"/>
        <v/>
      </c>
      <c r="BS30" s="270"/>
      <c r="BT30" s="271"/>
      <c r="BU30" s="272" t="str">
        <f t="shared" ca="1" si="40"/>
        <v/>
      </c>
      <c r="BV30" s="270"/>
      <c r="BW30" s="271"/>
      <c r="BX30" s="272" t="str">
        <f t="shared" ca="1" si="41"/>
        <v/>
      </c>
      <c r="BY30" s="270"/>
      <c r="BZ30" s="271"/>
      <c r="CA30" s="272" t="str">
        <f t="shared" ca="1" si="42"/>
        <v/>
      </c>
      <c r="CB30" s="270"/>
      <c r="CC30" s="271"/>
      <c r="CD30" s="272" t="str">
        <f t="shared" ca="1" si="43"/>
        <v/>
      </c>
      <c r="CE30" s="270"/>
      <c r="CF30" s="271"/>
      <c r="CG30" s="272" t="str">
        <f t="shared" ca="1" si="44"/>
        <v/>
      </c>
      <c r="CH30" s="270"/>
      <c r="CI30" s="271"/>
      <c r="CJ30" s="272" t="str">
        <f t="shared" ca="1" si="45"/>
        <v/>
      </c>
      <c r="CK30" s="262"/>
      <c r="CL30" s="264"/>
      <c r="CM30" s="264"/>
      <c r="CN30" s="264"/>
      <c r="CO30" s="264"/>
      <c r="CP30" s="264"/>
      <c r="CQ30" s="264"/>
      <c r="CR30" s="262"/>
      <c r="CS30" s="263"/>
      <c r="CT30" s="297" t="str">
        <f t="shared" si="5"/>
        <v/>
      </c>
      <c r="CU30" s="264"/>
      <c r="CV30" s="265"/>
      <c r="CW30" s="264"/>
      <c r="CX30" s="264"/>
      <c r="CY30" s="264" t="str">
        <f t="shared" si="6"/>
        <v/>
      </c>
      <c r="CZ30" s="264"/>
      <c r="DA30" s="264"/>
      <c r="DB30" s="266"/>
      <c r="DC30" s="264"/>
      <c r="DD30" s="264"/>
      <c r="DE30" s="266"/>
      <c r="DF30" s="266"/>
      <c r="DG30" s="264"/>
      <c r="DH30" s="266"/>
      <c r="DI30" s="266"/>
      <c r="DJ30" s="264"/>
      <c r="DK30" s="264"/>
      <c r="DL30" s="267"/>
      <c r="DM30" s="261">
        <f t="shared" si="7"/>
        <v>0</v>
      </c>
      <c r="DN30" s="295" t="str">
        <f t="shared" si="8"/>
        <v/>
      </c>
      <c r="DO30" s="392" t="str">
        <f t="shared" si="9"/>
        <v/>
      </c>
      <c r="DP30" s="392" t="str">
        <f t="shared" si="46"/>
        <v/>
      </c>
      <c r="DQ30" s="456" t="str">
        <f t="shared" si="10"/>
        <v/>
      </c>
      <c r="DR30" s="456" t="str">
        <f t="shared" si="47"/>
        <v/>
      </c>
    </row>
    <row r="31" spans="1:122" x14ac:dyDescent="0.25">
      <c r="A31" s="599" t="str">
        <f t="shared" si="11"/>
        <v xml:space="preserve">  -  - </v>
      </c>
      <c r="B31" s="306"/>
      <c r="C31" s="305"/>
      <c r="D31" s="301"/>
      <c r="E31" s="276"/>
      <c r="F31" s="278"/>
      <c r="G31" s="311"/>
      <c r="H31" s="276"/>
      <c r="I31" s="313" t="str">
        <f t="shared" si="12"/>
        <v/>
      </c>
      <c r="J31" s="312"/>
      <c r="K31" s="268"/>
      <c r="L31" s="277"/>
      <c r="M31" s="279"/>
      <c r="N31" s="280"/>
      <c r="O31" s="280"/>
      <c r="P31" s="455"/>
      <c r="Q31" s="281" t="str">
        <f t="shared" si="13"/>
        <v/>
      </c>
      <c r="R31" s="282">
        <f t="shared" si="14"/>
        <v>0</v>
      </c>
      <c r="S31" s="268"/>
      <c r="T31" s="283">
        <f t="shared" si="1"/>
        <v>0</v>
      </c>
      <c r="U31" s="284">
        <f>IF(M31=0,0,IF(G31="Annulation","",IF(assurance="ALPTIS",M31*12*T31/100*'11801 Data'!$K$4,IF(assurance="APRIL",M31*12*T31/100*'11801 Data'!$F$4,IF(assurance="ASAF",M31*12*T31/100*'11801 Data'!$I$4,IF(assurance="NEOLIANE",('11801 Data'!$G$5+M31*12*'11801 Data'!$G$4)*T31/100,IF(assurance="NEOLIANE Prev",('11801 Data'!$H$5+M31*12*'11801 Data'!$H$4)*T31/100,IF(assurance="SWISSLIFE",M31*12*T31/100*'11801 Data'!$J$4,IF(assurance="AVIVA",M31*12*T31/100*'11801 Data'!$L$4,IF(assurance="CIPRES",M31*12*T31/100*'11801 Data'!$M$4,IF(assurance="CEGEMA",M31*12*T31/100*'11801 Data'!$N$4,IF(assurance=0,0))))))))))))</f>
        <v>0</v>
      </c>
      <c r="V31" s="298" t="str">
        <f t="shared" si="15"/>
        <v/>
      </c>
      <c r="W31" s="298" t="str">
        <f t="shared" si="16"/>
        <v/>
      </c>
      <c r="X31" s="299">
        <f t="shared" si="2"/>
        <v>0</v>
      </c>
      <c r="Y31" s="368">
        <f t="shared" si="3"/>
        <v>0</v>
      </c>
      <c r="Z31" s="314"/>
      <c r="AA31" s="313" t="str">
        <f t="shared" si="17"/>
        <v/>
      </c>
      <c r="AB31" s="268" t="s">
        <v>13</v>
      </c>
      <c r="AC31" s="277"/>
      <c r="AD31" s="309" t="str">
        <f t="shared" si="18"/>
        <v/>
      </c>
      <c r="AE31" s="286" t="str">
        <f t="shared" si="19"/>
        <v/>
      </c>
      <c r="AF31" s="277"/>
      <c r="AG31" s="275" t="str">
        <f t="shared" si="20"/>
        <v/>
      </c>
      <c r="AH31" s="287" t="str">
        <f t="shared" ca="1" si="21"/>
        <v/>
      </c>
      <c r="AI31" s="373" t="str">
        <f t="shared" ca="1" si="4"/>
        <v/>
      </c>
      <c r="AJ31" s="296" t="str">
        <f t="shared" si="22"/>
        <v/>
      </c>
      <c r="AK31" s="296" t="str">
        <f t="shared" si="23"/>
        <v/>
      </c>
      <c r="AL31" s="287" t="str">
        <f t="shared" si="24"/>
        <v/>
      </c>
      <c r="AM31" s="279">
        <f t="shared" si="25"/>
        <v>0</v>
      </c>
      <c r="AN31" s="279">
        <f t="shared" si="26"/>
        <v>0</v>
      </c>
      <c r="AO31" s="288">
        <f t="shared" si="27"/>
        <v>0</v>
      </c>
      <c r="AP31" s="279">
        <f t="shared" si="28"/>
        <v>0</v>
      </c>
      <c r="AQ31" s="288">
        <f t="shared" si="29"/>
        <v>0</v>
      </c>
      <c r="AR31" s="289">
        <f t="shared" si="30"/>
        <v>0</v>
      </c>
      <c r="AS31" s="279">
        <f t="shared" si="31"/>
        <v>0</v>
      </c>
      <c r="AT31" s="288">
        <f t="shared" si="32"/>
        <v>0</v>
      </c>
      <c r="AU31" s="289">
        <f t="shared" si="33"/>
        <v>0</v>
      </c>
      <c r="AV31" s="279">
        <f t="shared" si="34"/>
        <v>0</v>
      </c>
      <c r="AW31" s="288">
        <f t="shared" si="35"/>
        <v>0</v>
      </c>
      <c r="AX31" s="289">
        <f t="shared" si="36"/>
        <v>0</v>
      </c>
      <c r="AY31" s="268"/>
      <c r="AZ31" s="291"/>
      <c r="BA31" s="292"/>
      <c r="BB31" s="303"/>
      <c r="BC31" s="293"/>
      <c r="BD31" s="293"/>
      <c r="BE31" s="304"/>
      <c r="BF31" s="274"/>
      <c r="BG31" s="377"/>
      <c r="BH31" s="268">
        <v>1</v>
      </c>
      <c r="BI31" s="273">
        <v>0</v>
      </c>
      <c r="BJ31" s="276"/>
      <c r="BK31" s="294"/>
      <c r="BL31" s="269" t="str">
        <f t="shared" ca="1" si="37"/>
        <v/>
      </c>
      <c r="BM31" s="270"/>
      <c r="BN31" s="271"/>
      <c r="BO31" s="272" t="str">
        <f t="shared" ca="1" si="38"/>
        <v/>
      </c>
      <c r="BP31" s="270"/>
      <c r="BQ31" s="271"/>
      <c r="BR31" s="272" t="str">
        <f t="shared" ca="1" si="39"/>
        <v/>
      </c>
      <c r="BS31" s="270"/>
      <c r="BT31" s="271"/>
      <c r="BU31" s="272" t="str">
        <f t="shared" ca="1" si="40"/>
        <v/>
      </c>
      <c r="BV31" s="270"/>
      <c r="BW31" s="271"/>
      <c r="BX31" s="272" t="str">
        <f t="shared" ca="1" si="41"/>
        <v/>
      </c>
      <c r="BY31" s="270"/>
      <c r="BZ31" s="271"/>
      <c r="CA31" s="272" t="str">
        <f t="shared" ca="1" si="42"/>
        <v/>
      </c>
      <c r="CB31" s="270"/>
      <c r="CC31" s="271"/>
      <c r="CD31" s="272" t="str">
        <f t="shared" ca="1" si="43"/>
        <v/>
      </c>
      <c r="CE31" s="270"/>
      <c r="CF31" s="271"/>
      <c r="CG31" s="272" t="str">
        <f t="shared" ca="1" si="44"/>
        <v/>
      </c>
      <c r="CH31" s="270"/>
      <c r="CI31" s="271"/>
      <c r="CJ31" s="272" t="str">
        <f t="shared" ca="1" si="45"/>
        <v/>
      </c>
      <c r="CK31" s="262"/>
      <c r="CL31" s="264"/>
      <c r="CM31" s="264"/>
      <c r="CN31" s="264"/>
      <c r="CO31" s="264"/>
      <c r="CP31" s="264"/>
      <c r="CQ31" s="264"/>
      <c r="CR31" s="262"/>
      <c r="CS31" s="263"/>
      <c r="CT31" s="297" t="str">
        <f t="shared" si="5"/>
        <v/>
      </c>
      <c r="CU31" s="264"/>
      <c r="CV31" s="265"/>
      <c r="CW31" s="264"/>
      <c r="CX31" s="264"/>
      <c r="CY31" s="264" t="str">
        <f t="shared" si="6"/>
        <v/>
      </c>
      <c r="CZ31" s="264"/>
      <c r="DA31" s="264"/>
      <c r="DB31" s="266"/>
      <c r="DC31" s="264"/>
      <c r="DD31" s="264"/>
      <c r="DE31" s="266"/>
      <c r="DF31" s="266"/>
      <c r="DG31" s="264"/>
      <c r="DH31" s="266"/>
      <c r="DI31" s="266"/>
      <c r="DJ31" s="264"/>
      <c r="DK31" s="264"/>
      <c r="DL31" s="267"/>
      <c r="DM31" s="261">
        <f t="shared" si="7"/>
        <v>0</v>
      </c>
      <c r="DN31" s="295" t="str">
        <f t="shared" si="8"/>
        <v/>
      </c>
      <c r="DO31" s="392" t="str">
        <f t="shared" si="9"/>
        <v/>
      </c>
      <c r="DP31" s="392" t="str">
        <f t="shared" si="46"/>
        <v/>
      </c>
      <c r="DQ31" s="456" t="str">
        <f t="shared" si="10"/>
        <v/>
      </c>
      <c r="DR31" s="456" t="str">
        <f t="shared" si="47"/>
        <v/>
      </c>
    </row>
    <row r="32" spans="1:122" x14ac:dyDescent="0.25">
      <c r="A32" s="599" t="str">
        <f t="shared" si="11"/>
        <v xml:space="preserve">  -  - </v>
      </c>
      <c r="B32" s="306"/>
      <c r="C32" s="305"/>
      <c r="D32" s="301"/>
      <c r="E32" s="276"/>
      <c r="F32" s="278"/>
      <c r="G32" s="311"/>
      <c r="H32" s="276"/>
      <c r="I32" s="313" t="str">
        <f t="shared" si="12"/>
        <v/>
      </c>
      <c r="J32" s="312"/>
      <c r="K32" s="268"/>
      <c r="L32" s="277"/>
      <c r="M32" s="279"/>
      <c r="N32" s="280"/>
      <c r="O32" s="280"/>
      <c r="P32" s="455"/>
      <c r="Q32" s="281" t="str">
        <f t="shared" si="13"/>
        <v/>
      </c>
      <c r="R32" s="282">
        <f t="shared" si="14"/>
        <v>0</v>
      </c>
      <c r="S32" s="268"/>
      <c r="T32" s="283">
        <f t="shared" si="1"/>
        <v>0</v>
      </c>
      <c r="U32" s="284">
        <f>IF(M32=0,0,IF(G32="Annulation","",IF(assurance="ALPTIS",M32*12*T32/100*'11801 Data'!$K$4,IF(assurance="APRIL",M32*12*T32/100*'11801 Data'!$F$4,IF(assurance="ASAF",M32*12*T32/100*'11801 Data'!$I$4,IF(assurance="NEOLIANE",('11801 Data'!$G$5+M32*12*'11801 Data'!$G$4)*T32/100,IF(assurance="NEOLIANE Prev",('11801 Data'!$H$5+M32*12*'11801 Data'!$H$4)*T32/100,IF(assurance="SWISSLIFE",M32*12*T32/100*'11801 Data'!$J$4,IF(assurance="AVIVA",M32*12*T32/100*'11801 Data'!$L$4,IF(assurance="CIPRES",M32*12*T32/100*'11801 Data'!$M$4,IF(assurance="CEGEMA",M32*12*T32/100*'11801 Data'!$N$4,IF(assurance=0,0))))))))))))</f>
        <v>0</v>
      </c>
      <c r="V32" s="298" t="str">
        <f t="shared" si="15"/>
        <v/>
      </c>
      <c r="W32" s="298" t="str">
        <f t="shared" si="16"/>
        <v/>
      </c>
      <c r="X32" s="299">
        <f t="shared" si="2"/>
        <v>0</v>
      </c>
      <c r="Y32" s="368">
        <f t="shared" si="3"/>
        <v>0</v>
      </c>
      <c r="Z32" s="314"/>
      <c r="AA32" s="313" t="str">
        <f t="shared" si="17"/>
        <v/>
      </c>
      <c r="AB32" s="268" t="s">
        <v>13</v>
      </c>
      <c r="AC32" s="277"/>
      <c r="AD32" s="309" t="str">
        <f t="shared" si="18"/>
        <v/>
      </c>
      <c r="AE32" s="286" t="str">
        <f t="shared" si="19"/>
        <v/>
      </c>
      <c r="AF32" s="277"/>
      <c r="AG32" s="275" t="str">
        <f t="shared" si="20"/>
        <v/>
      </c>
      <c r="AH32" s="287" t="str">
        <f t="shared" ca="1" si="21"/>
        <v/>
      </c>
      <c r="AI32" s="373" t="str">
        <f t="shared" ca="1" si="4"/>
        <v/>
      </c>
      <c r="AJ32" s="296" t="str">
        <f t="shared" si="22"/>
        <v/>
      </c>
      <c r="AK32" s="296" t="str">
        <f t="shared" si="23"/>
        <v/>
      </c>
      <c r="AL32" s="287" t="str">
        <f t="shared" si="24"/>
        <v/>
      </c>
      <c r="AM32" s="279">
        <f t="shared" si="25"/>
        <v>0</v>
      </c>
      <c r="AN32" s="279">
        <f t="shared" si="26"/>
        <v>0</v>
      </c>
      <c r="AO32" s="288">
        <f t="shared" si="27"/>
        <v>0</v>
      </c>
      <c r="AP32" s="279">
        <f t="shared" si="28"/>
        <v>0</v>
      </c>
      <c r="AQ32" s="288">
        <f t="shared" si="29"/>
        <v>0</v>
      </c>
      <c r="AR32" s="289">
        <f t="shared" si="30"/>
        <v>0</v>
      </c>
      <c r="AS32" s="279">
        <f t="shared" si="31"/>
        <v>0</v>
      </c>
      <c r="AT32" s="288">
        <f t="shared" si="32"/>
        <v>0</v>
      </c>
      <c r="AU32" s="289">
        <f t="shared" si="33"/>
        <v>0</v>
      </c>
      <c r="AV32" s="279">
        <f t="shared" si="34"/>
        <v>0</v>
      </c>
      <c r="AW32" s="288">
        <f t="shared" si="35"/>
        <v>0</v>
      </c>
      <c r="AX32" s="289">
        <f t="shared" si="36"/>
        <v>0</v>
      </c>
      <c r="AY32" s="268"/>
      <c r="AZ32" s="291"/>
      <c r="BA32" s="292"/>
      <c r="BB32" s="303"/>
      <c r="BC32" s="293"/>
      <c r="BD32" s="293"/>
      <c r="BE32" s="304"/>
      <c r="BF32" s="274"/>
      <c r="BG32" s="377"/>
      <c r="BH32" s="268">
        <v>1</v>
      </c>
      <c r="BI32" s="273">
        <v>0</v>
      </c>
      <c r="BJ32" s="276"/>
      <c r="BK32" s="294"/>
      <c r="BL32" s="269" t="str">
        <f t="shared" ca="1" si="37"/>
        <v/>
      </c>
      <c r="BM32" s="270"/>
      <c r="BN32" s="271"/>
      <c r="BO32" s="272" t="str">
        <f t="shared" ca="1" si="38"/>
        <v/>
      </c>
      <c r="BP32" s="270"/>
      <c r="BQ32" s="271"/>
      <c r="BR32" s="272" t="str">
        <f t="shared" ca="1" si="39"/>
        <v/>
      </c>
      <c r="BS32" s="270"/>
      <c r="BT32" s="271"/>
      <c r="BU32" s="272" t="str">
        <f t="shared" ca="1" si="40"/>
        <v/>
      </c>
      <c r="BV32" s="270"/>
      <c r="BW32" s="271"/>
      <c r="BX32" s="272" t="str">
        <f t="shared" ca="1" si="41"/>
        <v/>
      </c>
      <c r="BY32" s="270"/>
      <c r="BZ32" s="271"/>
      <c r="CA32" s="272" t="str">
        <f t="shared" ca="1" si="42"/>
        <v/>
      </c>
      <c r="CB32" s="270"/>
      <c r="CC32" s="271"/>
      <c r="CD32" s="272" t="str">
        <f t="shared" ca="1" si="43"/>
        <v/>
      </c>
      <c r="CE32" s="270"/>
      <c r="CF32" s="271"/>
      <c r="CG32" s="272" t="str">
        <f t="shared" ca="1" si="44"/>
        <v/>
      </c>
      <c r="CH32" s="270"/>
      <c r="CI32" s="271"/>
      <c r="CJ32" s="272" t="str">
        <f t="shared" ca="1" si="45"/>
        <v/>
      </c>
      <c r="CK32" s="262"/>
      <c r="CL32" s="264"/>
      <c r="CM32" s="264"/>
      <c r="CN32" s="264"/>
      <c r="CO32" s="264"/>
      <c r="CP32" s="264"/>
      <c r="CQ32" s="264"/>
      <c r="CR32" s="262"/>
      <c r="CS32" s="263"/>
      <c r="CT32" s="297" t="str">
        <f t="shared" si="5"/>
        <v/>
      </c>
      <c r="CU32" s="264"/>
      <c r="CV32" s="265"/>
      <c r="CW32" s="264"/>
      <c r="CX32" s="264"/>
      <c r="CY32" s="264" t="str">
        <f t="shared" si="6"/>
        <v/>
      </c>
      <c r="CZ32" s="264"/>
      <c r="DA32" s="264"/>
      <c r="DB32" s="266"/>
      <c r="DC32" s="264"/>
      <c r="DD32" s="264"/>
      <c r="DE32" s="266"/>
      <c r="DF32" s="266"/>
      <c r="DG32" s="264"/>
      <c r="DH32" s="266"/>
      <c r="DI32" s="266"/>
      <c r="DJ32" s="264"/>
      <c r="DK32" s="264"/>
      <c r="DL32" s="267"/>
      <c r="DM32" s="261">
        <f t="shared" si="7"/>
        <v>0</v>
      </c>
      <c r="DN32" s="295" t="str">
        <f t="shared" si="8"/>
        <v/>
      </c>
      <c r="DO32" s="392" t="str">
        <f t="shared" si="9"/>
        <v/>
      </c>
      <c r="DP32" s="392" t="str">
        <f t="shared" si="46"/>
        <v/>
      </c>
      <c r="DQ32" s="456" t="str">
        <f t="shared" si="10"/>
        <v/>
      </c>
      <c r="DR32" s="456" t="str">
        <f t="shared" si="47"/>
        <v/>
      </c>
    </row>
    <row r="33" spans="1:122" x14ac:dyDescent="0.25">
      <c r="A33" s="599" t="str">
        <f t="shared" si="11"/>
        <v xml:space="preserve">  -  - </v>
      </c>
      <c r="B33" s="306"/>
      <c r="C33" s="305"/>
      <c r="D33" s="301"/>
      <c r="E33" s="276"/>
      <c r="F33" s="278"/>
      <c r="G33" s="311"/>
      <c r="H33" s="276"/>
      <c r="I33" s="313" t="str">
        <f t="shared" si="12"/>
        <v/>
      </c>
      <c r="J33" s="312"/>
      <c r="K33" s="268"/>
      <c r="L33" s="277"/>
      <c r="M33" s="279"/>
      <c r="N33" s="280"/>
      <c r="O33" s="280"/>
      <c r="P33" s="455"/>
      <c r="Q33" s="281" t="str">
        <f t="shared" si="13"/>
        <v/>
      </c>
      <c r="R33" s="282">
        <f t="shared" si="14"/>
        <v>0</v>
      </c>
      <c r="S33" s="268"/>
      <c r="T33" s="283">
        <f t="shared" si="1"/>
        <v>0</v>
      </c>
      <c r="U33" s="284">
        <f>IF(M33=0,0,IF(G33="Annulation","",IF(assurance="ALPTIS",M33*12*T33/100*'11801 Data'!$K$4,IF(assurance="APRIL",M33*12*T33/100*'11801 Data'!$F$4,IF(assurance="ASAF",M33*12*T33/100*'11801 Data'!$I$4,IF(assurance="NEOLIANE",('11801 Data'!$G$5+M33*12*'11801 Data'!$G$4)*T33/100,IF(assurance="NEOLIANE Prev",('11801 Data'!$H$5+M33*12*'11801 Data'!$H$4)*T33/100,IF(assurance="SWISSLIFE",M33*12*T33/100*'11801 Data'!$J$4,IF(assurance="AVIVA",M33*12*T33/100*'11801 Data'!$L$4,IF(assurance="CIPRES",M33*12*T33/100*'11801 Data'!$M$4,IF(assurance="CEGEMA",M33*12*T33/100*'11801 Data'!$N$4,IF(assurance=0,0))))))))))))</f>
        <v>0</v>
      </c>
      <c r="V33" s="298" t="str">
        <f t="shared" si="15"/>
        <v/>
      </c>
      <c r="W33" s="298" t="str">
        <f t="shared" si="16"/>
        <v/>
      </c>
      <c r="X33" s="299">
        <f t="shared" si="2"/>
        <v>0</v>
      </c>
      <c r="Y33" s="368">
        <f t="shared" si="3"/>
        <v>0</v>
      </c>
      <c r="Z33" s="314"/>
      <c r="AA33" s="313" t="str">
        <f t="shared" si="17"/>
        <v/>
      </c>
      <c r="AB33" s="268" t="s">
        <v>13</v>
      </c>
      <c r="AC33" s="277"/>
      <c r="AD33" s="309" t="str">
        <f t="shared" si="18"/>
        <v/>
      </c>
      <c r="AE33" s="286" t="str">
        <f t="shared" si="19"/>
        <v/>
      </c>
      <c r="AF33" s="277"/>
      <c r="AG33" s="275" t="str">
        <f t="shared" si="20"/>
        <v/>
      </c>
      <c r="AH33" s="287" t="str">
        <f t="shared" ca="1" si="21"/>
        <v/>
      </c>
      <c r="AI33" s="373" t="str">
        <f t="shared" ca="1" si="4"/>
        <v/>
      </c>
      <c r="AJ33" s="296" t="str">
        <f t="shared" si="22"/>
        <v/>
      </c>
      <c r="AK33" s="296" t="str">
        <f t="shared" si="23"/>
        <v/>
      </c>
      <c r="AL33" s="287" t="str">
        <f t="shared" si="24"/>
        <v/>
      </c>
      <c r="AM33" s="279">
        <f t="shared" si="25"/>
        <v>0</v>
      </c>
      <c r="AN33" s="279">
        <f t="shared" si="26"/>
        <v>0</v>
      </c>
      <c r="AO33" s="288">
        <f t="shared" si="27"/>
        <v>0</v>
      </c>
      <c r="AP33" s="279">
        <f t="shared" si="28"/>
        <v>0</v>
      </c>
      <c r="AQ33" s="288">
        <f t="shared" si="29"/>
        <v>0</v>
      </c>
      <c r="AR33" s="289">
        <f t="shared" si="30"/>
        <v>0</v>
      </c>
      <c r="AS33" s="279">
        <f t="shared" si="31"/>
        <v>0</v>
      </c>
      <c r="AT33" s="288">
        <f t="shared" si="32"/>
        <v>0</v>
      </c>
      <c r="AU33" s="289">
        <f t="shared" si="33"/>
        <v>0</v>
      </c>
      <c r="AV33" s="279">
        <f t="shared" si="34"/>
        <v>0</v>
      </c>
      <c r="AW33" s="288">
        <f t="shared" si="35"/>
        <v>0</v>
      </c>
      <c r="AX33" s="289">
        <f t="shared" si="36"/>
        <v>0</v>
      </c>
      <c r="AY33" s="268"/>
      <c r="AZ33" s="291"/>
      <c r="BA33" s="292"/>
      <c r="BB33" s="303"/>
      <c r="BC33" s="293"/>
      <c r="BD33" s="293"/>
      <c r="BE33" s="304"/>
      <c r="BF33" s="274"/>
      <c r="BG33" s="377"/>
      <c r="BH33" s="268">
        <v>1</v>
      </c>
      <c r="BI33" s="273">
        <v>0</v>
      </c>
      <c r="BJ33" s="276"/>
      <c r="BK33" s="294"/>
      <c r="BL33" s="269" t="str">
        <f t="shared" ca="1" si="37"/>
        <v/>
      </c>
      <c r="BM33" s="270"/>
      <c r="BN33" s="271"/>
      <c r="BO33" s="272" t="str">
        <f t="shared" ca="1" si="38"/>
        <v/>
      </c>
      <c r="BP33" s="270"/>
      <c r="BQ33" s="271"/>
      <c r="BR33" s="272" t="str">
        <f t="shared" ca="1" si="39"/>
        <v/>
      </c>
      <c r="BS33" s="270"/>
      <c r="BT33" s="271"/>
      <c r="BU33" s="272" t="str">
        <f t="shared" ca="1" si="40"/>
        <v/>
      </c>
      <c r="BV33" s="270"/>
      <c r="BW33" s="271"/>
      <c r="BX33" s="272" t="str">
        <f t="shared" ca="1" si="41"/>
        <v/>
      </c>
      <c r="BY33" s="270"/>
      <c r="BZ33" s="271"/>
      <c r="CA33" s="272" t="str">
        <f t="shared" ca="1" si="42"/>
        <v/>
      </c>
      <c r="CB33" s="270"/>
      <c r="CC33" s="271"/>
      <c r="CD33" s="272" t="str">
        <f t="shared" ca="1" si="43"/>
        <v/>
      </c>
      <c r="CE33" s="270"/>
      <c r="CF33" s="271"/>
      <c r="CG33" s="272" t="str">
        <f t="shared" ca="1" si="44"/>
        <v/>
      </c>
      <c r="CH33" s="270"/>
      <c r="CI33" s="271"/>
      <c r="CJ33" s="272" t="str">
        <f t="shared" ca="1" si="45"/>
        <v/>
      </c>
      <c r="CK33" s="262"/>
      <c r="CL33" s="264"/>
      <c r="CM33" s="264"/>
      <c r="CN33" s="264"/>
      <c r="CO33" s="264"/>
      <c r="CP33" s="264"/>
      <c r="CQ33" s="264"/>
      <c r="CR33" s="262"/>
      <c r="CS33" s="263"/>
      <c r="CT33" s="297" t="str">
        <f t="shared" si="5"/>
        <v/>
      </c>
      <c r="CU33" s="264"/>
      <c r="CV33" s="265"/>
      <c r="CW33" s="264"/>
      <c r="CX33" s="264"/>
      <c r="CY33" s="264" t="str">
        <f t="shared" si="6"/>
        <v/>
      </c>
      <c r="CZ33" s="264"/>
      <c r="DA33" s="264"/>
      <c r="DB33" s="266"/>
      <c r="DC33" s="264"/>
      <c r="DD33" s="264"/>
      <c r="DE33" s="266"/>
      <c r="DF33" s="266"/>
      <c r="DG33" s="264"/>
      <c r="DH33" s="266"/>
      <c r="DI33" s="266"/>
      <c r="DJ33" s="264"/>
      <c r="DK33" s="264"/>
      <c r="DL33" s="267"/>
      <c r="DM33" s="261">
        <f t="shared" si="7"/>
        <v>0</v>
      </c>
      <c r="DN33" s="295" t="str">
        <f t="shared" si="8"/>
        <v/>
      </c>
      <c r="DO33" s="392" t="str">
        <f t="shared" si="9"/>
        <v/>
      </c>
      <c r="DP33" s="392" t="str">
        <f t="shared" si="46"/>
        <v/>
      </c>
      <c r="DQ33" s="456" t="str">
        <f t="shared" si="10"/>
        <v/>
      </c>
      <c r="DR33" s="456" t="str">
        <f t="shared" si="47"/>
        <v/>
      </c>
    </row>
    <row r="34" spans="1:122" x14ac:dyDescent="0.25">
      <c r="A34" s="599" t="str">
        <f t="shared" si="11"/>
        <v xml:space="preserve">  -  - </v>
      </c>
      <c r="B34" s="306"/>
      <c r="C34" s="305"/>
      <c r="D34" s="301"/>
      <c r="E34" s="276"/>
      <c r="F34" s="278"/>
      <c r="G34" s="311"/>
      <c r="H34" s="276"/>
      <c r="I34" s="313" t="str">
        <f t="shared" si="12"/>
        <v/>
      </c>
      <c r="J34" s="312"/>
      <c r="K34" s="268"/>
      <c r="L34" s="277"/>
      <c r="M34" s="279"/>
      <c r="N34" s="280"/>
      <c r="O34" s="280"/>
      <c r="P34" s="455"/>
      <c r="Q34" s="281" t="str">
        <f t="shared" si="13"/>
        <v/>
      </c>
      <c r="R34" s="282">
        <f t="shared" si="14"/>
        <v>0</v>
      </c>
      <c r="S34" s="268"/>
      <c r="T34" s="283">
        <f t="shared" ref="T34:T51" si="48">IF(G34="Annulation","",IF(assurance="ALPTIS",IF(L34="SO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4" s="284">
        <f>IF(M34=0,0,IF(G34="Annulation","",IF(assurance="ALPTIS",M34*12*T34/100*'11801 Data'!$K$4,IF(assurance="APRIL",M34*12*T34/100*'11801 Data'!$F$4,IF(assurance="ASAF",M34*12*T34/100*'11801 Data'!$I$4,IF(assurance="NEOLIANE",('11801 Data'!$G$5+M34*12*'11801 Data'!$G$4)*T34/100,IF(assurance="NEOLIANE Prev",('11801 Data'!$H$5+M34*12*'11801 Data'!$H$4)*T34/100,IF(assurance="SWISSLIFE",M34*12*T34/100*'11801 Data'!$J$4,IF(assurance="AVIVA",M34*12*T34/100*'11801 Data'!$L$4,IF(assurance="CIPRES",M34*12*T34/100*'11801 Data'!$M$4,IF(assurance="CEGEMA",M34*12*T34/100*'11801 Data'!$N$4,IF(assurance=0,0))))))))))))</f>
        <v>0</v>
      </c>
      <c r="V34" s="298" t="str">
        <f t="shared" si="15"/>
        <v/>
      </c>
      <c r="W34" s="298" t="str">
        <f t="shared" si="16"/>
        <v/>
      </c>
      <c r="X34" s="299">
        <f t="shared" ref="X34:X51" si="49">IF(G34="Annulation",0,IF(typecomm="Linéaire",0,IF(typecomm="Précompte 1",V34-U34,IF(mens=0,0,IF(typecomm="Précompte",V34-U34,IF(typecomm=0,0))))))</f>
        <v>0</v>
      </c>
      <c r="Y34" s="368">
        <f t="shared" ref="Y34:Y51" si="50">IF(G34="Annulation",0,IF(M34="",0,IF(typecomm="Linéaire",SUM(W34-U34/12),IF(typecomm="Précompte 1",0,IF(typecomm="Précompte",0,IF(typecomm=0,0))))))</f>
        <v>0</v>
      </c>
      <c r="Z34" s="314"/>
      <c r="AA34" s="313" t="str">
        <f t="shared" si="17"/>
        <v/>
      </c>
      <c r="AB34" s="268" t="s">
        <v>13</v>
      </c>
      <c r="AC34" s="277"/>
      <c r="AD34" s="309" t="str">
        <f t="shared" si="18"/>
        <v/>
      </c>
      <c r="AE34" s="286" t="str">
        <f t="shared" si="19"/>
        <v/>
      </c>
      <c r="AF34" s="277"/>
      <c r="AG34" s="275" t="str">
        <f t="shared" si="20"/>
        <v/>
      </c>
      <c r="AH34" s="287" t="str">
        <f t="shared" ca="1" si="21"/>
        <v/>
      </c>
      <c r="AI34" s="373" t="str">
        <f t="shared" ref="AI34:AI51" ca="1" si="51">(IF(COUNT(Z34)=0,"",IF(G34="Annulation","",IF(K34="SWISSLIFE",Z34+365+IF(Z34&gt;TODAY(),0,365*(DATEDIF(Z34,TODAY(),"Y"))),IF(K34="AVIVA",Z34+365+IF(Z34&gt;TODAY(),0,365*(DATEDIF(Z34,TODAY(),"Y"))),IF(K34="NEOLIANE Prev",Z34+365+IF(Z34&gt;TODAY(),0,365*(DATEDIF(Z34,TODAY(),"Y"))),IF(Z34&lt;=43252,43466,43831))))+365*(année-2018)+IF(année&gt;=2020,1)+IF(((IF(K34="SWISSLIFE",Z34+365+IF(Z34&gt;TODAY(),0,365*(DATEDIF(Z34,TODAY(),"Y"))),IF(K34="AVIVA",Z34+365+IF(Z34&gt;TODAY(),0,365*(DATEDIF(Z34,TODAY(),"Y"))),IF(K34="NEOLIANE Prev",Z34+365+IF(Z34&gt;TODAY(),0,365*(DATEDIF(Z34,TODAY(),"Y"))),IF(Z34&lt;=43252,43466,43831))))+365*(année-2018)+IF(année&gt;=2020,1))-62)&lt;TODAY(),365))))</f>
        <v/>
      </c>
      <c r="AJ34" s="296" t="str">
        <f t="shared" si="22"/>
        <v/>
      </c>
      <c r="AK34" s="296" t="str">
        <f t="shared" si="23"/>
        <v/>
      </c>
      <c r="AL34" s="287" t="str">
        <f t="shared" si="24"/>
        <v/>
      </c>
      <c r="AM34" s="279">
        <f t="shared" si="25"/>
        <v>0</v>
      </c>
      <c r="AN34" s="279">
        <f t="shared" si="26"/>
        <v>0</v>
      </c>
      <c r="AO34" s="288">
        <f t="shared" si="27"/>
        <v>0</v>
      </c>
      <c r="AP34" s="279">
        <f t="shared" si="28"/>
        <v>0</v>
      </c>
      <c r="AQ34" s="288">
        <f t="shared" si="29"/>
        <v>0</v>
      </c>
      <c r="AR34" s="289">
        <f t="shared" si="30"/>
        <v>0</v>
      </c>
      <c r="AS34" s="279">
        <f t="shared" si="31"/>
        <v>0</v>
      </c>
      <c r="AT34" s="288">
        <f t="shared" si="32"/>
        <v>0</v>
      </c>
      <c r="AU34" s="289">
        <f t="shared" si="33"/>
        <v>0</v>
      </c>
      <c r="AV34" s="279">
        <f t="shared" si="34"/>
        <v>0</v>
      </c>
      <c r="AW34" s="288">
        <f t="shared" si="35"/>
        <v>0</v>
      </c>
      <c r="AX34" s="289">
        <f t="shared" si="36"/>
        <v>0</v>
      </c>
      <c r="AY34" s="268"/>
      <c r="AZ34" s="291"/>
      <c r="BA34" s="292"/>
      <c r="BB34" s="303"/>
      <c r="BC34" s="293"/>
      <c r="BD34" s="293"/>
      <c r="BE34" s="304"/>
      <c r="BF34" s="274"/>
      <c r="BG34" s="377"/>
      <c r="BH34" s="268">
        <v>1</v>
      </c>
      <c r="BI34" s="273">
        <v>0</v>
      </c>
      <c r="BJ34" s="276"/>
      <c r="BK34" s="294"/>
      <c r="BL34" s="269" t="str">
        <f t="shared" ca="1" si="37"/>
        <v/>
      </c>
      <c r="BM34" s="270"/>
      <c r="BN34" s="271"/>
      <c r="BO34" s="272" t="str">
        <f t="shared" ca="1" si="38"/>
        <v/>
      </c>
      <c r="BP34" s="270"/>
      <c r="BQ34" s="271"/>
      <c r="BR34" s="272" t="str">
        <f t="shared" ca="1" si="39"/>
        <v/>
      </c>
      <c r="BS34" s="270"/>
      <c r="BT34" s="271"/>
      <c r="BU34" s="272" t="str">
        <f t="shared" ca="1" si="40"/>
        <v/>
      </c>
      <c r="BV34" s="270"/>
      <c r="BW34" s="271"/>
      <c r="BX34" s="272" t="str">
        <f t="shared" ca="1" si="41"/>
        <v/>
      </c>
      <c r="BY34" s="270"/>
      <c r="BZ34" s="271"/>
      <c r="CA34" s="272" t="str">
        <f t="shared" ca="1" si="42"/>
        <v/>
      </c>
      <c r="CB34" s="270"/>
      <c r="CC34" s="271"/>
      <c r="CD34" s="272" t="str">
        <f t="shared" ca="1" si="43"/>
        <v/>
      </c>
      <c r="CE34" s="270"/>
      <c r="CF34" s="271"/>
      <c r="CG34" s="272" t="str">
        <f t="shared" ca="1" si="44"/>
        <v/>
      </c>
      <c r="CH34" s="270"/>
      <c r="CI34" s="271"/>
      <c r="CJ34" s="272" t="str">
        <f t="shared" ca="1" si="45"/>
        <v/>
      </c>
      <c r="CK34" s="262"/>
      <c r="CL34" s="264"/>
      <c r="CM34" s="264"/>
      <c r="CN34" s="264"/>
      <c r="CO34" s="264"/>
      <c r="CP34" s="264"/>
      <c r="CQ34" s="264"/>
      <c r="CR34" s="262"/>
      <c r="CS34" s="263"/>
      <c r="CT34" s="297" t="str">
        <f t="shared" ref="CT34:CT51" si="52">IF(J34="Prev. Pro",IF(BL34=118,"",BL34),"")</f>
        <v/>
      </c>
      <c r="CU34" s="264"/>
      <c r="CV34" s="265"/>
      <c r="CW34" s="264"/>
      <c r="CX34" s="264"/>
      <c r="CY34" s="264" t="str">
        <f t="shared" ref="CY34:CY51" si="53">IF(J34&lt;&gt;"Prev. Pro","",IF(AC34="","Non",IF(J34="Prev. Pro","Oui","Non")))</f>
        <v/>
      </c>
      <c r="CZ34" s="264"/>
      <c r="DA34" s="264"/>
      <c r="DB34" s="266"/>
      <c r="DC34" s="264"/>
      <c r="DD34" s="264"/>
      <c r="DE34" s="266"/>
      <c r="DF34" s="266"/>
      <c r="DG34" s="264"/>
      <c r="DH34" s="266"/>
      <c r="DI34" s="266"/>
      <c r="DJ34" s="264"/>
      <c r="DK34" s="264"/>
      <c r="DL34" s="267"/>
      <c r="DM34" s="261">
        <f t="shared" ref="DM34:DM51" si="54">Infoman</f>
        <v>0</v>
      </c>
      <c r="DN34" s="295" t="str">
        <f t="shared" ref="DN34:DN51" si="55">IF(C34=0,"",IF((IF(C34=0,"",IF(BJ34=0,"KO",IF(J34="Santé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="OK",IF(G34="Pré 2018 OK","AJ",(IF(C34=0,"",IF(BJ34=0,"KO",IF(J34="Santé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,(IF(C34=0,"",IF(BJ34=0,"KO",IF(J34="Santé Individuelle",IF(COUNTBLANK(C34)+COUNTBLANK(K34)+COUNTBLANK(N34)+COUNTBLANK(L34)+COUNTBLANK(AZ34)+COUNTBLANK(BB34)+COUNTBLANK(BE34)+COUNTBLANK(BF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OK",IF(COUNTBLANK(L34)+COUNTBLANK(AZ34)+COUNTBLANK(BB34)+COUNTBLANK(BE34)+COUNTBLANK(J34)+COUNTBLANK(C34)+COUNTBLANK(K34)+COUNTBLANK(N34)+COUNTBLANK(Z34)+COUNTBLANK(BC34)+COUNTBLANK(BA34)+COUNTBLANK(BJ34)+COUNTBLANK(BK34)=4,"Mini",IF(COUNTBLANK(C34)+COUNTBLANK(K34)+COUNTBLANK(N34)+COUNTBLANK(Z34)+COUNTBLANK(BA34)+COUNTBLANK(BC34)+COUNTBLANK(BJ34)+COUNTBLANK(BK34)+COUNTBLANK(BM34)+COUNTBLANK(BN34)+COUNTBLANK(BP34)+COUNTBLANK(BQ34)+COUNTBLANK(BS34)+COUNTBLANK(BT34)+COUNTBLANK(BV34)+COUNTBLANK(BW34)+COUNTBLANK(BY34)+COUNTBLANK(BZ34)+COUNTBLANK(CB34)+COUNTBLANK(CC34)+COUNTBLANK(CE34)+COUNTBLANK(CF34)+COUNTBLANK(CH34)+COUNTBLANK(CI34)=18-2*(BH34+BI34),"Mini","KO"))),IF(COUNTBLANK(L34)+COUNTBLANK(AZ34)+COUNTBLANK(BB34)+COUNTBLANK(BE34)+COUNTBLANK(J34)+COUNTBLANK(C34)+COUNTBLANK(K34)+COUNTBLANK(N34)+COUNTBLANK(Z34)+COUNTBLANK(BC34)+COUNTBLANK(BA34)+COUNTBLANK(BJ34)+COUNTBLANK(BK34)=0,"OK",IF(COUNTBLANK(J34)+COUNTBLANK(C34)+COUNTBLANK(K34)+COUNTBLANK(N34)+COUNTBLANK(Z34)+COUNTBLANK(BC34)+COUNTBLANK(BA34)+COUNTBLANK(BJ34)+COUNTBLANK(BK34)=0,"Mini","KO"))))))))</f>
        <v/>
      </c>
      <c r="DO34" s="392" t="str">
        <f t="shared" ref="DO34:DO51" si="56">IF(C34="","",C34)</f>
        <v/>
      </c>
      <c r="DP34" s="392" t="str">
        <f t="shared" si="46"/>
        <v/>
      </c>
      <c r="DQ34" s="456" t="str">
        <f t="shared" ref="DQ34:DQ51" si="57">IF(C34="","",IF(J34="Santé Individuelle",CONCATENATE((IF(BH34=1,CONCATENATE("Étude Mutuelles 2019 pour ",F34," ",C34),IF(BH34=2,CONCATENATE("Étude Mutuelles 2019 pour Monsieur et Madame ",C34)))),(IF(BI34=0," [ Mathieu CEDELLE - ASSURE DIRECT ]",IF(BI34=1," + 1 Enfant [ Mathieu CEDELLE - ASSURE DIRECT ]",IF(BI34&gt;1,CONCATENATE(" + ",BI34," Enfants [ Mathieu CEDELLE - ASSURE DIRECT ]")))))),IF(J34="Prev. Pro",CONCATENATE((IF(BH34=1,CONCATENATE("Étude Prévoyance Pro 2019 pour ",F34," ",C34),IF(BH34=2,CONCATENATE("Étude Prévoyance Pro 2019 pour Monsieur et Madame ",C34)))),(IF(BI34=0," [ Mathieu CEDELLE - ASSURE DIRECT ]",IF(BI34=1," + 1 Enfant [ Mathieu CEDELLE - ASSURE DIRECT ]",IF(BI34&gt;1,CONCATENATE(" + ",BI34," Enfants [ Mathieu CEDELLE - ASSURE DIRECT ]")))))),CONCATENATE((IF(BH34=1,CONCATENATE("Étude Assurances 2019 pour ",F34," ",C34),IF(BH34=2,CONCATENATE("Étude Assurances 2019 pour Monsieur et Madame ",C34)))),(IF(BI34=0," [ Mathieu CEDELLE - ASSURE DIRECT ]",IF(BI34=1," + 1 Enfant [ Mathieu CEDELLE - ASSURE DIRECT ]",IF(BI34&gt;1,CONCATENATE(" + ",BI34," Enfants [ Mathieu CEDELLE - ASSURE DIRECT ]")))))))))</f>
        <v/>
      </c>
      <c r="DR34" s="456" t="str">
        <f t="shared" si="47"/>
        <v/>
      </c>
    </row>
    <row r="35" spans="1:122" x14ac:dyDescent="0.25">
      <c r="A35" s="599" t="str">
        <f t="shared" si="11"/>
        <v xml:space="preserve">  -  - </v>
      </c>
      <c r="B35" s="306"/>
      <c r="C35" s="305"/>
      <c r="D35" s="301"/>
      <c r="E35" s="276"/>
      <c r="F35" s="278"/>
      <c r="G35" s="311"/>
      <c r="H35" s="276"/>
      <c r="I35" s="313" t="str">
        <f t="shared" si="12"/>
        <v/>
      </c>
      <c r="J35" s="312"/>
      <c r="K35" s="268"/>
      <c r="L35" s="277"/>
      <c r="M35" s="279"/>
      <c r="N35" s="280"/>
      <c r="O35" s="280"/>
      <c r="P35" s="455"/>
      <c r="Q35" s="281" t="str">
        <f t="shared" si="13"/>
        <v/>
      </c>
      <c r="R35" s="282">
        <f t="shared" si="14"/>
        <v>0</v>
      </c>
      <c r="S35" s="268"/>
      <c r="T35" s="283">
        <f t="shared" si="48"/>
        <v>0</v>
      </c>
      <c r="U35" s="284">
        <f>IF(M35=0,0,IF(G35="Annulation","",IF(assurance="ALPTIS",M35*12*T35/100*'11801 Data'!$K$4,IF(assurance="APRIL",M35*12*T35/100*'11801 Data'!$F$4,IF(assurance="ASAF",M35*12*T35/100*'11801 Data'!$I$4,IF(assurance="NEOLIANE",('11801 Data'!$G$5+M35*12*'11801 Data'!$G$4)*T35/100,IF(assurance="NEOLIANE Prev",('11801 Data'!$H$5+M35*12*'11801 Data'!$H$4)*T35/100,IF(assurance="SWISSLIFE",M35*12*T35/100*'11801 Data'!$J$4,IF(assurance="AVIVA",M35*12*T35/100*'11801 Data'!$L$4,IF(assurance="CIPRES",M35*12*T35/100*'11801 Data'!$M$4,IF(assurance="CEGEMA",M35*12*T35/100*'11801 Data'!$N$4,IF(assurance=0,0))))))))))))</f>
        <v>0</v>
      </c>
      <c r="V35" s="298" t="str">
        <f t="shared" si="15"/>
        <v/>
      </c>
      <c r="W35" s="298" t="str">
        <f t="shared" si="16"/>
        <v/>
      </c>
      <c r="X35" s="299">
        <f t="shared" si="49"/>
        <v>0</v>
      </c>
      <c r="Y35" s="368">
        <f t="shared" si="50"/>
        <v>0</v>
      </c>
      <c r="Z35" s="314"/>
      <c r="AA35" s="313" t="str">
        <f t="shared" si="17"/>
        <v/>
      </c>
      <c r="AB35" s="268" t="s">
        <v>13</v>
      </c>
      <c r="AC35" s="277"/>
      <c r="AD35" s="309" t="str">
        <f t="shared" si="18"/>
        <v/>
      </c>
      <c r="AE35" s="286" t="str">
        <f t="shared" si="19"/>
        <v/>
      </c>
      <c r="AF35" s="277"/>
      <c r="AG35" s="275" t="str">
        <f t="shared" si="20"/>
        <v/>
      </c>
      <c r="AH35" s="287" t="str">
        <f t="shared" ca="1" si="21"/>
        <v/>
      </c>
      <c r="AI35" s="373" t="str">
        <f t="shared" ca="1" si="51"/>
        <v/>
      </c>
      <c r="AJ35" s="296" t="str">
        <f t="shared" si="22"/>
        <v/>
      </c>
      <c r="AK35" s="296" t="str">
        <f t="shared" si="23"/>
        <v/>
      </c>
      <c r="AL35" s="287" t="str">
        <f t="shared" si="24"/>
        <v/>
      </c>
      <c r="AM35" s="279">
        <f t="shared" si="25"/>
        <v>0</v>
      </c>
      <c r="AN35" s="279">
        <f t="shared" si="26"/>
        <v>0</v>
      </c>
      <c r="AO35" s="288">
        <f t="shared" si="27"/>
        <v>0</v>
      </c>
      <c r="AP35" s="279">
        <f t="shared" si="28"/>
        <v>0</v>
      </c>
      <c r="AQ35" s="288">
        <f t="shared" si="29"/>
        <v>0</v>
      </c>
      <c r="AR35" s="289">
        <f t="shared" si="30"/>
        <v>0</v>
      </c>
      <c r="AS35" s="279">
        <f t="shared" si="31"/>
        <v>0</v>
      </c>
      <c r="AT35" s="288">
        <f t="shared" si="32"/>
        <v>0</v>
      </c>
      <c r="AU35" s="289">
        <f t="shared" si="33"/>
        <v>0</v>
      </c>
      <c r="AV35" s="279">
        <f t="shared" si="34"/>
        <v>0</v>
      </c>
      <c r="AW35" s="288">
        <f t="shared" si="35"/>
        <v>0</v>
      </c>
      <c r="AX35" s="289">
        <f t="shared" si="36"/>
        <v>0</v>
      </c>
      <c r="AY35" s="268"/>
      <c r="AZ35" s="291"/>
      <c r="BA35" s="292"/>
      <c r="BB35" s="303"/>
      <c r="BC35" s="293"/>
      <c r="BD35" s="293"/>
      <c r="BE35" s="304"/>
      <c r="BF35" s="274"/>
      <c r="BG35" s="377"/>
      <c r="BH35" s="268">
        <v>1</v>
      </c>
      <c r="BI35" s="273">
        <v>0</v>
      </c>
      <c r="BJ35" s="276"/>
      <c r="BK35" s="294"/>
      <c r="BL35" s="269" t="str">
        <f t="shared" ca="1" si="37"/>
        <v/>
      </c>
      <c r="BM35" s="270"/>
      <c r="BN35" s="271"/>
      <c r="BO35" s="272" t="str">
        <f t="shared" ca="1" si="38"/>
        <v/>
      </c>
      <c r="BP35" s="270"/>
      <c r="BQ35" s="271"/>
      <c r="BR35" s="272" t="str">
        <f t="shared" ca="1" si="39"/>
        <v/>
      </c>
      <c r="BS35" s="270"/>
      <c r="BT35" s="271"/>
      <c r="BU35" s="272" t="str">
        <f t="shared" ca="1" si="40"/>
        <v/>
      </c>
      <c r="BV35" s="270"/>
      <c r="BW35" s="271"/>
      <c r="BX35" s="272" t="str">
        <f t="shared" ca="1" si="41"/>
        <v/>
      </c>
      <c r="BY35" s="270"/>
      <c r="BZ35" s="271"/>
      <c r="CA35" s="272" t="str">
        <f t="shared" ca="1" si="42"/>
        <v/>
      </c>
      <c r="CB35" s="270"/>
      <c r="CC35" s="271"/>
      <c r="CD35" s="272" t="str">
        <f t="shared" ca="1" si="43"/>
        <v/>
      </c>
      <c r="CE35" s="270"/>
      <c r="CF35" s="271"/>
      <c r="CG35" s="272" t="str">
        <f t="shared" ca="1" si="44"/>
        <v/>
      </c>
      <c r="CH35" s="270"/>
      <c r="CI35" s="271"/>
      <c r="CJ35" s="272" t="str">
        <f t="shared" ca="1" si="45"/>
        <v/>
      </c>
      <c r="CK35" s="262"/>
      <c r="CL35" s="264"/>
      <c r="CM35" s="264"/>
      <c r="CN35" s="264"/>
      <c r="CO35" s="264"/>
      <c r="CP35" s="264"/>
      <c r="CQ35" s="264"/>
      <c r="CR35" s="262"/>
      <c r="CS35" s="263"/>
      <c r="CT35" s="297" t="str">
        <f t="shared" si="52"/>
        <v/>
      </c>
      <c r="CU35" s="264"/>
      <c r="CV35" s="265"/>
      <c r="CW35" s="264"/>
      <c r="CX35" s="264"/>
      <c r="CY35" s="264" t="str">
        <f t="shared" si="53"/>
        <v/>
      </c>
      <c r="CZ35" s="264"/>
      <c r="DA35" s="264"/>
      <c r="DB35" s="266"/>
      <c r="DC35" s="264"/>
      <c r="DD35" s="264"/>
      <c r="DE35" s="266"/>
      <c r="DF35" s="266"/>
      <c r="DG35" s="264"/>
      <c r="DH35" s="266"/>
      <c r="DI35" s="266"/>
      <c r="DJ35" s="264"/>
      <c r="DK35" s="264"/>
      <c r="DL35" s="267"/>
      <c r="DM35" s="261">
        <f t="shared" si="54"/>
        <v>0</v>
      </c>
      <c r="DN35" s="295" t="str">
        <f t="shared" si="55"/>
        <v/>
      </c>
      <c r="DO35" s="392" t="str">
        <f t="shared" si="56"/>
        <v/>
      </c>
      <c r="DP35" s="392" t="str">
        <f t="shared" si="46"/>
        <v/>
      </c>
      <c r="DQ35" s="456" t="str">
        <f t="shared" si="57"/>
        <v/>
      </c>
      <c r="DR35" s="456" t="str">
        <f t="shared" si="47"/>
        <v/>
      </c>
    </row>
    <row r="36" spans="1:122" x14ac:dyDescent="0.25">
      <c r="A36" s="599" t="str">
        <f t="shared" si="11"/>
        <v xml:space="preserve">  -  - </v>
      </c>
      <c r="B36" s="306"/>
      <c r="C36" s="305"/>
      <c r="D36" s="301"/>
      <c r="E36" s="276"/>
      <c r="F36" s="278"/>
      <c r="G36" s="311"/>
      <c r="H36" s="276"/>
      <c r="I36" s="313" t="str">
        <f t="shared" si="12"/>
        <v/>
      </c>
      <c r="J36" s="312"/>
      <c r="K36" s="268"/>
      <c r="L36" s="277"/>
      <c r="M36" s="279"/>
      <c r="N36" s="280"/>
      <c r="O36" s="280"/>
      <c r="P36" s="455"/>
      <c r="Q36" s="281" t="str">
        <f t="shared" si="13"/>
        <v/>
      </c>
      <c r="R36" s="282">
        <f t="shared" si="14"/>
        <v>0</v>
      </c>
      <c r="S36" s="268"/>
      <c r="T36" s="283">
        <f t="shared" si="48"/>
        <v>0</v>
      </c>
      <c r="U36" s="284">
        <f>IF(M36=0,0,IF(G36="Annulation","",IF(assurance="ALPTIS",M36*12*T36/100*'11801 Data'!$K$4,IF(assurance="APRIL",M36*12*T36/100*'11801 Data'!$F$4,IF(assurance="ASAF",M36*12*T36/100*'11801 Data'!$I$4,IF(assurance="NEOLIANE",('11801 Data'!$G$5+M36*12*'11801 Data'!$G$4)*T36/100,IF(assurance="NEOLIANE Prev",('11801 Data'!$H$5+M36*12*'11801 Data'!$H$4)*T36/100,IF(assurance="SWISSLIFE",M36*12*T36/100*'11801 Data'!$J$4,IF(assurance="AVIVA",M36*12*T36/100*'11801 Data'!$L$4,IF(assurance="CIPRES",M36*12*T36/100*'11801 Data'!$M$4,IF(assurance="CEGEMA",M36*12*T36/100*'11801 Data'!$N$4,IF(assurance=0,0))))))))))))</f>
        <v>0</v>
      </c>
      <c r="V36" s="298" t="str">
        <f t="shared" si="15"/>
        <v/>
      </c>
      <c r="W36" s="298" t="str">
        <f t="shared" si="16"/>
        <v/>
      </c>
      <c r="X36" s="299">
        <f t="shared" si="49"/>
        <v>0</v>
      </c>
      <c r="Y36" s="368">
        <f t="shared" si="50"/>
        <v>0</v>
      </c>
      <c r="Z36" s="314"/>
      <c r="AA36" s="313" t="str">
        <f t="shared" si="17"/>
        <v/>
      </c>
      <c r="AB36" s="268" t="s">
        <v>13</v>
      </c>
      <c r="AC36" s="277"/>
      <c r="AD36" s="309" t="str">
        <f t="shared" si="18"/>
        <v/>
      </c>
      <c r="AE36" s="286" t="str">
        <f t="shared" si="19"/>
        <v/>
      </c>
      <c r="AF36" s="277"/>
      <c r="AG36" s="275" t="str">
        <f t="shared" si="20"/>
        <v/>
      </c>
      <c r="AH36" s="287" t="str">
        <f t="shared" ca="1" si="21"/>
        <v/>
      </c>
      <c r="AI36" s="373" t="str">
        <f t="shared" ca="1" si="51"/>
        <v/>
      </c>
      <c r="AJ36" s="296" t="str">
        <f t="shared" si="22"/>
        <v/>
      </c>
      <c r="AK36" s="296" t="str">
        <f t="shared" si="23"/>
        <v/>
      </c>
      <c r="AL36" s="287" t="str">
        <f t="shared" si="24"/>
        <v/>
      </c>
      <c r="AM36" s="279">
        <f t="shared" si="25"/>
        <v>0</v>
      </c>
      <c r="AN36" s="279">
        <f t="shared" si="26"/>
        <v>0</v>
      </c>
      <c r="AO36" s="288">
        <f t="shared" si="27"/>
        <v>0</v>
      </c>
      <c r="AP36" s="279">
        <f t="shared" si="28"/>
        <v>0</v>
      </c>
      <c r="AQ36" s="288">
        <f t="shared" si="29"/>
        <v>0</v>
      </c>
      <c r="AR36" s="289">
        <f t="shared" si="30"/>
        <v>0</v>
      </c>
      <c r="AS36" s="279">
        <f t="shared" si="31"/>
        <v>0</v>
      </c>
      <c r="AT36" s="288">
        <f t="shared" si="32"/>
        <v>0</v>
      </c>
      <c r="AU36" s="289">
        <f t="shared" si="33"/>
        <v>0</v>
      </c>
      <c r="AV36" s="279">
        <f t="shared" si="34"/>
        <v>0</v>
      </c>
      <c r="AW36" s="288">
        <f t="shared" si="35"/>
        <v>0</v>
      </c>
      <c r="AX36" s="289">
        <f t="shared" si="36"/>
        <v>0</v>
      </c>
      <c r="AY36" s="268"/>
      <c r="AZ36" s="291"/>
      <c r="BA36" s="292"/>
      <c r="BB36" s="303"/>
      <c r="BC36" s="293"/>
      <c r="BD36" s="293"/>
      <c r="BE36" s="304"/>
      <c r="BF36" s="274"/>
      <c r="BG36" s="377"/>
      <c r="BH36" s="268">
        <v>1</v>
      </c>
      <c r="BI36" s="273">
        <v>0</v>
      </c>
      <c r="BJ36" s="276"/>
      <c r="BK36" s="294"/>
      <c r="BL36" s="269" t="str">
        <f t="shared" ca="1" si="37"/>
        <v/>
      </c>
      <c r="BM36" s="270"/>
      <c r="BN36" s="271"/>
      <c r="BO36" s="272" t="str">
        <f t="shared" ca="1" si="38"/>
        <v/>
      </c>
      <c r="BP36" s="270"/>
      <c r="BQ36" s="271"/>
      <c r="BR36" s="272" t="str">
        <f t="shared" ca="1" si="39"/>
        <v/>
      </c>
      <c r="BS36" s="270"/>
      <c r="BT36" s="271"/>
      <c r="BU36" s="272" t="str">
        <f t="shared" ca="1" si="40"/>
        <v/>
      </c>
      <c r="BV36" s="270"/>
      <c r="BW36" s="271"/>
      <c r="BX36" s="272" t="str">
        <f t="shared" ca="1" si="41"/>
        <v/>
      </c>
      <c r="BY36" s="270"/>
      <c r="BZ36" s="271"/>
      <c r="CA36" s="272" t="str">
        <f t="shared" ca="1" si="42"/>
        <v/>
      </c>
      <c r="CB36" s="270"/>
      <c r="CC36" s="271"/>
      <c r="CD36" s="272" t="str">
        <f t="shared" ca="1" si="43"/>
        <v/>
      </c>
      <c r="CE36" s="270"/>
      <c r="CF36" s="271"/>
      <c r="CG36" s="272" t="str">
        <f t="shared" ca="1" si="44"/>
        <v/>
      </c>
      <c r="CH36" s="270"/>
      <c r="CI36" s="271"/>
      <c r="CJ36" s="272" t="str">
        <f t="shared" ca="1" si="45"/>
        <v/>
      </c>
      <c r="CK36" s="262"/>
      <c r="CL36" s="264"/>
      <c r="CM36" s="264"/>
      <c r="CN36" s="264"/>
      <c r="CO36" s="264"/>
      <c r="CP36" s="264"/>
      <c r="CQ36" s="264"/>
      <c r="CR36" s="262"/>
      <c r="CS36" s="263"/>
      <c r="CT36" s="297" t="str">
        <f t="shared" si="52"/>
        <v/>
      </c>
      <c r="CU36" s="264"/>
      <c r="CV36" s="265"/>
      <c r="CW36" s="264"/>
      <c r="CX36" s="264"/>
      <c r="CY36" s="264" t="str">
        <f t="shared" si="53"/>
        <v/>
      </c>
      <c r="CZ36" s="264"/>
      <c r="DA36" s="264"/>
      <c r="DB36" s="266"/>
      <c r="DC36" s="264"/>
      <c r="DD36" s="264"/>
      <c r="DE36" s="266"/>
      <c r="DF36" s="266"/>
      <c r="DG36" s="264"/>
      <c r="DH36" s="266"/>
      <c r="DI36" s="266"/>
      <c r="DJ36" s="264"/>
      <c r="DK36" s="264"/>
      <c r="DL36" s="267"/>
      <c r="DM36" s="261">
        <f t="shared" si="54"/>
        <v>0</v>
      </c>
      <c r="DN36" s="295" t="str">
        <f t="shared" si="55"/>
        <v/>
      </c>
      <c r="DO36" s="392" t="str">
        <f t="shared" si="56"/>
        <v/>
      </c>
      <c r="DP36" s="392" t="str">
        <f t="shared" si="46"/>
        <v/>
      </c>
      <c r="DQ36" s="456" t="str">
        <f t="shared" si="57"/>
        <v/>
      </c>
      <c r="DR36" s="456" t="str">
        <f t="shared" si="47"/>
        <v/>
      </c>
    </row>
    <row r="37" spans="1:122" x14ac:dyDescent="0.25">
      <c r="A37" s="599" t="str">
        <f t="shared" si="11"/>
        <v xml:space="preserve">  -  - </v>
      </c>
      <c r="B37" s="306"/>
      <c r="C37" s="305"/>
      <c r="D37" s="301"/>
      <c r="E37" s="276"/>
      <c r="F37" s="278"/>
      <c r="G37" s="311"/>
      <c r="H37" s="276"/>
      <c r="I37" s="313" t="str">
        <f t="shared" si="12"/>
        <v/>
      </c>
      <c r="J37" s="312"/>
      <c r="K37" s="268"/>
      <c r="L37" s="277"/>
      <c r="M37" s="279"/>
      <c r="N37" s="280"/>
      <c r="O37" s="280"/>
      <c r="P37" s="455"/>
      <c r="Q37" s="281" t="str">
        <f t="shared" si="13"/>
        <v/>
      </c>
      <c r="R37" s="282">
        <f t="shared" si="14"/>
        <v>0</v>
      </c>
      <c r="S37" s="268"/>
      <c r="T37" s="283">
        <f t="shared" si="48"/>
        <v>0</v>
      </c>
      <c r="U37" s="284">
        <f>IF(M37=0,0,IF(G37="Annulation","",IF(assurance="ALPTIS",M37*12*T37/100*'11801 Data'!$K$4,IF(assurance="APRIL",M37*12*T37/100*'11801 Data'!$F$4,IF(assurance="ASAF",M37*12*T37/100*'11801 Data'!$I$4,IF(assurance="NEOLIANE",('11801 Data'!$G$5+M37*12*'11801 Data'!$G$4)*T37/100,IF(assurance="NEOLIANE Prev",('11801 Data'!$H$5+M37*12*'11801 Data'!$H$4)*T37/100,IF(assurance="SWISSLIFE",M37*12*T37/100*'11801 Data'!$J$4,IF(assurance="AVIVA",M37*12*T37/100*'11801 Data'!$L$4,IF(assurance="CIPRES",M37*12*T37/100*'11801 Data'!$M$4,IF(assurance="CEGEMA",M37*12*T37/100*'11801 Data'!$N$4,IF(assurance=0,0))))))))))))</f>
        <v>0</v>
      </c>
      <c r="V37" s="298" t="str">
        <f t="shared" si="15"/>
        <v/>
      </c>
      <c r="W37" s="298" t="str">
        <f t="shared" si="16"/>
        <v/>
      </c>
      <c r="X37" s="299">
        <f t="shared" si="49"/>
        <v>0</v>
      </c>
      <c r="Y37" s="368">
        <f t="shared" si="50"/>
        <v>0</v>
      </c>
      <c r="Z37" s="314"/>
      <c r="AA37" s="313" t="str">
        <f t="shared" si="17"/>
        <v/>
      </c>
      <c r="AB37" s="268" t="s">
        <v>13</v>
      </c>
      <c r="AC37" s="277"/>
      <c r="AD37" s="309" t="str">
        <f t="shared" si="18"/>
        <v/>
      </c>
      <c r="AE37" s="286" t="str">
        <f t="shared" si="19"/>
        <v/>
      </c>
      <c r="AF37" s="277"/>
      <c r="AG37" s="275" t="str">
        <f t="shared" si="20"/>
        <v/>
      </c>
      <c r="AH37" s="287" t="str">
        <f t="shared" ca="1" si="21"/>
        <v/>
      </c>
      <c r="AI37" s="373" t="str">
        <f t="shared" ca="1" si="51"/>
        <v/>
      </c>
      <c r="AJ37" s="296" t="str">
        <f t="shared" si="22"/>
        <v/>
      </c>
      <c r="AK37" s="296" t="str">
        <f t="shared" si="23"/>
        <v/>
      </c>
      <c r="AL37" s="287" t="str">
        <f t="shared" si="24"/>
        <v/>
      </c>
      <c r="AM37" s="279">
        <f t="shared" si="25"/>
        <v>0</v>
      </c>
      <c r="AN37" s="279">
        <f t="shared" si="26"/>
        <v>0</v>
      </c>
      <c r="AO37" s="288">
        <f t="shared" si="27"/>
        <v>0</v>
      </c>
      <c r="AP37" s="279">
        <f t="shared" si="28"/>
        <v>0</v>
      </c>
      <c r="AQ37" s="288">
        <f t="shared" si="29"/>
        <v>0</v>
      </c>
      <c r="AR37" s="289">
        <f t="shared" si="30"/>
        <v>0</v>
      </c>
      <c r="AS37" s="279">
        <f t="shared" si="31"/>
        <v>0</v>
      </c>
      <c r="AT37" s="288">
        <f t="shared" si="32"/>
        <v>0</v>
      </c>
      <c r="AU37" s="289">
        <f t="shared" si="33"/>
        <v>0</v>
      </c>
      <c r="AV37" s="279">
        <f t="shared" si="34"/>
        <v>0</v>
      </c>
      <c r="AW37" s="288">
        <f t="shared" si="35"/>
        <v>0</v>
      </c>
      <c r="AX37" s="289">
        <f t="shared" si="36"/>
        <v>0</v>
      </c>
      <c r="AY37" s="268"/>
      <c r="AZ37" s="291"/>
      <c r="BA37" s="292"/>
      <c r="BB37" s="303"/>
      <c r="BC37" s="293"/>
      <c r="BD37" s="293"/>
      <c r="BE37" s="304"/>
      <c r="BF37" s="274"/>
      <c r="BG37" s="377"/>
      <c r="BH37" s="268">
        <v>1</v>
      </c>
      <c r="BI37" s="273">
        <v>0</v>
      </c>
      <c r="BJ37" s="276"/>
      <c r="BK37" s="294"/>
      <c r="BL37" s="269" t="str">
        <f t="shared" ca="1" si="37"/>
        <v/>
      </c>
      <c r="BM37" s="270"/>
      <c r="BN37" s="271"/>
      <c r="BO37" s="272" t="str">
        <f t="shared" ca="1" si="38"/>
        <v/>
      </c>
      <c r="BP37" s="270"/>
      <c r="BQ37" s="271"/>
      <c r="BR37" s="272" t="str">
        <f t="shared" ca="1" si="39"/>
        <v/>
      </c>
      <c r="BS37" s="270"/>
      <c r="BT37" s="271"/>
      <c r="BU37" s="272" t="str">
        <f t="shared" ca="1" si="40"/>
        <v/>
      </c>
      <c r="BV37" s="270"/>
      <c r="BW37" s="271"/>
      <c r="BX37" s="272" t="str">
        <f t="shared" ca="1" si="41"/>
        <v/>
      </c>
      <c r="BY37" s="270"/>
      <c r="BZ37" s="271"/>
      <c r="CA37" s="272" t="str">
        <f t="shared" ca="1" si="42"/>
        <v/>
      </c>
      <c r="CB37" s="270"/>
      <c r="CC37" s="271"/>
      <c r="CD37" s="272" t="str">
        <f t="shared" ca="1" si="43"/>
        <v/>
      </c>
      <c r="CE37" s="270"/>
      <c r="CF37" s="271"/>
      <c r="CG37" s="272" t="str">
        <f t="shared" ca="1" si="44"/>
        <v/>
      </c>
      <c r="CH37" s="270"/>
      <c r="CI37" s="271"/>
      <c r="CJ37" s="272" t="str">
        <f t="shared" ca="1" si="45"/>
        <v/>
      </c>
      <c r="CK37" s="262"/>
      <c r="CL37" s="264"/>
      <c r="CM37" s="264"/>
      <c r="CN37" s="264"/>
      <c r="CO37" s="264"/>
      <c r="CP37" s="264"/>
      <c r="CQ37" s="264"/>
      <c r="CR37" s="262"/>
      <c r="CS37" s="263"/>
      <c r="CT37" s="297" t="str">
        <f t="shared" si="52"/>
        <v/>
      </c>
      <c r="CU37" s="264"/>
      <c r="CV37" s="265"/>
      <c r="CW37" s="264"/>
      <c r="CX37" s="264"/>
      <c r="CY37" s="264" t="str">
        <f t="shared" si="53"/>
        <v/>
      </c>
      <c r="CZ37" s="264"/>
      <c r="DA37" s="264"/>
      <c r="DB37" s="266"/>
      <c r="DC37" s="264"/>
      <c r="DD37" s="264"/>
      <c r="DE37" s="266"/>
      <c r="DF37" s="266"/>
      <c r="DG37" s="264"/>
      <c r="DH37" s="266"/>
      <c r="DI37" s="266"/>
      <c r="DJ37" s="264"/>
      <c r="DK37" s="264"/>
      <c r="DL37" s="267"/>
      <c r="DM37" s="261">
        <f t="shared" si="54"/>
        <v>0</v>
      </c>
      <c r="DN37" s="295" t="str">
        <f t="shared" si="55"/>
        <v/>
      </c>
      <c r="DO37" s="392" t="str">
        <f t="shared" si="56"/>
        <v/>
      </c>
      <c r="DP37" s="392" t="str">
        <f t="shared" si="46"/>
        <v/>
      </c>
      <c r="DQ37" s="456" t="str">
        <f t="shared" si="57"/>
        <v/>
      </c>
      <c r="DR37" s="456" t="str">
        <f t="shared" si="47"/>
        <v/>
      </c>
    </row>
    <row r="38" spans="1:122" x14ac:dyDescent="0.25">
      <c r="A38" s="599" t="str">
        <f t="shared" si="11"/>
        <v xml:space="preserve">  -  - </v>
      </c>
      <c r="B38" s="306"/>
      <c r="C38" s="305"/>
      <c r="D38" s="301"/>
      <c r="E38" s="276"/>
      <c r="F38" s="278"/>
      <c r="G38" s="311"/>
      <c r="H38" s="276"/>
      <c r="I38" s="313" t="str">
        <f t="shared" si="12"/>
        <v/>
      </c>
      <c r="J38" s="312"/>
      <c r="K38" s="268"/>
      <c r="L38" s="277"/>
      <c r="M38" s="279"/>
      <c r="N38" s="280"/>
      <c r="O38" s="280"/>
      <c r="P38" s="455"/>
      <c r="Q38" s="281" t="str">
        <f t="shared" si="13"/>
        <v/>
      </c>
      <c r="R38" s="282">
        <f t="shared" si="14"/>
        <v>0</v>
      </c>
      <c r="S38" s="268"/>
      <c r="T38" s="283">
        <f t="shared" si="48"/>
        <v>0</v>
      </c>
      <c r="U38" s="284">
        <f>IF(M38=0,0,IF(G38="Annulation","",IF(assurance="ALPTIS",M38*12*T38/100*'11801 Data'!$K$4,IF(assurance="APRIL",M38*12*T38/100*'11801 Data'!$F$4,IF(assurance="ASAF",M38*12*T38/100*'11801 Data'!$I$4,IF(assurance="NEOLIANE",('11801 Data'!$G$5+M38*12*'11801 Data'!$G$4)*T38/100,IF(assurance="NEOLIANE Prev",('11801 Data'!$H$5+M38*12*'11801 Data'!$H$4)*T38/100,IF(assurance="SWISSLIFE",M38*12*T38/100*'11801 Data'!$J$4,IF(assurance="AVIVA",M38*12*T38/100*'11801 Data'!$L$4,IF(assurance="CIPRES",M38*12*T38/100*'11801 Data'!$M$4,IF(assurance="CEGEMA",M38*12*T38/100*'11801 Data'!$N$4,IF(assurance=0,0))))))))))))</f>
        <v>0</v>
      </c>
      <c r="V38" s="298" t="str">
        <f t="shared" si="15"/>
        <v/>
      </c>
      <c r="W38" s="298" t="str">
        <f t="shared" si="16"/>
        <v/>
      </c>
      <c r="X38" s="299">
        <f t="shared" si="49"/>
        <v>0</v>
      </c>
      <c r="Y38" s="368">
        <f t="shared" si="50"/>
        <v>0</v>
      </c>
      <c r="Z38" s="314"/>
      <c r="AA38" s="313" t="str">
        <f t="shared" si="17"/>
        <v/>
      </c>
      <c r="AB38" s="268" t="s">
        <v>13</v>
      </c>
      <c r="AC38" s="277"/>
      <c r="AD38" s="309" t="str">
        <f t="shared" si="18"/>
        <v/>
      </c>
      <c r="AE38" s="286" t="str">
        <f t="shared" si="19"/>
        <v/>
      </c>
      <c r="AF38" s="277"/>
      <c r="AG38" s="275" t="str">
        <f t="shared" si="20"/>
        <v/>
      </c>
      <c r="AH38" s="287" t="str">
        <f t="shared" ca="1" si="21"/>
        <v/>
      </c>
      <c r="AI38" s="373" t="str">
        <f t="shared" ca="1" si="51"/>
        <v/>
      </c>
      <c r="AJ38" s="296" t="str">
        <f t="shared" si="22"/>
        <v/>
      </c>
      <c r="AK38" s="296" t="str">
        <f t="shared" si="23"/>
        <v/>
      </c>
      <c r="AL38" s="287" t="str">
        <f t="shared" si="24"/>
        <v/>
      </c>
      <c r="AM38" s="279">
        <f t="shared" si="25"/>
        <v>0</v>
      </c>
      <c r="AN38" s="279">
        <f t="shared" si="26"/>
        <v>0</v>
      </c>
      <c r="AO38" s="288">
        <f t="shared" si="27"/>
        <v>0</v>
      </c>
      <c r="AP38" s="279">
        <f t="shared" si="28"/>
        <v>0</v>
      </c>
      <c r="AQ38" s="288">
        <f t="shared" si="29"/>
        <v>0</v>
      </c>
      <c r="AR38" s="289">
        <f t="shared" si="30"/>
        <v>0</v>
      </c>
      <c r="AS38" s="279">
        <f t="shared" si="31"/>
        <v>0</v>
      </c>
      <c r="AT38" s="288">
        <f t="shared" si="32"/>
        <v>0</v>
      </c>
      <c r="AU38" s="289">
        <f t="shared" si="33"/>
        <v>0</v>
      </c>
      <c r="AV38" s="279">
        <f t="shared" si="34"/>
        <v>0</v>
      </c>
      <c r="AW38" s="288">
        <f t="shared" si="35"/>
        <v>0</v>
      </c>
      <c r="AX38" s="289">
        <f t="shared" si="36"/>
        <v>0</v>
      </c>
      <c r="AY38" s="268"/>
      <c r="AZ38" s="291"/>
      <c r="BA38" s="292"/>
      <c r="BB38" s="303"/>
      <c r="BC38" s="293"/>
      <c r="BD38" s="293"/>
      <c r="BE38" s="304"/>
      <c r="BF38" s="274"/>
      <c r="BG38" s="377"/>
      <c r="BH38" s="268">
        <v>1</v>
      </c>
      <c r="BI38" s="273">
        <v>0</v>
      </c>
      <c r="BJ38" s="276"/>
      <c r="BK38" s="294"/>
      <c r="BL38" s="269" t="str">
        <f t="shared" ca="1" si="37"/>
        <v/>
      </c>
      <c r="BM38" s="270"/>
      <c r="BN38" s="271"/>
      <c r="BO38" s="272" t="str">
        <f t="shared" ca="1" si="38"/>
        <v/>
      </c>
      <c r="BP38" s="270"/>
      <c r="BQ38" s="271"/>
      <c r="BR38" s="272" t="str">
        <f t="shared" ca="1" si="39"/>
        <v/>
      </c>
      <c r="BS38" s="270"/>
      <c r="BT38" s="271"/>
      <c r="BU38" s="272" t="str">
        <f t="shared" ca="1" si="40"/>
        <v/>
      </c>
      <c r="BV38" s="270"/>
      <c r="BW38" s="271"/>
      <c r="BX38" s="272" t="str">
        <f t="shared" ca="1" si="41"/>
        <v/>
      </c>
      <c r="BY38" s="270"/>
      <c r="BZ38" s="271"/>
      <c r="CA38" s="272" t="str">
        <f t="shared" ca="1" si="42"/>
        <v/>
      </c>
      <c r="CB38" s="270"/>
      <c r="CC38" s="271"/>
      <c r="CD38" s="272" t="str">
        <f t="shared" ca="1" si="43"/>
        <v/>
      </c>
      <c r="CE38" s="270"/>
      <c r="CF38" s="271"/>
      <c r="CG38" s="272" t="str">
        <f t="shared" ca="1" si="44"/>
        <v/>
      </c>
      <c r="CH38" s="270"/>
      <c r="CI38" s="271"/>
      <c r="CJ38" s="272" t="str">
        <f t="shared" ca="1" si="45"/>
        <v/>
      </c>
      <c r="CK38" s="262"/>
      <c r="CL38" s="264"/>
      <c r="CM38" s="264"/>
      <c r="CN38" s="264"/>
      <c r="CO38" s="264"/>
      <c r="CP38" s="264"/>
      <c r="CQ38" s="264"/>
      <c r="CR38" s="262"/>
      <c r="CS38" s="263"/>
      <c r="CT38" s="297" t="str">
        <f t="shared" si="52"/>
        <v/>
      </c>
      <c r="CU38" s="264"/>
      <c r="CV38" s="265"/>
      <c r="CW38" s="264"/>
      <c r="CX38" s="264"/>
      <c r="CY38" s="264" t="str">
        <f t="shared" si="53"/>
        <v/>
      </c>
      <c r="CZ38" s="264"/>
      <c r="DA38" s="264"/>
      <c r="DB38" s="266"/>
      <c r="DC38" s="264"/>
      <c r="DD38" s="264"/>
      <c r="DE38" s="266"/>
      <c r="DF38" s="266"/>
      <c r="DG38" s="264"/>
      <c r="DH38" s="266"/>
      <c r="DI38" s="266"/>
      <c r="DJ38" s="264"/>
      <c r="DK38" s="264"/>
      <c r="DL38" s="267"/>
      <c r="DM38" s="261">
        <f t="shared" si="54"/>
        <v>0</v>
      </c>
      <c r="DN38" s="295" t="str">
        <f t="shared" si="55"/>
        <v/>
      </c>
      <c r="DO38" s="392" t="str">
        <f t="shared" si="56"/>
        <v/>
      </c>
      <c r="DP38" s="392" t="str">
        <f t="shared" si="46"/>
        <v/>
      </c>
      <c r="DQ38" s="456" t="str">
        <f t="shared" si="57"/>
        <v/>
      </c>
      <c r="DR38" s="456" t="str">
        <f t="shared" si="47"/>
        <v/>
      </c>
    </row>
    <row r="39" spans="1:122" x14ac:dyDescent="0.25">
      <c r="A39" s="599" t="str">
        <f t="shared" si="11"/>
        <v xml:space="preserve">  -  - </v>
      </c>
      <c r="B39" s="306"/>
      <c r="C39" s="305"/>
      <c r="D39" s="301"/>
      <c r="E39" s="276"/>
      <c r="F39" s="278"/>
      <c r="G39" s="311"/>
      <c r="H39" s="276"/>
      <c r="I39" s="313" t="str">
        <f t="shared" si="12"/>
        <v/>
      </c>
      <c r="J39" s="312"/>
      <c r="K39" s="268"/>
      <c r="L39" s="277"/>
      <c r="M39" s="279"/>
      <c r="N39" s="280"/>
      <c r="O39" s="280"/>
      <c r="P39" s="455"/>
      <c r="Q39" s="281" t="str">
        <f t="shared" si="13"/>
        <v/>
      </c>
      <c r="R39" s="282">
        <f t="shared" si="14"/>
        <v>0</v>
      </c>
      <c r="S39" s="268"/>
      <c r="T39" s="283">
        <f t="shared" si="48"/>
        <v>0</v>
      </c>
      <c r="U39" s="284">
        <f>IF(M39=0,0,IF(G39="Annulation","",IF(assurance="ALPTIS",M39*12*T39/100*'11801 Data'!$K$4,IF(assurance="APRIL",M39*12*T39/100*'11801 Data'!$F$4,IF(assurance="ASAF",M39*12*T39/100*'11801 Data'!$I$4,IF(assurance="NEOLIANE",('11801 Data'!$G$5+M39*12*'11801 Data'!$G$4)*T39/100,IF(assurance="NEOLIANE Prev",('11801 Data'!$H$5+M39*12*'11801 Data'!$H$4)*T39/100,IF(assurance="SWISSLIFE",M39*12*T39/100*'11801 Data'!$J$4,IF(assurance="AVIVA",M39*12*T39/100*'11801 Data'!$L$4,IF(assurance="CIPRES",M39*12*T39/100*'11801 Data'!$M$4,IF(assurance="CEGEMA",M39*12*T39/100*'11801 Data'!$N$4,IF(assurance=0,0))))))))))))</f>
        <v>0</v>
      </c>
      <c r="V39" s="298" t="str">
        <f t="shared" si="15"/>
        <v/>
      </c>
      <c r="W39" s="298" t="str">
        <f t="shared" si="16"/>
        <v/>
      </c>
      <c r="X39" s="299">
        <f t="shared" si="49"/>
        <v>0</v>
      </c>
      <c r="Y39" s="368">
        <f t="shared" si="50"/>
        <v>0</v>
      </c>
      <c r="Z39" s="314"/>
      <c r="AA39" s="313" t="str">
        <f t="shared" si="17"/>
        <v/>
      </c>
      <c r="AB39" s="268" t="s">
        <v>13</v>
      </c>
      <c r="AC39" s="277"/>
      <c r="AD39" s="309" t="str">
        <f t="shared" si="18"/>
        <v/>
      </c>
      <c r="AE39" s="286" t="str">
        <f t="shared" si="19"/>
        <v/>
      </c>
      <c r="AF39" s="277"/>
      <c r="AG39" s="275" t="str">
        <f t="shared" si="20"/>
        <v/>
      </c>
      <c r="AH39" s="287" t="str">
        <f t="shared" ca="1" si="21"/>
        <v/>
      </c>
      <c r="AI39" s="373" t="str">
        <f t="shared" ca="1" si="51"/>
        <v/>
      </c>
      <c r="AJ39" s="296" t="str">
        <f t="shared" si="22"/>
        <v/>
      </c>
      <c r="AK39" s="296" t="str">
        <f t="shared" si="23"/>
        <v/>
      </c>
      <c r="AL39" s="287" t="str">
        <f t="shared" si="24"/>
        <v/>
      </c>
      <c r="AM39" s="279">
        <f t="shared" si="25"/>
        <v>0</v>
      </c>
      <c r="AN39" s="279">
        <f t="shared" si="26"/>
        <v>0</v>
      </c>
      <c r="AO39" s="288">
        <f t="shared" si="27"/>
        <v>0</v>
      </c>
      <c r="AP39" s="279">
        <f t="shared" si="28"/>
        <v>0</v>
      </c>
      <c r="AQ39" s="288">
        <f t="shared" si="29"/>
        <v>0</v>
      </c>
      <c r="AR39" s="289">
        <f t="shared" si="30"/>
        <v>0</v>
      </c>
      <c r="AS39" s="279">
        <f t="shared" si="31"/>
        <v>0</v>
      </c>
      <c r="AT39" s="288">
        <f t="shared" si="32"/>
        <v>0</v>
      </c>
      <c r="AU39" s="289">
        <f t="shared" si="33"/>
        <v>0</v>
      </c>
      <c r="AV39" s="279">
        <f t="shared" si="34"/>
        <v>0</v>
      </c>
      <c r="AW39" s="288">
        <f t="shared" si="35"/>
        <v>0</v>
      </c>
      <c r="AX39" s="289">
        <f t="shared" si="36"/>
        <v>0</v>
      </c>
      <c r="AY39" s="268"/>
      <c r="AZ39" s="291"/>
      <c r="BA39" s="292"/>
      <c r="BB39" s="303"/>
      <c r="BC39" s="293"/>
      <c r="BD39" s="293"/>
      <c r="BE39" s="304"/>
      <c r="BF39" s="274"/>
      <c r="BG39" s="377"/>
      <c r="BH39" s="268">
        <v>1</v>
      </c>
      <c r="BI39" s="273">
        <v>0</v>
      </c>
      <c r="BJ39" s="276"/>
      <c r="BK39" s="294"/>
      <c r="BL39" s="269" t="str">
        <f t="shared" ca="1" si="37"/>
        <v/>
      </c>
      <c r="BM39" s="270"/>
      <c r="BN39" s="271"/>
      <c r="BO39" s="272" t="str">
        <f t="shared" ca="1" si="38"/>
        <v/>
      </c>
      <c r="BP39" s="270"/>
      <c r="BQ39" s="271"/>
      <c r="BR39" s="272" t="str">
        <f t="shared" ca="1" si="39"/>
        <v/>
      </c>
      <c r="BS39" s="270"/>
      <c r="BT39" s="271"/>
      <c r="BU39" s="272" t="str">
        <f t="shared" ca="1" si="40"/>
        <v/>
      </c>
      <c r="BV39" s="270"/>
      <c r="BW39" s="271"/>
      <c r="BX39" s="272" t="str">
        <f t="shared" ca="1" si="41"/>
        <v/>
      </c>
      <c r="BY39" s="270"/>
      <c r="BZ39" s="271"/>
      <c r="CA39" s="272" t="str">
        <f t="shared" ca="1" si="42"/>
        <v/>
      </c>
      <c r="CB39" s="270"/>
      <c r="CC39" s="271"/>
      <c r="CD39" s="272" t="str">
        <f t="shared" ca="1" si="43"/>
        <v/>
      </c>
      <c r="CE39" s="270"/>
      <c r="CF39" s="271"/>
      <c r="CG39" s="272" t="str">
        <f t="shared" ca="1" si="44"/>
        <v/>
      </c>
      <c r="CH39" s="270"/>
      <c r="CI39" s="271"/>
      <c r="CJ39" s="272" t="str">
        <f t="shared" ca="1" si="45"/>
        <v/>
      </c>
      <c r="CK39" s="262"/>
      <c r="CL39" s="264"/>
      <c r="CM39" s="264"/>
      <c r="CN39" s="264"/>
      <c r="CO39" s="264"/>
      <c r="CP39" s="264"/>
      <c r="CQ39" s="264"/>
      <c r="CR39" s="262"/>
      <c r="CS39" s="263"/>
      <c r="CT39" s="297" t="str">
        <f t="shared" si="52"/>
        <v/>
      </c>
      <c r="CU39" s="264"/>
      <c r="CV39" s="265"/>
      <c r="CW39" s="264"/>
      <c r="CX39" s="264"/>
      <c r="CY39" s="264" t="str">
        <f t="shared" si="53"/>
        <v/>
      </c>
      <c r="CZ39" s="264"/>
      <c r="DA39" s="264"/>
      <c r="DB39" s="266"/>
      <c r="DC39" s="264"/>
      <c r="DD39" s="264"/>
      <c r="DE39" s="266"/>
      <c r="DF39" s="266"/>
      <c r="DG39" s="264"/>
      <c r="DH39" s="266"/>
      <c r="DI39" s="266"/>
      <c r="DJ39" s="264"/>
      <c r="DK39" s="264"/>
      <c r="DL39" s="267"/>
      <c r="DM39" s="261">
        <f t="shared" si="54"/>
        <v>0</v>
      </c>
      <c r="DN39" s="295" t="str">
        <f t="shared" si="55"/>
        <v/>
      </c>
      <c r="DO39" s="392" t="str">
        <f t="shared" si="56"/>
        <v/>
      </c>
      <c r="DP39" s="392" t="str">
        <f t="shared" si="46"/>
        <v/>
      </c>
      <c r="DQ39" s="456" t="str">
        <f t="shared" si="57"/>
        <v/>
      </c>
      <c r="DR39" s="456" t="str">
        <f t="shared" si="47"/>
        <v/>
      </c>
    </row>
    <row r="40" spans="1:122" x14ac:dyDescent="0.25">
      <c r="A40" s="599" t="str">
        <f t="shared" si="11"/>
        <v xml:space="preserve">  -  - </v>
      </c>
      <c r="B40" s="306"/>
      <c r="C40" s="305"/>
      <c r="D40" s="301"/>
      <c r="E40" s="276"/>
      <c r="F40" s="278"/>
      <c r="G40" s="311"/>
      <c r="H40" s="276"/>
      <c r="I40" s="313" t="str">
        <f t="shared" si="12"/>
        <v/>
      </c>
      <c r="J40" s="312"/>
      <c r="K40" s="268"/>
      <c r="L40" s="277"/>
      <c r="M40" s="279"/>
      <c r="N40" s="280"/>
      <c r="O40" s="280"/>
      <c r="P40" s="455"/>
      <c r="Q40" s="281" t="str">
        <f t="shared" si="13"/>
        <v/>
      </c>
      <c r="R40" s="282">
        <f t="shared" si="14"/>
        <v>0</v>
      </c>
      <c r="S40" s="268"/>
      <c r="T40" s="283">
        <f t="shared" si="48"/>
        <v>0</v>
      </c>
      <c r="U40" s="284">
        <f>IF(M40=0,0,IF(G40="Annulation","",IF(assurance="ALPTIS",M40*12*T40/100*'11801 Data'!$K$4,IF(assurance="APRIL",M40*12*T40/100*'11801 Data'!$F$4,IF(assurance="ASAF",M40*12*T40/100*'11801 Data'!$I$4,IF(assurance="NEOLIANE",('11801 Data'!$G$5+M40*12*'11801 Data'!$G$4)*T40/100,IF(assurance="NEOLIANE Prev",('11801 Data'!$H$5+M40*12*'11801 Data'!$H$4)*T40/100,IF(assurance="SWISSLIFE",M40*12*T40/100*'11801 Data'!$J$4,IF(assurance="AVIVA",M40*12*T40/100*'11801 Data'!$L$4,IF(assurance="CIPRES",M40*12*T40/100*'11801 Data'!$M$4,IF(assurance="CEGEMA",M40*12*T40/100*'11801 Data'!$N$4,IF(assurance=0,0))))))))))))</f>
        <v>0</v>
      </c>
      <c r="V40" s="298" t="str">
        <f t="shared" si="15"/>
        <v/>
      </c>
      <c r="W40" s="298" t="str">
        <f t="shared" si="16"/>
        <v/>
      </c>
      <c r="X40" s="299">
        <f t="shared" si="49"/>
        <v>0</v>
      </c>
      <c r="Y40" s="368">
        <f t="shared" si="50"/>
        <v>0</v>
      </c>
      <c r="Z40" s="314"/>
      <c r="AA40" s="313" t="str">
        <f t="shared" si="17"/>
        <v/>
      </c>
      <c r="AB40" s="268" t="s">
        <v>13</v>
      </c>
      <c r="AC40" s="277"/>
      <c r="AD40" s="309" t="str">
        <f t="shared" si="18"/>
        <v/>
      </c>
      <c r="AE40" s="286" t="str">
        <f t="shared" si="19"/>
        <v/>
      </c>
      <c r="AF40" s="277"/>
      <c r="AG40" s="275" t="str">
        <f t="shared" si="20"/>
        <v/>
      </c>
      <c r="AH40" s="287" t="str">
        <f t="shared" ca="1" si="21"/>
        <v/>
      </c>
      <c r="AI40" s="373" t="str">
        <f t="shared" ca="1" si="51"/>
        <v/>
      </c>
      <c r="AJ40" s="296" t="str">
        <f t="shared" si="22"/>
        <v/>
      </c>
      <c r="AK40" s="296" t="str">
        <f t="shared" si="23"/>
        <v/>
      </c>
      <c r="AL40" s="287" t="str">
        <f t="shared" si="24"/>
        <v/>
      </c>
      <c r="AM40" s="279">
        <f t="shared" si="25"/>
        <v>0</v>
      </c>
      <c r="AN40" s="279">
        <f t="shared" si="26"/>
        <v>0</v>
      </c>
      <c r="AO40" s="288">
        <f t="shared" si="27"/>
        <v>0</v>
      </c>
      <c r="AP40" s="279">
        <f t="shared" si="28"/>
        <v>0</v>
      </c>
      <c r="AQ40" s="288">
        <f t="shared" si="29"/>
        <v>0</v>
      </c>
      <c r="AR40" s="289">
        <f t="shared" si="30"/>
        <v>0</v>
      </c>
      <c r="AS40" s="279">
        <f t="shared" si="31"/>
        <v>0</v>
      </c>
      <c r="AT40" s="288">
        <f t="shared" si="32"/>
        <v>0</v>
      </c>
      <c r="AU40" s="289">
        <f t="shared" si="33"/>
        <v>0</v>
      </c>
      <c r="AV40" s="279">
        <f t="shared" si="34"/>
        <v>0</v>
      </c>
      <c r="AW40" s="288">
        <f t="shared" si="35"/>
        <v>0</v>
      </c>
      <c r="AX40" s="289">
        <f t="shared" si="36"/>
        <v>0</v>
      </c>
      <c r="AY40" s="268"/>
      <c r="AZ40" s="291"/>
      <c r="BA40" s="292"/>
      <c r="BB40" s="303"/>
      <c r="BC40" s="293"/>
      <c r="BD40" s="293"/>
      <c r="BE40" s="304"/>
      <c r="BF40" s="274"/>
      <c r="BG40" s="377"/>
      <c r="BH40" s="268">
        <v>1</v>
      </c>
      <c r="BI40" s="273">
        <v>0</v>
      </c>
      <c r="BJ40" s="276"/>
      <c r="BK40" s="294"/>
      <c r="BL40" s="269" t="str">
        <f t="shared" ca="1" si="37"/>
        <v/>
      </c>
      <c r="BM40" s="270"/>
      <c r="BN40" s="271"/>
      <c r="BO40" s="272" t="str">
        <f t="shared" ca="1" si="38"/>
        <v/>
      </c>
      <c r="BP40" s="270"/>
      <c r="BQ40" s="271"/>
      <c r="BR40" s="272" t="str">
        <f t="shared" ca="1" si="39"/>
        <v/>
      </c>
      <c r="BS40" s="270"/>
      <c r="BT40" s="271"/>
      <c r="BU40" s="272" t="str">
        <f t="shared" ca="1" si="40"/>
        <v/>
      </c>
      <c r="BV40" s="270"/>
      <c r="BW40" s="271"/>
      <c r="BX40" s="272" t="str">
        <f t="shared" ca="1" si="41"/>
        <v/>
      </c>
      <c r="BY40" s="270"/>
      <c r="BZ40" s="271"/>
      <c r="CA40" s="272" t="str">
        <f t="shared" ca="1" si="42"/>
        <v/>
      </c>
      <c r="CB40" s="270"/>
      <c r="CC40" s="271"/>
      <c r="CD40" s="272" t="str">
        <f t="shared" ca="1" si="43"/>
        <v/>
      </c>
      <c r="CE40" s="270"/>
      <c r="CF40" s="271"/>
      <c r="CG40" s="272" t="str">
        <f t="shared" ca="1" si="44"/>
        <v/>
      </c>
      <c r="CH40" s="270"/>
      <c r="CI40" s="271"/>
      <c r="CJ40" s="272" t="str">
        <f t="shared" ca="1" si="45"/>
        <v/>
      </c>
      <c r="CK40" s="262"/>
      <c r="CL40" s="264"/>
      <c r="CM40" s="264"/>
      <c r="CN40" s="264"/>
      <c r="CO40" s="264"/>
      <c r="CP40" s="264"/>
      <c r="CQ40" s="264"/>
      <c r="CR40" s="262"/>
      <c r="CS40" s="263"/>
      <c r="CT40" s="297" t="str">
        <f t="shared" si="52"/>
        <v/>
      </c>
      <c r="CU40" s="264"/>
      <c r="CV40" s="265"/>
      <c r="CW40" s="264"/>
      <c r="CX40" s="264"/>
      <c r="CY40" s="264" t="str">
        <f t="shared" si="53"/>
        <v/>
      </c>
      <c r="CZ40" s="264"/>
      <c r="DA40" s="264"/>
      <c r="DB40" s="266"/>
      <c r="DC40" s="264"/>
      <c r="DD40" s="264"/>
      <c r="DE40" s="266"/>
      <c r="DF40" s="266"/>
      <c r="DG40" s="264"/>
      <c r="DH40" s="266"/>
      <c r="DI40" s="266"/>
      <c r="DJ40" s="264"/>
      <c r="DK40" s="264"/>
      <c r="DL40" s="267"/>
      <c r="DM40" s="261">
        <f t="shared" si="54"/>
        <v>0</v>
      </c>
      <c r="DN40" s="295" t="str">
        <f t="shared" si="55"/>
        <v/>
      </c>
      <c r="DO40" s="392" t="str">
        <f t="shared" si="56"/>
        <v/>
      </c>
      <c r="DP40" s="392" t="str">
        <f t="shared" si="46"/>
        <v/>
      </c>
      <c r="DQ40" s="456" t="str">
        <f t="shared" si="57"/>
        <v/>
      </c>
      <c r="DR40" s="456" t="str">
        <f t="shared" si="47"/>
        <v/>
      </c>
    </row>
    <row r="41" spans="1:122" x14ac:dyDescent="0.25">
      <c r="A41" s="599" t="str">
        <f t="shared" si="11"/>
        <v xml:space="preserve">  -  - </v>
      </c>
      <c r="B41" s="306"/>
      <c r="C41" s="305"/>
      <c r="D41" s="301"/>
      <c r="E41" s="276"/>
      <c r="F41" s="278"/>
      <c r="G41" s="311"/>
      <c r="H41" s="276"/>
      <c r="I41" s="313" t="str">
        <f t="shared" si="12"/>
        <v/>
      </c>
      <c r="J41" s="312"/>
      <c r="K41" s="268"/>
      <c r="L41" s="277"/>
      <c r="M41" s="279"/>
      <c r="N41" s="280"/>
      <c r="O41" s="280"/>
      <c r="P41" s="455"/>
      <c r="Q41" s="281" t="str">
        <f t="shared" si="13"/>
        <v/>
      </c>
      <c r="R41" s="282">
        <f t="shared" si="14"/>
        <v>0</v>
      </c>
      <c r="S41" s="268"/>
      <c r="T41" s="283">
        <f t="shared" si="48"/>
        <v>0</v>
      </c>
      <c r="U41" s="284">
        <f>IF(M41=0,0,IF(G41="Annulation","",IF(assurance="ALPTIS",M41*12*T41/100*'11801 Data'!$K$4,IF(assurance="APRIL",M41*12*T41/100*'11801 Data'!$F$4,IF(assurance="ASAF",M41*12*T41/100*'11801 Data'!$I$4,IF(assurance="NEOLIANE",('11801 Data'!$G$5+M41*12*'11801 Data'!$G$4)*T41/100,IF(assurance="NEOLIANE Prev",('11801 Data'!$H$5+M41*12*'11801 Data'!$H$4)*T41/100,IF(assurance="SWISSLIFE",M41*12*T41/100*'11801 Data'!$J$4,IF(assurance="AVIVA",M41*12*T41/100*'11801 Data'!$L$4,IF(assurance="CIPRES",M41*12*T41/100*'11801 Data'!$M$4,IF(assurance="CEGEMA",M41*12*T41/100*'11801 Data'!$N$4,IF(assurance=0,0))))))))))))</f>
        <v>0</v>
      </c>
      <c r="V41" s="298" t="str">
        <f t="shared" si="15"/>
        <v/>
      </c>
      <c r="W41" s="298" t="str">
        <f t="shared" si="16"/>
        <v/>
      </c>
      <c r="X41" s="299">
        <f t="shared" si="49"/>
        <v>0</v>
      </c>
      <c r="Y41" s="368">
        <f t="shared" si="50"/>
        <v>0</v>
      </c>
      <c r="Z41" s="314"/>
      <c r="AA41" s="313" t="str">
        <f t="shared" si="17"/>
        <v/>
      </c>
      <c r="AB41" s="268" t="s">
        <v>13</v>
      </c>
      <c r="AC41" s="277"/>
      <c r="AD41" s="309" t="str">
        <f t="shared" si="18"/>
        <v/>
      </c>
      <c r="AE41" s="286" t="str">
        <f t="shared" si="19"/>
        <v/>
      </c>
      <c r="AF41" s="277"/>
      <c r="AG41" s="275" t="str">
        <f t="shared" si="20"/>
        <v/>
      </c>
      <c r="AH41" s="287" t="str">
        <f t="shared" ca="1" si="21"/>
        <v/>
      </c>
      <c r="AI41" s="373" t="str">
        <f t="shared" ca="1" si="51"/>
        <v/>
      </c>
      <c r="AJ41" s="296" t="str">
        <f t="shared" si="22"/>
        <v/>
      </c>
      <c r="AK41" s="296" t="str">
        <f t="shared" si="23"/>
        <v/>
      </c>
      <c r="AL41" s="287" t="str">
        <f t="shared" si="24"/>
        <v/>
      </c>
      <c r="AM41" s="279">
        <f t="shared" si="25"/>
        <v>0</v>
      </c>
      <c r="AN41" s="279">
        <f t="shared" si="26"/>
        <v>0</v>
      </c>
      <c r="AO41" s="288">
        <f t="shared" si="27"/>
        <v>0</v>
      </c>
      <c r="AP41" s="279">
        <f t="shared" si="28"/>
        <v>0</v>
      </c>
      <c r="AQ41" s="288">
        <f t="shared" si="29"/>
        <v>0</v>
      </c>
      <c r="AR41" s="289">
        <f t="shared" si="30"/>
        <v>0</v>
      </c>
      <c r="AS41" s="279">
        <f t="shared" si="31"/>
        <v>0</v>
      </c>
      <c r="AT41" s="288">
        <f t="shared" si="32"/>
        <v>0</v>
      </c>
      <c r="AU41" s="289">
        <f t="shared" si="33"/>
        <v>0</v>
      </c>
      <c r="AV41" s="279">
        <f t="shared" si="34"/>
        <v>0</v>
      </c>
      <c r="AW41" s="288">
        <f t="shared" si="35"/>
        <v>0</v>
      </c>
      <c r="AX41" s="289">
        <f t="shared" si="36"/>
        <v>0</v>
      </c>
      <c r="AY41" s="268"/>
      <c r="AZ41" s="291"/>
      <c r="BA41" s="292"/>
      <c r="BB41" s="303"/>
      <c r="BC41" s="293"/>
      <c r="BD41" s="293"/>
      <c r="BE41" s="304"/>
      <c r="BF41" s="274"/>
      <c r="BG41" s="377"/>
      <c r="BH41" s="268">
        <v>1</v>
      </c>
      <c r="BI41" s="273">
        <v>0</v>
      </c>
      <c r="BJ41" s="276"/>
      <c r="BK41" s="294"/>
      <c r="BL41" s="269" t="str">
        <f t="shared" ca="1" si="37"/>
        <v/>
      </c>
      <c r="BM41" s="270"/>
      <c r="BN41" s="271"/>
      <c r="BO41" s="272" t="str">
        <f t="shared" ca="1" si="38"/>
        <v/>
      </c>
      <c r="BP41" s="270"/>
      <c r="BQ41" s="271"/>
      <c r="BR41" s="272" t="str">
        <f t="shared" ca="1" si="39"/>
        <v/>
      </c>
      <c r="BS41" s="270"/>
      <c r="BT41" s="271"/>
      <c r="BU41" s="272" t="str">
        <f t="shared" ca="1" si="40"/>
        <v/>
      </c>
      <c r="BV41" s="270"/>
      <c r="BW41" s="271"/>
      <c r="BX41" s="272" t="str">
        <f t="shared" ca="1" si="41"/>
        <v/>
      </c>
      <c r="BY41" s="270"/>
      <c r="BZ41" s="271"/>
      <c r="CA41" s="272" t="str">
        <f t="shared" ca="1" si="42"/>
        <v/>
      </c>
      <c r="CB41" s="270"/>
      <c r="CC41" s="271"/>
      <c r="CD41" s="272" t="str">
        <f t="shared" ca="1" si="43"/>
        <v/>
      </c>
      <c r="CE41" s="270"/>
      <c r="CF41" s="271"/>
      <c r="CG41" s="272" t="str">
        <f t="shared" ca="1" si="44"/>
        <v/>
      </c>
      <c r="CH41" s="270"/>
      <c r="CI41" s="271"/>
      <c r="CJ41" s="272" t="str">
        <f t="shared" ca="1" si="45"/>
        <v/>
      </c>
      <c r="CK41" s="262"/>
      <c r="CL41" s="264"/>
      <c r="CM41" s="264"/>
      <c r="CN41" s="264"/>
      <c r="CO41" s="264"/>
      <c r="CP41" s="264"/>
      <c r="CQ41" s="264"/>
      <c r="CR41" s="262"/>
      <c r="CS41" s="263"/>
      <c r="CT41" s="297" t="str">
        <f t="shared" si="52"/>
        <v/>
      </c>
      <c r="CU41" s="264"/>
      <c r="CV41" s="265"/>
      <c r="CW41" s="264"/>
      <c r="CX41" s="264"/>
      <c r="CY41" s="264" t="str">
        <f t="shared" si="53"/>
        <v/>
      </c>
      <c r="CZ41" s="264"/>
      <c r="DA41" s="264"/>
      <c r="DB41" s="266"/>
      <c r="DC41" s="264"/>
      <c r="DD41" s="264"/>
      <c r="DE41" s="266"/>
      <c r="DF41" s="266"/>
      <c r="DG41" s="264"/>
      <c r="DH41" s="266"/>
      <c r="DI41" s="266"/>
      <c r="DJ41" s="264"/>
      <c r="DK41" s="264"/>
      <c r="DL41" s="267"/>
      <c r="DM41" s="261">
        <f t="shared" si="54"/>
        <v>0</v>
      </c>
      <c r="DN41" s="295" t="str">
        <f t="shared" si="55"/>
        <v/>
      </c>
      <c r="DO41" s="392" t="str">
        <f t="shared" si="56"/>
        <v/>
      </c>
      <c r="DP41" s="392" t="str">
        <f t="shared" si="46"/>
        <v/>
      </c>
      <c r="DQ41" s="456" t="str">
        <f t="shared" si="57"/>
        <v/>
      </c>
      <c r="DR41" s="456" t="str">
        <f t="shared" si="47"/>
        <v/>
      </c>
    </row>
    <row r="42" spans="1:122" x14ac:dyDescent="0.25">
      <c r="A42" s="599" t="str">
        <f t="shared" si="11"/>
        <v xml:space="preserve">  -  - </v>
      </c>
      <c r="B42" s="306"/>
      <c r="C42" s="305"/>
      <c r="D42" s="301"/>
      <c r="E42" s="276"/>
      <c r="F42" s="278"/>
      <c r="G42" s="311"/>
      <c r="H42" s="276"/>
      <c r="I42" s="313" t="str">
        <f t="shared" si="12"/>
        <v/>
      </c>
      <c r="J42" s="312"/>
      <c r="K42" s="268"/>
      <c r="L42" s="277"/>
      <c r="M42" s="279"/>
      <c r="N42" s="280"/>
      <c r="O42" s="280"/>
      <c r="P42" s="455"/>
      <c r="Q42" s="281" t="str">
        <f t="shared" si="13"/>
        <v/>
      </c>
      <c r="R42" s="282">
        <f t="shared" si="14"/>
        <v>0</v>
      </c>
      <c r="S42" s="268"/>
      <c r="T42" s="283">
        <f t="shared" si="48"/>
        <v>0</v>
      </c>
      <c r="U42" s="284">
        <f>IF(M42=0,0,IF(G42="Annulation","",IF(assurance="ALPTIS",M42*12*T42/100*'11801 Data'!$K$4,IF(assurance="APRIL",M42*12*T42/100*'11801 Data'!$F$4,IF(assurance="ASAF",M42*12*T42/100*'11801 Data'!$I$4,IF(assurance="NEOLIANE",('11801 Data'!$G$5+M42*12*'11801 Data'!$G$4)*T42/100,IF(assurance="NEOLIANE Prev",('11801 Data'!$H$5+M42*12*'11801 Data'!$H$4)*T42/100,IF(assurance="SWISSLIFE",M42*12*T42/100*'11801 Data'!$J$4,IF(assurance="AVIVA",M42*12*T42/100*'11801 Data'!$L$4,IF(assurance="CIPRES",M42*12*T42/100*'11801 Data'!$M$4,IF(assurance="CEGEMA",M42*12*T42/100*'11801 Data'!$N$4,IF(assurance=0,0))))))))))))</f>
        <v>0</v>
      </c>
      <c r="V42" s="298" t="str">
        <f t="shared" si="15"/>
        <v/>
      </c>
      <c r="W42" s="298" t="str">
        <f t="shared" si="16"/>
        <v/>
      </c>
      <c r="X42" s="299">
        <f t="shared" si="49"/>
        <v>0</v>
      </c>
      <c r="Y42" s="368">
        <f t="shared" si="50"/>
        <v>0</v>
      </c>
      <c r="Z42" s="314"/>
      <c r="AA42" s="313" t="str">
        <f t="shared" si="17"/>
        <v/>
      </c>
      <c r="AB42" s="268" t="s">
        <v>13</v>
      </c>
      <c r="AC42" s="277"/>
      <c r="AD42" s="309" t="str">
        <f t="shared" si="18"/>
        <v/>
      </c>
      <c r="AE42" s="286" t="str">
        <f t="shared" si="19"/>
        <v/>
      </c>
      <c r="AF42" s="277"/>
      <c r="AG42" s="275" t="str">
        <f t="shared" si="20"/>
        <v/>
      </c>
      <c r="AH42" s="287" t="str">
        <f t="shared" ca="1" si="21"/>
        <v/>
      </c>
      <c r="AI42" s="373" t="str">
        <f t="shared" ca="1" si="51"/>
        <v/>
      </c>
      <c r="AJ42" s="296" t="str">
        <f t="shared" si="22"/>
        <v/>
      </c>
      <c r="AK42" s="296" t="str">
        <f t="shared" si="23"/>
        <v/>
      </c>
      <c r="AL42" s="287" t="str">
        <f t="shared" si="24"/>
        <v/>
      </c>
      <c r="AM42" s="279">
        <f t="shared" si="25"/>
        <v>0</v>
      </c>
      <c r="AN42" s="279">
        <f t="shared" si="26"/>
        <v>0</v>
      </c>
      <c r="AO42" s="288">
        <f t="shared" si="27"/>
        <v>0</v>
      </c>
      <c r="AP42" s="279">
        <f t="shared" si="28"/>
        <v>0</v>
      </c>
      <c r="AQ42" s="288">
        <f t="shared" si="29"/>
        <v>0</v>
      </c>
      <c r="AR42" s="289">
        <f t="shared" si="30"/>
        <v>0</v>
      </c>
      <c r="AS42" s="279">
        <f t="shared" si="31"/>
        <v>0</v>
      </c>
      <c r="AT42" s="288">
        <f t="shared" si="32"/>
        <v>0</v>
      </c>
      <c r="AU42" s="289">
        <f t="shared" si="33"/>
        <v>0</v>
      </c>
      <c r="AV42" s="279">
        <f t="shared" si="34"/>
        <v>0</v>
      </c>
      <c r="AW42" s="288">
        <f t="shared" si="35"/>
        <v>0</v>
      </c>
      <c r="AX42" s="289">
        <f t="shared" si="36"/>
        <v>0</v>
      </c>
      <c r="AY42" s="268"/>
      <c r="AZ42" s="291"/>
      <c r="BA42" s="292"/>
      <c r="BB42" s="303"/>
      <c r="BC42" s="293"/>
      <c r="BD42" s="293"/>
      <c r="BE42" s="304"/>
      <c r="BF42" s="274"/>
      <c r="BG42" s="377"/>
      <c r="BH42" s="268">
        <v>1</v>
      </c>
      <c r="BI42" s="273">
        <v>0</v>
      </c>
      <c r="BJ42" s="276"/>
      <c r="BK42" s="294"/>
      <c r="BL42" s="269" t="str">
        <f t="shared" ca="1" si="37"/>
        <v/>
      </c>
      <c r="BM42" s="270"/>
      <c r="BN42" s="271"/>
      <c r="BO42" s="272" t="str">
        <f t="shared" ca="1" si="38"/>
        <v/>
      </c>
      <c r="BP42" s="270"/>
      <c r="BQ42" s="271"/>
      <c r="BR42" s="272" t="str">
        <f t="shared" ca="1" si="39"/>
        <v/>
      </c>
      <c r="BS42" s="270"/>
      <c r="BT42" s="271"/>
      <c r="BU42" s="272" t="str">
        <f t="shared" ca="1" si="40"/>
        <v/>
      </c>
      <c r="BV42" s="270"/>
      <c r="BW42" s="271"/>
      <c r="BX42" s="272" t="str">
        <f t="shared" ca="1" si="41"/>
        <v/>
      </c>
      <c r="BY42" s="270"/>
      <c r="BZ42" s="271"/>
      <c r="CA42" s="272" t="str">
        <f t="shared" ca="1" si="42"/>
        <v/>
      </c>
      <c r="CB42" s="270"/>
      <c r="CC42" s="271"/>
      <c r="CD42" s="272" t="str">
        <f t="shared" ca="1" si="43"/>
        <v/>
      </c>
      <c r="CE42" s="270"/>
      <c r="CF42" s="271"/>
      <c r="CG42" s="272" t="str">
        <f t="shared" ca="1" si="44"/>
        <v/>
      </c>
      <c r="CH42" s="270"/>
      <c r="CI42" s="271"/>
      <c r="CJ42" s="272" t="str">
        <f t="shared" ca="1" si="45"/>
        <v/>
      </c>
      <c r="CK42" s="262"/>
      <c r="CL42" s="264"/>
      <c r="CM42" s="264"/>
      <c r="CN42" s="264"/>
      <c r="CO42" s="264"/>
      <c r="CP42" s="264"/>
      <c r="CQ42" s="264"/>
      <c r="CR42" s="262"/>
      <c r="CS42" s="263"/>
      <c r="CT42" s="297" t="str">
        <f t="shared" si="52"/>
        <v/>
      </c>
      <c r="CU42" s="264"/>
      <c r="CV42" s="265"/>
      <c r="CW42" s="264"/>
      <c r="CX42" s="264"/>
      <c r="CY42" s="264" t="str">
        <f t="shared" si="53"/>
        <v/>
      </c>
      <c r="CZ42" s="264"/>
      <c r="DA42" s="264"/>
      <c r="DB42" s="266"/>
      <c r="DC42" s="264"/>
      <c r="DD42" s="264"/>
      <c r="DE42" s="266"/>
      <c r="DF42" s="266"/>
      <c r="DG42" s="264"/>
      <c r="DH42" s="266"/>
      <c r="DI42" s="266"/>
      <c r="DJ42" s="264"/>
      <c r="DK42" s="264"/>
      <c r="DL42" s="267"/>
      <c r="DM42" s="261">
        <f t="shared" si="54"/>
        <v>0</v>
      </c>
      <c r="DN42" s="295" t="str">
        <f t="shared" si="55"/>
        <v/>
      </c>
      <c r="DO42" s="392" t="str">
        <f t="shared" si="56"/>
        <v/>
      </c>
      <c r="DP42" s="392" t="str">
        <f t="shared" si="46"/>
        <v/>
      </c>
      <c r="DQ42" s="456" t="str">
        <f t="shared" si="57"/>
        <v/>
      </c>
      <c r="DR42" s="456" t="str">
        <f t="shared" si="47"/>
        <v/>
      </c>
    </row>
    <row r="43" spans="1:122" x14ac:dyDescent="0.25">
      <c r="A43" s="599" t="str">
        <f t="shared" si="11"/>
        <v xml:space="preserve">  -  - </v>
      </c>
      <c r="B43" s="306"/>
      <c r="C43" s="305"/>
      <c r="D43" s="301"/>
      <c r="E43" s="276"/>
      <c r="F43" s="278"/>
      <c r="G43" s="311"/>
      <c r="H43" s="276"/>
      <c r="I43" s="313" t="str">
        <f t="shared" si="12"/>
        <v/>
      </c>
      <c r="J43" s="312"/>
      <c r="K43" s="268"/>
      <c r="L43" s="277"/>
      <c r="M43" s="279"/>
      <c r="N43" s="280"/>
      <c r="O43" s="280"/>
      <c r="P43" s="455"/>
      <c r="Q43" s="281" t="str">
        <f t="shared" si="13"/>
        <v/>
      </c>
      <c r="R43" s="282">
        <f t="shared" si="14"/>
        <v>0</v>
      </c>
      <c r="S43" s="268"/>
      <c r="T43" s="283">
        <f t="shared" si="48"/>
        <v>0</v>
      </c>
      <c r="U43" s="284">
        <f>IF(M43=0,0,IF(G43="Annulation","",IF(assurance="ALPTIS",M43*12*T43/100*'11801 Data'!$K$4,IF(assurance="APRIL",M43*12*T43/100*'11801 Data'!$F$4,IF(assurance="ASAF",M43*12*T43/100*'11801 Data'!$I$4,IF(assurance="NEOLIANE",('11801 Data'!$G$5+M43*12*'11801 Data'!$G$4)*T43/100,IF(assurance="NEOLIANE Prev",('11801 Data'!$H$5+M43*12*'11801 Data'!$H$4)*T43/100,IF(assurance="SWISSLIFE",M43*12*T43/100*'11801 Data'!$J$4,IF(assurance="AVIVA",M43*12*T43/100*'11801 Data'!$L$4,IF(assurance="CIPRES",M43*12*T43/100*'11801 Data'!$M$4,IF(assurance="CEGEMA",M43*12*T43/100*'11801 Data'!$N$4,IF(assurance=0,0))))))))))))</f>
        <v>0</v>
      </c>
      <c r="V43" s="298" t="str">
        <f t="shared" si="15"/>
        <v/>
      </c>
      <c r="W43" s="298" t="str">
        <f t="shared" si="16"/>
        <v/>
      </c>
      <c r="X43" s="299">
        <f t="shared" si="49"/>
        <v>0</v>
      </c>
      <c r="Y43" s="368">
        <f t="shared" si="50"/>
        <v>0</v>
      </c>
      <c r="Z43" s="314"/>
      <c r="AA43" s="313" t="str">
        <f t="shared" si="17"/>
        <v/>
      </c>
      <c r="AB43" s="268" t="s">
        <v>13</v>
      </c>
      <c r="AC43" s="277"/>
      <c r="AD43" s="309" t="str">
        <f t="shared" si="18"/>
        <v/>
      </c>
      <c r="AE43" s="286" t="str">
        <f t="shared" si="19"/>
        <v/>
      </c>
      <c r="AF43" s="277"/>
      <c r="AG43" s="275" t="str">
        <f t="shared" si="20"/>
        <v/>
      </c>
      <c r="AH43" s="287" t="str">
        <f t="shared" ca="1" si="21"/>
        <v/>
      </c>
      <c r="AI43" s="373" t="str">
        <f t="shared" ca="1" si="51"/>
        <v/>
      </c>
      <c r="AJ43" s="296" t="str">
        <f t="shared" si="22"/>
        <v/>
      </c>
      <c r="AK43" s="296" t="str">
        <f t="shared" si="23"/>
        <v/>
      </c>
      <c r="AL43" s="287" t="str">
        <f t="shared" si="24"/>
        <v/>
      </c>
      <c r="AM43" s="279">
        <f t="shared" si="25"/>
        <v>0</v>
      </c>
      <c r="AN43" s="279">
        <f t="shared" si="26"/>
        <v>0</v>
      </c>
      <c r="AO43" s="288">
        <f t="shared" si="27"/>
        <v>0</v>
      </c>
      <c r="AP43" s="279">
        <f t="shared" si="28"/>
        <v>0</v>
      </c>
      <c r="AQ43" s="288">
        <f t="shared" si="29"/>
        <v>0</v>
      </c>
      <c r="AR43" s="289">
        <f t="shared" si="30"/>
        <v>0</v>
      </c>
      <c r="AS43" s="279">
        <f t="shared" si="31"/>
        <v>0</v>
      </c>
      <c r="AT43" s="288">
        <f t="shared" si="32"/>
        <v>0</v>
      </c>
      <c r="AU43" s="289">
        <f t="shared" si="33"/>
        <v>0</v>
      </c>
      <c r="AV43" s="279">
        <f t="shared" si="34"/>
        <v>0</v>
      </c>
      <c r="AW43" s="288">
        <f t="shared" si="35"/>
        <v>0</v>
      </c>
      <c r="AX43" s="289">
        <f t="shared" si="36"/>
        <v>0</v>
      </c>
      <c r="AY43" s="268"/>
      <c r="AZ43" s="291"/>
      <c r="BA43" s="292"/>
      <c r="BB43" s="303"/>
      <c r="BC43" s="293"/>
      <c r="BD43" s="293"/>
      <c r="BE43" s="304"/>
      <c r="BF43" s="274"/>
      <c r="BG43" s="377"/>
      <c r="BH43" s="268">
        <v>1</v>
      </c>
      <c r="BI43" s="273">
        <v>0</v>
      </c>
      <c r="BJ43" s="276"/>
      <c r="BK43" s="294"/>
      <c r="BL43" s="269" t="str">
        <f t="shared" ca="1" si="37"/>
        <v/>
      </c>
      <c r="BM43" s="270"/>
      <c r="BN43" s="271"/>
      <c r="BO43" s="272" t="str">
        <f t="shared" ca="1" si="38"/>
        <v/>
      </c>
      <c r="BP43" s="270"/>
      <c r="BQ43" s="271"/>
      <c r="BR43" s="272" t="str">
        <f t="shared" ca="1" si="39"/>
        <v/>
      </c>
      <c r="BS43" s="270"/>
      <c r="BT43" s="271"/>
      <c r="BU43" s="272" t="str">
        <f t="shared" ca="1" si="40"/>
        <v/>
      </c>
      <c r="BV43" s="270"/>
      <c r="BW43" s="271"/>
      <c r="BX43" s="272" t="str">
        <f t="shared" ca="1" si="41"/>
        <v/>
      </c>
      <c r="BY43" s="270"/>
      <c r="BZ43" s="271"/>
      <c r="CA43" s="272" t="str">
        <f t="shared" ca="1" si="42"/>
        <v/>
      </c>
      <c r="CB43" s="270"/>
      <c r="CC43" s="271"/>
      <c r="CD43" s="272" t="str">
        <f t="shared" ca="1" si="43"/>
        <v/>
      </c>
      <c r="CE43" s="270"/>
      <c r="CF43" s="271"/>
      <c r="CG43" s="272" t="str">
        <f t="shared" ca="1" si="44"/>
        <v/>
      </c>
      <c r="CH43" s="270"/>
      <c r="CI43" s="271"/>
      <c r="CJ43" s="272" t="str">
        <f t="shared" ca="1" si="45"/>
        <v/>
      </c>
      <c r="CK43" s="262"/>
      <c r="CL43" s="264"/>
      <c r="CM43" s="264"/>
      <c r="CN43" s="264"/>
      <c r="CO43" s="264"/>
      <c r="CP43" s="264"/>
      <c r="CQ43" s="264"/>
      <c r="CR43" s="262"/>
      <c r="CS43" s="263"/>
      <c r="CT43" s="297" t="str">
        <f t="shared" si="52"/>
        <v/>
      </c>
      <c r="CU43" s="264"/>
      <c r="CV43" s="265"/>
      <c r="CW43" s="264"/>
      <c r="CX43" s="264"/>
      <c r="CY43" s="264" t="str">
        <f t="shared" si="53"/>
        <v/>
      </c>
      <c r="CZ43" s="264"/>
      <c r="DA43" s="264"/>
      <c r="DB43" s="266"/>
      <c r="DC43" s="264"/>
      <c r="DD43" s="264"/>
      <c r="DE43" s="266"/>
      <c r="DF43" s="266"/>
      <c r="DG43" s="264"/>
      <c r="DH43" s="266"/>
      <c r="DI43" s="266"/>
      <c r="DJ43" s="264"/>
      <c r="DK43" s="264"/>
      <c r="DL43" s="267"/>
      <c r="DM43" s="261">
        <f t="shared" si="54"/>
        <v>0</v>
      </c>
      <c r="DN43" s="295" t="str">
        <f t="shared" si="55"/>
        <v/>
      </c>
      <c r="DO43" s="392" t="str">
        <f t="shared" si="56"/>
        <v/>
      </c>
      <c r="DP43" s="392" t="str">
        <f t="shared" si="46"/>
        <v/>
      </c>
      <c r="DQ43" s="456" t="str">
        <f t="shared" si="57"/>
        <v/>
      </c>
      <c r="DR43" s="456" t="str">
        <f t="shared" si="47"/>
        <v/>
      </c>
    </row>
    <row r="44" spans="1:122" x14ac:dyDescent="0.25">
      <c r="A44" s="599" t="str">
        <f t="shared" si="11"/>
        <v xml:space="preserve">  -  - </v>
      </c>
      <c r="B44" s="306"/>
      <c r="C44" s="305"/>
      <c r="D44" s="301"/>
      <c r="E44" s="276"/>
      <c r="F44" s="278"/>
      <c r="G44" s="311"/>
      <c r="H44" s="276"/>
      <c r="I44" s="313" t="str">
        <f t="shared" si="12"/>
        <v/>
      </c>
      <c r="J44" s="312"/>
      <c r="K44" s="268"/>
      <c r="L44" s="277"/>
      <c r="M44" s="279"/>
      <c r="N44" s="280"/>
      <c r="O44" s="280"/>
      <c r="P44" s="455"/>
      <c r="Q44" s="281" t="str">
        <f t="shared" si="13"/>
        <v/>
      </c>
      <c r="R44" s="282">
        <f t="shared" si="14"/>
        <v>0</v>
      </c>
      <c r="S44" s="268"/>
      <c r="T44" s="283">
        <f t="shared" si="48"/>
        <v>0</v>
      </c>
      <c r="U44" s="284">
        <f>IF(M44=0,0,IF(G44="Annulation","",IF(assurance="ALPTIS",M44*12*T44/100*'11801 Data'!$K$4,IF(assurance="APRIL",M44*12*T44/100*'11801 Data'!$F$4,IF(assurance="ASAF",M44*12*T44/100*'11801 Data'!$I$4,IF(assurance="NEOLIANE",('11801 Data'!$G$5+M44*12*'11801 Data'!$G$4)*T44/100,IF(assurance="NEOLIANE Prev",('11801 Data'!$H$5+M44*12*'11801 Data'!$H$4)*T44/100,IF(assurance="SWISSLIFE",M44*12*T44/100*'11801 Data'!$J$4,IF(assurance="AVIVA",M44*12*T44/100*'11801 Data'!$L$4,IF(assurance="CIPRES",M44*12*T44/100*'11801 Data'!$M$4,IF(assurance="CEGEMA",M44*12*T44/100*'11801 Data'!$N$4,IF(assurance=0,0))))))))))))</f>
        <v>0</v>
      </c>
      <c r="V44" s="298" t="str">
        <f t="shared" si="15"/>
        <v/>
      </c>
      <c r="W44" s="298" t="str">
        <f t="shared" si="16"/>
        <v/>
      </c>
      <c r="X44" s="299">
        <f t="shared" si="49"/>
        <v>0</v>
      </c>
      <c r="Y44" s="368">
        <f t="shared" si="50"/>
        <v>0</v>
      </c>
      <c r="Z44" s="314"/>
      <c r="AA44" s="313" t="str">
        <f t="shared" si="17"/>
        <v/>
      </c>
      <c r="AB44" s="268" t="s">
        <v>13</v>
      </c>
      <c r="AC44" s="277"/>
      <c r="AD44" s="309" t="str">
        <f t="shared" si="18"/>
        <v/>
      </c>
      <c r="AE44" s="286" t="str">
        <f t="shared" si="19"/>
        <v/>
      </c>
      <c r="AF44" s="277"/>
      <c r="AG44" s="275" t="str">
        <f t="shared" si="20"/>
        <v/>
      </c>
      <c r="AH44" s="287" t="str">
        <f t="shared" ca="1" si="21"/>
        <v/>
      </c>
      <c r="AI44" s="373" t="str">
        <f t="shared" ca="1" si="51"/>
        <v/>
      </c>
      <c r="AJ44" s="296" t="str">
        <f t="shared" si="22"/>
        <v/>
      </c>
      <c r="AK44" s="296" t="str">
        <f t="shared" si="23"/>
        <v/>
      </c>
      <c r="AL44" s="287" t="str">
        <f t="shared" si="24"/>
        <v/>
      </c>
      <c r="AM44" s="279">
        <f t="shared" si="25"/>
        <v>0</v>
      </c>
      <c r="AN44" s="279">
        <f t="shared" si="26"/>
        <v>0</v>
      </c>
      <c r="AO44" s="288">
        <f t="shared" si="27"/>
        <v>0</v>
      </c>
      <c r="AP44" s="279">
        <f t="shared" si="28"/>
        <v>0</v>
      </c>
      <c r="AQ44" s="288">
        <f t="shared" si="29"/>
        <v>0</v>
      </c>
      <c r="AR44" s="289">
        <f t="shared" si="30"/>
        <v>0</v>
      </c>
      <c r="AS44" s="279">
        <f t="shared" si="31"/>
        <v>0</v>
      </c>
      <c r="AT44" s="288">
        <f t="shared" si="32"/>
        <v>0</v>
      </c>
      <c r="AU44" s="289">
        <f t="shared" si="33"/>
        <v>0</v>
      </c>
      <c r="AV44" s="279">
        <f t="shared" si="34"/>
        <v>0</v>
      </c>
      <c r="AW44" s="288">
        <f t="shared" si="35"/>
        <v>0</v>
      </c>
      <c r="AX44" s="289">
        <f t="shared" si="36"/>
        <v>0</v>
      </c>
      <c r="AY44" s="268"/>
      <c r="AZ44" s="291"/>
      <c r="BA44" s="292"/>
      <c r="BB44" s="303"/>
      <c r="BC44" s="293"/>
      <c r="BD44" s="293"/>
      <c r="BE44" s="304"/>
      <c r="BF44" s="274"/>
      <c r="BG44" s="377"/>
      <c r="BH44" s="268">
        <v>1</v>
      </c>
      <c r="BI44" s="273">
        <v>0</v>
      </c>
      <c r="BJ44" s="276"/>
      <c r="BK44" s="294"/>
      <c r="BL44" s="269" t="str">
        <f t="shared" ca="1" si="37"/>
        <v/>
      </c>
      <c r="BM44" s="270"/>
      <c r="BN44" s="271"/>
      <c r="BO44" s="272" t="str">
        <f t="shared" ca="1" si="38"/>
        <v/>
      </c>
      <c r="BP44" s="270"/>
      <c r="BQ44" s="271"/>
      <c r="BR44" s="272" t="str">
        <f t="shared" ca="1" si="39"/>
        <v/>
      </c>
      <c r="BS44" s="270"/>
      <c r="BT44" s="271"/>
      <c r="BU44" s="272" t="str">
        <f t="shared" ca="1" si="40"/>
        <v/>
      </c>
      <c r="BV44" s="270"/>
      <c r="BW44" s="271"/>
      <c r="BX44" s="272" t="str">
        <f t="shared" ca="1" si="41"/>
        <v/>
      </c>
      <c r="BY44" s="270"/>
      <c r="BZ44" s="271"/>
      <c r="CA44" s="272" t="str">
        <f t="shared" ca="1" si="42"/>
        <v/>
      </c>
      <c r="CB44" s="270"/>
      <c r="CC44" s="271"/>
      <c r="CD44" s="272" t="str">
        <f t="shared" ca="1" si="43"/>
        <v/>
      </c>
      <c r="CE44" s="270"/>
      <c r="CF44" s="271"/>
      <c r="CG44" s="272" t="str">
        <f t="shared" ca="1" si="44"/>
        <v/>
      </c>
      <c r="CH44" s="270"/>
      <c r="CI44" s="271"/>
      <c r="CJ44" s="272" t="str">
        <f t="shared" ca="1" si="45"/>
        <v/>
      </c>
      <c r="CK44" s="262"/>
      <c r="CL44" s="264"/>
      <c r="CM44" s="264"/>
      <c r="CN44" s="264"/>
      <c r="CO44" s="264"/>
      <c r="CP44" s="264"/>
      <c r="CQ44" s="264"/>
      <c r="CR44" s="262"/>
      <c r="CS44" s="263"/>
      <c r="CT44" s="297" t="str">
        <f t="shared" si="52"/>
        <v/>
      </c>
      <c r="CU44" s="264"/>
      <c r="CV44" s="265"/>
      <c r="CW44" s="264"/>
      <c r="CX44" s="264"/>
      <c r="CY44" s="264" t="str">
        <f t="shared" si="53"/>
        <v/>
      </c>
      <c r="CZ44" s="264"/>
      <c r="DA44" s="264"/>
      <c r="DB44" s="266"/>
      <c r="DC44" s="264"/>
      <c r="DD44" s="264"/>
      <c r="DE44" s="266"/>
      <c r="DF44" s="266"/>
      <c r="DG44" s="264"/>
      <c r="DH44" s="266"/>
      <c r="DI44" s="266"/>
      <c r="DJ44" s="264"/>
      <c r="DK44" s="264"/>
      <c r="DL44" s="267"/>
      <c r="DM44" s="261">
        <f t="shared" si="54"/>
        <v>0</v>
      </c>
      <c r="DN44" s="295" t="str">
        <f t="shared" si="55"/>
        <v/>
      </c>
      <c r="DO44" s="392" t="str">
        <f t="shared" si="56"/>
        <v/>
      </c>
      <c r="DP44" s="392" t="str">
        <f t="shared" si="46"/>
        <v/>
      </c>
      <c r="DQ44" s="456" t="str">
        <f t="shared" si="57"/>
        <v/>
      </c>
      <c r="DR44" s="456" t="str">
        <f t="shared" si="47"/>
        <v/>
      </c>
    </row>
    <row r="45" spans="1:122" x14ac:dyDescent="0.25">
      <c r="A45" s="599" t="str">
        <f t="shared" si="11"/>
        <v xml:space="preserve">  -  - </v>
      </c>
      <c r="B45" s="306"/>
      <c r="C45" s="305"/>
      <c r="D45" s="301"/>
      <c r="E45" s="276"/>
      <c r="F45" s="278"/>
      <c r="G45" s="311"/>
      <c r="H45" s="276"/>
      <c r="I45" s="313" t="str">
        <f t="shared" si="12"/>
        <v/>
      </c>
      <c r="J45" s="312"/>
      <c r="K45" s="268"/>
      <c r="L45" s="277"/>
      <c r="M45" s="279"/>
      <c r="N45" s="280"/>
      <c r="O45" s="280"/>
      <c r="P45" s="455"/>
      <c r="Q45" s="281" t="str">
        <f t="shared" si="13"/>
        <v/>
      </c>
      <c r="R45" s="282">
        <f t="shared" si="14"/>
        <v>0</v>
      </c>
      <c r="S45" s="268"/>
      <c r="T45" s="283">
        <f t="shared" si="48"/>
        <v>0</v>
      </c>
      <c r="U45" s="284">
        <f>IF(M45=0,0,IF(G45="Annulation","",IF(assurance="ALPTIS",M45*12*T45/100*'11801 Data'!$K$4,IF(assurance="APRIL",M45*12*T45/100*'11801 Data'!$F$4,IF(assurance="ASAF",M45*12*T45/100*'11801 Data'!$I$4,IF(assurance="NEOLIANE",('11801 Data'!$G$5+M45*12*'11801 Data'!$G$4)*T45/100,IF(assurance="NEOLIANE Prev",('11801 Data'!$H$5+M45*12*'11801 Data'!$H$4)*T45/100,IF(assurance="SWISSLIFE",M45*12*T45/100*'11801 Data'!$J$4,IF(assurance="AVIVA",M45*12*T45/100*'11801 Data'!$L$4,IF(assurance="CIPRES",M45*12*T45/100*'11801 Data'!$M$4,IF(assurance="CEGEMA",M45*12*T45/100*'11801 Data'!$N$4,IF(assurance=0,0))))))))))))</f>
        <v>0</v>
      </c>
      <c r="V45" s="298" t="str">
        <f t="shared" si="15"/>
        <v/>
      </c>
      <c r="W45" s="298" t="str">
        <f t="shared" si="16"/>
        <v/>
      </c>
      <c r="X45" s="299">
        <f t="shared" si="49"/>
        <v>0</v>
      </c>
      <c r="Y45" s="368">
        <f t="shared" si="50"/>
        <v>0</v>
      </c>
      <c r="Z45" s="314"/>
      <c r="AA45" s="313" t="str">
        <f t="shared" si="17"/>
        <v/>
      </c>
      <c r="AB45" s="268" t="s">
        <v>13</v>
      </c>
      <c r="AC45" s="277"/>
      <c r="AD45" s="309" t="str">
        <f t="shared" si="18"/>
        <v/>
      </c>
      <c r="AE45" s="286" t="str">
        <f t="shared" si="19"/>
        <v/>
      </c>
      <c r="AF45" s="277"/>
      <c r="AG45" s="275" t="str">
        <f t="shared" si="20"/>
        <v/>
      </c>
      <c r="AH45" s="287" t="str">
        <f t="shared" ca="1" si="21"/>
        <v/>
      </c>
      <c r="AI45" s="373" t="str">
        <f t="shared" ca="1" si="51"/>
        <v/>
      </c>
      <c r="AJ45" s="296" t="str">
        <f t="shared" si="22"/>
        <v/>
      </c>
      <c r="AK45" s="296" t="str">
        <f t="shared" si="23"/>
        <v/>
      </c>
      <c r="AL45" s="287" t="str">
        <f t="shared" si="24"/>
        <v/>
      </c>
      <c r="AM45" s="279">
        <f t="shared" si="25"/>
        <v>0</v>
      </c>
      <c r="AN45" s="279">
        <f t="shared" si="26"/>
        <v>0</v>
      </c>
      <c r="AO45" s="288">
        <f t="shared" si="27"/>
        <v>0</v>
      </c>
      <c r="AP45" s="279">
        <f t="shared" si="28"/>
        <v>0</v>
      </c>
      <c r="AQ45" s="288">
        <f t="shared" si="29"/>
        <v>0</v>
      </c>
      <c r="AR45" s="289">
        <f t="shared" si="30"/>
        <v>0</v>
      </c>
      <c r="AS45" s="279">
        <f t="shared" si="31"/>
        <v>0</v>
      </c>
      <c r="AT45" s="288">
        <f t="shared" si="32"/>
        <v>0</v>
      </c>
      <c r="AU45" s="289">
        <f t="shared" si="33"/>
        <v>0</v>
      </c>
      <c r="AV45" s="279">
        <f t="shared" si="34"/>
        <v>0</v>
      </c>
      <c r="AW45" s="288">
        <f t="shared" si="35"/>
        <v>0</v>
      </c>
      <c r="AX45" s="289">
        <f t="shared" si="36"/>
        <v>0</v>
      </c>
      <c r="AY45" s="268"/>
      <c r="AZ45" s="291"/>
      <c r="BA45" s="292"/>
      <c r="BB45" s="303"/>
      <c r="BC45" s="293"/>
      <c r="BD45" s="293"/>
      <c r="BE45" s="304"/>
      <c r="BF45" s="274"/>
      <c r="BG45" s="377"/>
      <c r="BH45" s="268">
        <v>1</v>
      </c>
      <c r="BI45" s="273">
        <v>0</v>
      </c>
      <c r="BJ45" s="276"/>
      <c r="BK45" s="294"/>
      <c r="BL45" s="269" t="str">
        <f t="shared" ca="1" si="37"/>
        <v/>
      </c>
      <c r="BM45" s="270"/>
      <c r="BN45" s="271"/>
      <c r="BO45" s="272" t="str">
        <f t="shared" ca="1" si="38"/>
        <v/>
      </c>
      <c r="BP45" s="270"/>
      <c r="BQ45" s="271"/>
      <c r="BR45" s="272" t="str">
        <f t="shared" ca="1" si="39"/>
        <v/>
      </c>
      <c r="BS45" s="270"/>
      <c r="BT45" s="271"/>
      <c r="BU45" s="272" t="str">
        <f t="shared" ca="1" si="40"/>
        <v/>
      </c>
      <c r="BV45" s="270"/>
      <c r="BW45" s="271"/>
      <c r="BX45" s="272" t="str">
        <f t="shared" ca="1" si="41"/>
        <v/>
      </c>
      <c r="BY45" s="270"/>
      <c r="BZ45" s="271"/>
      <c r="CA45" s="272" t="str">
        <f t="shared" ca="1" si="42"/>
        <v/>
      </c>
      <c r="CB45" s="270"/>
      <c r="CC45" s="271"/>
      <c r="CD45" s="272" t="str">
        <f t="shared" ca="1" si="43"/>
        <v/>
      </c>
      <c r="CE45" s="270"/>
      <c r="CF45" s="271"/>
      <c r="CG45" s="272" t="str">
        <f t="shared" ca="1" si="44"/>
        <v/>
      </c>
      <c r="CH45" s="270"/>
      <c r="CI45" s="271"/>
      <c r="CJ45" s="272" t="str">
        <f t="shared" ca="1" si="45"/>
        <v/>
      </c>
      <c r="CK45" s="262"/>
      <c r="CL45" s="264"/>
      <c r="CM45" s="264"/>
      <c r="CN45" s="264"/>
      <c r="CO45" s="264"/>
      <c r="CP45" s="264"/>
      <c r="CQ45" s="264"/>
      <c r="CR45" s="262"/>
      <c r="CS45" s="263"/>
      <c r="CT45" s="297" t="str">
        <f t="shared" si="52"/>
        <v/>
      </c>
      <c r="CU45" s="264"/>
      <c r="CV45" s="265"/>
      <c r="CW45" s="264"/>
      <c r="CX45" s="264"/>
      <c r="CY45" s="264" t="str">
        <f t="shared" si="53"/>
        <v/>
      </c>
      <c r="CZ45" s="264"/>
      <c r="DA45" s="264"/>
      <c r="DB45" s="266"/>
      <c r="DC45" s="264"/>
      <c r="DD45" s="264"/>
      <c r="DE45" s="266"/>
      <c r="DF45" s="266"/>
      <c r="DG45" s="264"/>
      <c r="DH45" s="266"/>
      <c r="DI45" s="266"/>
      <c r="DJ45" s="264"/>
      <c r="DK45" s="264"/>
      <c r="DL45" s="267"/>
      <c r="DM45" s="261">
        <f t="shared" si="54"/>
        <v>0</v>
      </c>
      <c r="DN45" s="295" t="str">
        <f t="shared" si="55"/>
        <v/>
      </c>
      <c r="DO45" s="392" t="str">
        <f t="shared" si="56"/>
        <v/>
      </c>
      <c r="DP45" s="392" t="str">
        <f t="shared" si="46"/>
        <v/>
      </c>
      <c r="DQ45" s="456" t="str">
        <f t="shared" si="57"/>
        <v/>
      </c>
      <c r="DR45" s="456" t="str">
        <f t="shared" si="47"/>
        <v/>
      </c>
    </row>
    <row r="46" spans="1:122" x14ac:dyDescent="0.25">
      <c r="A46" s="599" t="str">
        <f t="shared" si="11"/>
        <v xml:space="preserve">  -  - </v>
      </c>
      <c r="B46" s="306"/>
      <c r="C46" s="305"/>
      <c r="D46" s="301"/>
      <c r="E46" s="276"/>
      <c r="F46" s="278"/>
      <c r="G46" s="311"/>
      <c r="H46" s="276"/>
      <c r="I46" s="313" t="str">
        <f t="shared" si="12"/>
        <v/>
      </c>
      <c r="J46" s="312"/>
      <c r="K46" s="268"/>
      <c r="L46" s="277"/>
      <c r="M46" s="279"/>
      <c r="N46" s="280"/>
      <c r="O46" s="280"/>
      <c r="P46" s="455"/>
      <c r="Q46" s="281" t="str">
        <f t="shared" si="13"/>
        <v/>
      </c>
      <c r="R46" s="282">
        <f t="shared" si="14"/>
        <v>0</v>
      </c>
      <c r="S46" s="268"/>
      <c r="T46" s="283">
        <f t="shared" si="48"/>
        <v>0</v>
      </c>
      <c r="U46" s="284">
        <f>IF(M46=0,0,IF(G46="Annulation","",IF(assurance="ALPTIS",M46*12*T46/100*'11801 Data'!$K$4,IF(assurance="APRIL",M46*12*T46/100*'11801 Data'!$F$4,IF(assurance="ASAF",M46*12*T46/100*'11801 Data'!$I$4,IF(assurance="NEOLIANE",('11801 Data'!$G$5+M46*12*'11801 Data'!$G$4)*T46/100,IF(assurance="NEOLIANE Prev",('11801 Data'!$H$5+M46*12*'11801 Data'!$H$4)*T46/100,IF(assurance="SWISSLIFE",M46*12*T46/100*'11801 Data'!$J$4,IF(assurance="AVIVA",M46*12*T46/100*'11801 Data'!$L$4,IF(assurance="CIPRES",M46*12*T46/100*'11801 Data'!$M$4,IF(assurance="CEGEMA",M46*12*T46/100*'11801 Data'!$N$4,IF(assurance=0,0))))))))))))</f>
        <v>0</v>
      </c>
      <c r="V46" s="298" t="str">
        <f t="shared" si="15"/>
        <v/>
      </c>
      <c r="W46" s="298" t="str">
        <f t="shared" si="16"/>
        <v/>
      </c>
      <c r="X46" s="299">
        <f t="shared" si="49"/>
        <v>0</v>
      </c>
      <c r="Y46" s="368">
        <f t="shared" si="50"/>
        <v>0</v>
      </c>
      <c r="Z46" s="314"/>
      <c r="AA46" s="313" t="str">
        <f t="shared" si="17"/>
        <v/>
      </c>
      <c r="AB46" s="268" t="s">
        <v>13</v>
      </c>
      <c r="AC46" s="277"/>
      <c r="AD46" s="309" t="str">
        <f t="shared" si="18"/>
        <v/>
      </c>
      <c r="AE46" s="286" t="str">
        <f t="shared" si="19"/>
        <v/>
      </c>
      <c r="AF46" s="277"/>
      <c r="AG46" s="275" t="str">
        <f t="shared" si="20"/>
        <v/>
      </c>
      <c r="AH46" s="287" t="str">
        <f t="shared" ca="1" si="21"/>
        <v/>
      </c>
      <c r="AI46" s="373" t="str">
        <f t="shared" ca="1" si="51"/>
        <v/>
      </c>
      <c r="AJ46" s="296" t="str">
        <f t="shared" si="22"/>
        <v/>
      </c>
      <c r="AK46" s="296" t="str">
        <f t="shared" si="23"/>
        <v/>
      </c>
      <c r="AL46" s="287" t="str">
        <f t="shared" si="24"/>
        <v/>
      </c>
      <c r="AM46" s="279">
        <f t="shared" si="25"/>
        <v>0</v>
      </c>
      <c r="AN46" s="279">
        <f t="shared" si="26"/>
        <v>0</v>
      </c>
      <c r="AO46" s="288">
        <f t="shared" si="27"/>
        <v>0</v>
      </c>
      <c r="AP46" s="279">
        <f t="shared" si="28"/>
        <v>0</v>
      </c>
      <c r="AQ46" s="288">
        <f t="shared" si="29"/>
        <v>0</v>
      </c>
      <c r="AR46" s="289">
        <f t="shared" si="30"/>
        <v>0</v>
      </c>
      <c r="AS46" s="279">
        <f t="shared" si="31"/>
        <v>0</v>
      </c>
      <c r="AT46" s="288">
        <f t="shared" si="32"/>
        <v>0</v>
      </c>
      <c r="AU46" s="289">
        <f t="shared" si="33"/>
        <v>0</v>
      </c>
      <c r="AV46" s="279">
        <f t="shared" si="34"/>
        <v>0</v>
      </c>
      <c r="AW46" s="288">
        <f t="shared" si="35"/>
        <v>0</v>
      </c>
      <c r="AX46" s="289">
        <f t="shared" si="36"/>
        <v>0</v>
      </c>
      <c r="AY46" s="268"/>
      <c r="AZ46" s="291"/>
      <c r="BA46" s="292"/>
      <c r="BB46" s="303"/>
      <c r="BC46" s="293"/>
      <c r="BD46" s="293"/>
      <c r="BE46" s="304"/>
      <c r="BF46" s="274"/>
      <c r="BG46" s="377"/>
      <c r="BH46" s="268">
        <v>1</v>
      </c>
      <c r="BI46" s="273">
        <v>0</v>
      </c>
      <c r="BJ46" s="276"/>
      <c r="BK46" s="294"/>
      <c r="BL46" s="269" t="str">
        <f t="shared" ca="1" si="37"/>
        <v/>
      </c>
      <c r="BM46" s="270"/>
      <c r="BN46" s="271"/>
      <c r="BO46" s="272" t="str">
        <f t="shared" ca="1" si="38"/>
        <v/>
      </c>
      <c r="BP46" s="270"/>
      <c r="BQ46" s="271"/>
      <c r="BR46" s="272" t="str">
        <f t="shared" ca="1" si="39"/>
        <v/>
      </c>
      <c r="BS46" s="270"/>
      <c r="BT46" s="271"/>
      <c r="BU46" s="272" t="str">
        <f t="shared" ca="1" si="40"/>
        <v/>
      </c>
      <c r="BV46" s="270"/>
      <c r="BW46" s="271"/>
      <c r="BX46" s="272" t="str">
        <f t="shared" ca="1" si="41"/>
        <v/>
      </c>
      <c r="BY46" s="270"/>
      <c r="BZ46" s="271"/>
      <c r="CA46" s="272" t="str">
        <f t="shared" ca="1" si="42"/>
        <v/>
      </c>
      <c r="CB46" s="270"/>
      <c r="CC46" s="271"/>
      <c r="CD46" s="272" t="str">
        <f t="shared" ca="1" si="43"/>
        <v/>
      </c>
      <c r="CE46" s="270"/>
      <c r="CF46" s="271"/>
      <c r="CG46" s="272" t="str">
        <f t="shared" ca="1" si="44"/>
        <v/>
      </c>
      <c r="CH46" s="270"/>
      <c r="CI46" s="271"/>
      <c r="CJ46" s="272" t="str">
        <f t="shared" ca="1" si="45"/>
        <v/>
      </c>
      <c r="CK46" s="262"/>
      <c r="CL46" s="264"/>
      <c r="CM46" s="264"/>
      <c r="CN46" s="264"/>
      <c r="CO46" s="264"/>
      <c r="CP46" s="264"/>
      <c r="CQ46" s="264"/>
      <c r="CR46" s="262"/>
      <c r="CS46" s="263"/>
      <c r="CT46" s="297" t="str">
        <f t="shared" si="52"/>
        <v/>
      </c>
      <c r="CU46" s="264"/>
      <c r="CV46" s="265"/>
      <c r="CW46" s="264"/>
      <c r="CX46" s="264"/>
      <c r="CY46" s="264" t="str">
        <f t="shared" si="53"/>
        <v/>
      </c>
      <c r="CZ46" s="264"/>
      <c r="DA46" s="264"/>
      <c r="DB46" s="266"/>
      <c r="DC46" s="264"/>
      <c r="DD46" s="264"/>
      <c r="DE46" s="266"/>
      <c r="DF46" s="266"/>
      <c r="DG46" s="264"/>
      <c r="DH46" s="266"/>
      <c r="DI46" s="266"/>
      <c r="DJ46" s="264"/>
      <c r="DK46" s="264"/>
      <c r="DL46" s="267"/>
      <c r="DM46" s="261">
        <f t="shared" si="54"/>
        <v>0</v>
      </c>
      <c r="DN46" s="295" t="str">
        <f t="shared" si="55"/>
        <v/>
      </c>
      <c r="DO46" s="392" t="str">
        <f t="shared" si="56"/>
        <v/>
      </c>
      <c r="DP46" s="392" t="str">
        <f t="shared" si="46"/>
        <v/>
      </c>
      <c r="DQ46" s="456" t="str">
        <f t="shared" si="57"/>
        <v/>
      </c>
      <c r="DR46" s="456" t="str">
        <f t="shared" si="47"/>
        <v/>
      </c>
    </row>
    <row r="47" spans="1:122" x14ac:dyDescent="0.25">
      <c r="A47" s="599" t="str">
        <f t="shared" si="11"/>
        <v xml:space="preserve">  -  - </v>
      </c>
      <c r="B47" s="306"/>
      <c r="C47" s="305"/>
      <c r="D47" s="301"/>
      <c r="E47" s="276"/>
      <c r="F47" s="278"/>
      <c r="G47" s="311"/>
      <c r="H47" s="276"/>
      <c r="I47" s="313" t="str">
        <f t="shared" si="12"/>
        <v/>
      </c>
      <c r="J47" s="312"/>
      <c r="K47" s="268"/>
      <c r="L47" s="277"/>
      <c r="M47" s="279"/>
      <c r="N47" s="280"/>
      <c r="O47" s="280"/>
      <c r="P47" s="455"/>
      <c r="Q47" s="281" t="str">
        <f t="shared" si="13"/>
        <v/>
      </c>
      <c r="R47" s="282">
        <f t="shared" si="14"/>
        <v>0</v>
      </c>
      <c r="S47" s="268"/>
      <c r="T47" s="283">
        <f t="shared" si="48"/>
        <v>0</v>
      </c>
      <c r="U47" s="284">
        <f>IF(M47=0,0,IF(G47="Annulation","",IF(assurance="ALPTIS",M47*12*T47/100*'11801 Data'!$K$4,IF(assurance="APRIL",M47*12*T47/100*'11801 Data'!$F$4,IF(assurance="ASAF",M47*12*T47/100*'11801 Data'!$I$4,IF(assurance="NEOLIANE",('11801 Data'!$G$5+M47*12*'11801 Data'!$G$4)*T47/100,IF(assurance="NEOLIANE Prev",('11801 Data'!$H$5+M47*12*'11801 Data'!$H$4)*T47/100,IF(assurance="SWISSLIFE",M47*12*T47/100*'11801 Data'!$J$4,IF(assurance="AVIVA",M47*12*T47/100*'11801 Data'!$L$4,IF(assurance="CIPRES",M47*12*T47/100*'11801 Data'!$M$4,IF(assurance="CEGEMA",M47*12*T47/100*'11801 Data'!$N$4,IF(assurance=0,0))))))))))))</f>
        <v>0</v>
      </c>
      <c r="V47" s="298" t="str">
        <f t="shared" si="15"/>
        <v/>
      </c>
      <c r="W47" s="298" t="str">
        <f t="shared" si="16"/>
        <v/>
      </c>
      <c r="X47" s="299">
        <f t="shared" si="49"/>
        <v>0</v>
      </c>
      <c r="Y47" s="368">
        <f t="shared" si="50"/>
        <v>0</v>
      </c>
      <c r="Z47" s="314"/>
      <c r="AA47" s="313" t="str">
        <f t="shared" si="17"/>
        <v/>
      </c>
      <c r="AB47" s="268" t="s">
        <v>13</v>
      </c>
      <c r="AC47" s="277"/>
      <c r="AD47" s="309" t="str">
        <f t="shared" si="18"/>
        <v/>
      </c>
      <c r="AE47" s="286" t="str">
        <f t="shared" si="19"/>
        <v/>
      </c>
      <c r="AF47" s="277"/>
      <c r="AG47" s="275" t="str">
        <f t="shared" si="20"/>
        <v/>
      </c>
      <c r="AH47" s="287" t="str">
        <f t="shared" ca="1" si="21"/>
        <v/>
      </c>
      <c r="AI47" s="373" t="str">
        <f t="shared" ca="1" si="51"/>
        <v/>
      </c>
      <c r="AJ47" s="296" t="str">
        <f t="shared" si="22"/>
        <v/>
      </c>
      <c r="AK47" s="296" t="str">
        <f t="shared" si="23"/>
        <v/>
      </c>
      <c r="AL47" s="287" t="str">
        <f t="shared" si="24"/>
        <v/>
      </c>
      <c r="AM47" s="279">
        <f t="shared" si="25"/>
        <v>0</v>
      </c>
      <c r="AN47" s="279">
        <f t="shared" si="26"/>
        <v>0</v>
      </c>
      <c r="AO47" s="288">
        <f t="shared" si="27"/>
        <v>0</v>
      </c>
      <c r="AP47" s="279">
        <f t="shared" si="28"/>
        <v>0</v>
      </c>
      <c r="AQ47" s="288">
        <f t="shared" si="29"/>
        <v>0</v>
      </c>
      <c r="AR47" s="289">
        <f t="shared" si="30"/>
        <v>0</v>
      </c>
      <c r="AS47" s="279">
        <f t="shared" si="31"/>
        <v>0</v>
      </c>
      <c r="AT47" s="288">
        <f t="shared" si="32"/>
        <v>0</v>
      </c>
      <c r="AU47" s="289">
        <f t="shared" si="33"/>
        <v>0</v>
      </c>
      <c r="AV47" s="279">
        <f t="shared" si="34"/>
        <v>0</v>
      </c>
      <c r="AW47" s="288">
        <f t="shared" si="35"/>
        <v>0</v>
      </c>
      <c r="AX47" s="289">
        <f t="shared" si="36"/>
        <v>0</v>
      </c>
      <c r="AY47" s="268"/>
      <c r="AZ47" s="291"/>
      <c r="BA47" s="292"/>
      <c r="BB47" s="303"/>
      <c r="BC47" s="293"/>
      <c r="BD47" s="293"/>
      <c r="BE47" s="304"/>
      <c r="BF47" s="274"/>
      <c r="BG47" s="377"/>
      <c r="BH47" s="268">
        <v>1</v>
      </c>
      <c r="BI47" s="273">
        <v>0</v>
      </c>
      <c r="BJ47" s="276"/>
      <c r="BK47" s="294"/>
      <c r="BL47" s="269" t="str">
        <f t="shared" ca="1" si="37"/>
        <v/>
      </c>
      <c r="BM47" s="270"/>
      <c r="BN47" s="271"/>
      <c r="BO47" s="272" t="str">
        <f t="shared" ca="1" si="38"/>
        <v/>
      </c>
      <c r="BP47" s="270"/>
      <c r="BQ47" s="271"/>
      <c r="BR47" s="272" t="str">
        <f t="shared" ca="1" si="39"/>
        <v/>
      </c>
      <c r="BS47" s="270"/>
      <c r="BT47" s="271"/>
      <c r="BU47" s="272" t="str">
        <f t="shared" ca="1" si="40"/>
        <v/>
      </c>
      <c r="BV47" s="270"/>
      <c r="BW47" s="271"/>
      <c r="BX47" s="272" t="str">
        <f t="shared" ca="1" si="41"/>
        <v/>
      </c>
      <c r="BY47" s="270"/>
      <c r="BZ47" s="271"/>
      <c r="CA47" s="272" t="str">
        <f t="shared" ca="1" si="42"/>
        <v/>
      </c>
      <c r="CB47" s="270"/>
      <c r="CC47" s="271"/>
      <c r="CD47" s="272" t="str">
        <f t="shared" ca="1" si="43"/>
        <v/>
      </c>
      <c r="CE47" s="270"/>
      <c r="CF47" s="271"/>
      <c r="CG47" s="272" t="str">
        <f t="shared" ca="1" si="44"/>
        <v/>
      </c>
      <c r="CH47" s="270"/>
      <c r="CI47" s="271"/>
      <c r="CJ47" s="272" t="str">
        <f t="shared" ca="1" si="45"/>
        <v/>
      </c>
      <c r="CK47" s="262"/>
      <c r="CL47" s="264"/>
      <c r="CM47" s="264"/>
      <c r="CN47" s="264"/>
      <c r="CO47" s="264"/>
      <c r="CP47" s="264"/>
      <c r="CQ47" s="264"/>
      <c r="CR47" s="262"/>
      <c r="CS47" s="263"/>
      <c r="CT47" s="297" t="str">
        <f t="shared" si="52"/>
        <v/>
      </c>
      <c r="CU47" s="264"/>
      <c r="CV47" s="265"/>
      <c r="CW47" s="264"/>
      <c r="CX47" s="264"/>
      <c r="CY47" s="264" t="str">
        <f t="shared" si="53"/>
        <v/>
      </c>
      <c r="CZ47" s="264"/>
      <c r="DA47" s="264"/>
      <c r="DB47" s="266"/>
      <c r="DC47" s="264"/>
      <c r="DD47" s="264"/>
      <c r="DE47" s="266"/>
      <c r="DF47" s="266"/>
      <c r="DG47" s="264"/>
      <c r="DH47" s="266"/>
      <c r="DI47" s="266"/>
      <c r="DJ47" s="264"/>
      <c r="DK47" s="264"/>
      <c r="DL47" s="267"/>
      <c r="DM47" s="261">
        <f t="shared" si="54"/>
        <v>0</v>
      </c>
      <c r="DN47" s="295" t="str">
        <f t="shared" si="55"/>
        <v/>
      </c>
      <c r="DO47" s="392" t="str">
        <f t="shared" si="56"/>
        <v/>
      </c>
      <c r="DP47" s="392" t="str">
        <f t="shared" si="46"/>
        <v/>
      </c>
      <c r="DQ47" s="456" t="str">
        <f t="shared" si="57"/>
        <v/>
      </c>
      <c r="DR47" s="456" t="str">
        <f t="shared" si="47"/>
        <v/>
      </c>
    </row>
    <row r="48" spans="1:122" x14ac:dyDescent="0.25">
      <c r="A48" s="599" t="str">
        <f t="shared" si="11"/>
        <v xml:space="preserve">  -  - </v>
      </c>
      <c r="B48" s="306"/>
      <c r="C48" s="305"/>
      <c r="D48" s="301"/>
      <c r="E48" s="276"/>
      <c r="F48" s="278"/>
      <c r="G48" s="311"/>
      <c r="H48" s="276"/>
      <c r="I48" s="313" t="str">
        <f t="shared" si="12"/>
        <v/>
      </c>
      <c r="J48" s="312"/>
      <c r="K48" s="268"/>
      <c r="L48" s="277"/>
      <c r="M48" s="279"/>
      <c r="N48" s="280"/>
      <c r="O48" s="280"/>
      <c r="P48" s="455"/>
      <c r="Q48" s="281" t="str">
        <f t="shared" si="13"/>
        <v/>
      </c>
      <c r="R48" s="282">
        <f t="shared" si="14"/>
        <v>0</v>
      </c>
      <c r="S48" s="268"/>
      <c r="T48" s="283">
        <f t="shared" si="48"/>
        <v>0</v>
      </c>
      <c r="U48" s="284">
        <f>IF(M48=0,0,IF(G48="Annulation","",IF(assurance="ALPTIS",M48*12*T48/100*'11801 Data'!$K$4,IF(assurance="APRIL",M48*12*T48/100*'11801 Data'!$F$4,IF(assurance="ASAF",M48*12*T48/100*'11801 Data'!$I$4,IF(assurance="NEOLIANE",('11801 Data'!$G$5+M48*12*'11801 Data'!$G$4)*T48/100,IF(assurance="NEOLIANE Prev",('11801 Data'!$H$5+M48*12*'11801 Data'!$H$4)*T48/100,IF(assurance="SWISSLIFE",M48*12*T48/100*'11801 Data'!$J$4,IF(assurance="AVIVA",M48*12*T48/100*'11801 Data'!$L$4,IF(assurance="CIPRES",M48*12*T48/100*'11801 Data'!$M$4,IF(assurance="CEGEMA",M48*12*T48/100*'11801 Data'!$N$4,IF(assurance=0,0))))))))))))</f>
        <v>0</v>
      </c>
      <c r="V48" s="298" t="str">
        <f t="shared" si="15"/>
        <v/>
      </c>
      <c r="W48" s="298" t="str">
        <f t="shared" si="16"/>
        <v/>
      </c>
      <c r="X48" s="299">
        <f t="shared" si="49"/>
        <v>0</v>
      </c>
      <c r="Y48" s="368">
        <f t="shared" si="50"/>
        <v>0</v>
      </c>
      <c r="Z48" s="314"/>
      <c r="AA48" s="313" t="str">
        <f t="shared" si="17"/>
        <v/>
      </c>
      <c r="AB48" s="268" t="s">
        <v>13</v>
      </c>
      <c r="AC48" s="277"/>
      <c r="AD48" s="309" t="str">
        <f t="shared" si="18"/>
        <v/>
      </c>
      <c r="AE48" s="286" t="str">
        <f t="shared" si="19"/>
        <v/>
      </c>
      <c r="AF48" s="277"/>
      <c r="AG48" s="275" t="str">
        <f t="shared" si="20"/>
        <v/>
      </c>
      <c r="AH48" s="287" t="str">
        <f t="shared" ca="1" si="21"/>
        <v/>
      </c>
      <c r="AI48" s="373" t="str">
        <f t="shared" ca="1" si="51"/>
        <v/>
      </c>
      <c r="AJ48" s="296" t="str">
        <f t="shared" si="22"/>
        <v/>
      </c>
      <c r="AK48" s="296" t="str">
        <f t="shared" si="23"/>
        <v/>
      </c>
      <c r="AL48" s="287" t="str">
        <f t="shared" si="24"/>
        <v/>
      </c>
      <c r="AM48" s="279">
        <f t="shared" si="25"/>
        <v>0</v>
      </c>
      <c r="AN48" s="279">
        <f t="shared" si="26"/>
        <v>0</v>
      </c>
      <c r="AO48" s="288">
        <f t="shared" si="27"/>
        <v>0</v>
      </c>
      <c r="AP48" s="279">
        <f t="shared" si="28"/>
        <v>0</v>
      </c>
      <c r="AQ48" s="288">
        <f t="shared" si="29"/>
        <v>0</v>
      </c>
      <c r="AR48" s="289">
        <f t="shared" si="30"/>
        <v>0</v>
      </c>
      <c r="AS48" s="279">
        <f t="shared" si="31"/>
        <v>0</v>
      </c>
      <c r="AT48" s="288">
        <f t="shared" si="32"/>
        <v>0</v>
      </c>
      <c r="AU48" s="289">
        <f t="shared" si="33"/>
        <v>0</v>
      </c>
      <c r="AV48" s="279">
        <f t="shared" si="34"/>
        <v>0</v>
      </c>
      <c r="AW48" s="288">
        <f t="shared" si="35"/>
        <v>0</v>
      </c>
      <c r="AX48" s="289">
        <f t="shared" si="36"/>
        <v>0</v>
      </c>
      <c r="AY48" s="268"/>
      <c r="AZ48" s="291"/>
      <c r="BA48" s="292"/>
      <c r="BB48" s="303"/>
      <c r="BC48" s="293"/>
      <c r="BD48" s="293"/>
      <c r="BE48" s="304"/>
      <c r="BF48" s="274"/>
      <c r="BG48" s="377"/>
      <c r="BH48" s="268">
        <v>1</v>
      </c>
      <c r="BI48" s="273">
        <v>0</v>
      </c>
      <c r="BJ48" s="276"/>
      <c r="BK48" s="294"/>
      <c r="BL48" s="269" t="str">
        <f t="shared" ca="1" si="37"/>
        <v/>
      </c>
      <c r="BM48" s="270"/>
      <c r="BN48" s="271"/>
      <c r="BO48" s="272" t="str">
        <f t="shared" ca="1" si="38"/>
        <v/>
      </c>
      <c r="BP48" s="270"/>
      <c r="BQ48" s="271"/>
      <c r="BR48" s="272" t="str">
        <f t="shared" ca="1" si="39"/>
        <v/>
      </c>
      <c r="BS48" s="270"/>
      <c r="BT48" s="271"/>
      <c r="BU48" s="272" t="str">
        <f t="shared" ca="1" si="40"/>
        <v/>
      </c>
      <c r="BV48" s="270"/>
      <c r="BW48" s="271"/>
      <c r="BX48" s="272" t="str">
        <f t="shared" ca="1" si="41"/>
        <v/>
      </c>
      <c r="BY48" s="270"/>
      <c r="BZ48" s="271"/>
      <c r="CA48" s="272" t="str">
        <f t="shared" ca="1" si="42"/>
        <v/>
      </c>
      <c r="CB48" s="270"/>
      <c r="CC48" s="271"/>
      <c r="CD48" s="272" t="str">
        <f t="shared" ca="1" si="43"/>
        <v/>
      </c>
      <c r="CE48" s="270"/>
      <c r="CF48" s="271"/>
      <c r="CG48" s="272" t="str">
        <f t="shared" ca="1" si="44"/>
        <v/>
      </c>
      <c r="CH48" s="270"/>
      <c r="CI48" s="271"/>
      <c r="CJ48" s="272" t="str">
        <f t="shared" ca="1" si="45"/>
        <v/>
      </c>
      <c r="CK48" s="262"/>
      <c r="CL48" s="264"/>
      <c r="CM48" s="264"/>
      <c r="CN48" s="264"/>
      <c r="CO48" s="264"/>
      <c r="CP48" s="264"/>
      <c r="CQ48" s="264"/>
      <c r="CR48" s="262"/>
      <c r="CS48" s="263"/>
      <c r="CT48" s="297" t="str">
        <f t="shared" si="52"/>
        <v/>
      </c>
      <c r="CU48" s="264"/>
      <c r="CV48" s="265"/>
      <c r="CW48" s="264"/>
      <c r="CX48" s="264"/>
      <c r="CY48" s="264" t="str">
        <f t="shared" si="53"/>
        <v/>
      </c>
      <c r="CZ48" s="264"/>
      <c r="DA48" s="264"/>
      <c r="DB48" s="266"/>
      <c r="DC48" s="264"/>
      <c r="DD48" s="264"/>
      <c r="DE48" s="266"/>
      <c r="DF48" s="266"/>
      <c r="DG48" s="264"/>
      <c r="DH48" s="266"/>
      <c r="DI48" s="266"/>
      <c r="DJ48" s="264"/>
      <c r="DK48" s="264"/>
      <c r="DL48" s="267"/>
      <c r="DM48" s="261">
        <f t="shared" si="54"/>
        <v>0</v>
      </c>
      <c r="DN48" s="295" t="str">
        <f t="shared" si="55"/>
        <v/>
      </c>
      <c r="DO48" s="392" t="str">
        <f t="shared" si="56"/>
        <v/>
      </c>
      <c r="DP48" s="392" t="str">
        <f t="shared" si="46"/>
        <v/>
      </c>
      <c r="DQ48" s="456" t="str">
        <f t="shared" si="57"/>
        <v/>
      </c>
      <c r="DR48" s="456" t="str">
        <f t="shared" si="47"/>
        <v/>
      </c>
    </row>
    <row r="49" spans="1:122" x14ac:dyDescent="0.25">
      <c r="A49" s="599" t="str">
        <f t="shared" si="11"/>
        <v xml:space="preserve">  -  - </v>
      </c>
      <c r="B49" s="306"/>
      <c r="C49" s="305"/>
      <c r="D49" s="301"/>
      <c r="E49" s="276"/>
      <c r="F49" s="278"/>
      <c r="G49" s="311"/>
      <c r="H49" s="276"/>
      <c r="I49" s="313" t="str">
        <f t="shared" si="12"/>
        <v/>
      </c>
      <c r="J49" s="312"/>
      <c r="K49" s="268"/>
      <c r="L49" s="277"/>
      <c r="M49" s="279"/>
      <c r="N49" s="280"/>
      <c r="O49" s="280"/>
      <c r="P49" s="455"/>
      <c r="Q49" s="281" t="str">
        <f t="shared" si="13"/>
        <v/>
      </c>
      <c r="R49" s="282">
        <f t="shared" si="14"/>
        <v>0</v>
      </c>
      <c r="S49" s="268"/>
      <c r="T49" s="283">
        <f t="shared" si="48"/>
        <v>0</v>
      </c>
      <c r="U49" s="284">
        <f>IF(M49=0,0,IF(G49="Annulation","",IF(assurance="ALPTIS",M49*12*T49/100*'11801 Data'!$K$4,IF(assurance="APRIL",M49*12*T49/100*'11801 Data'!$F$4,IF(assurance="ASAF",M49*12*T49/100*'11801 Data'!$I$4,IF(assurance="NEOLIANE",('11801 Data'!$G$5+M49*12*'11801 Data'!$G$4)*T49/100,IF(assurance="NEOLIANE Prev",('11801 Data'!$H$5+M49*12*'11801 Data'!$H$4)*T49/100,IF(assurance="SWISSLIFE",M49*12*T49/100*'11801 Data'!$J$4,IF(assurance="AVIVA",M49*12*T49/100*'11801 Data'!$L$4,IF(assurance="CIPRES",M49*12*T49/100*'11801 Data'!$M$4,IF(assurance="CEGEMA",M49*12*T49/100*'11801 Data'!$N$4,IF(assurance=0,0))))))))))))</f>
        <v>0</v>
      </c>
      <c r="V49" s="298" t="str">
        <f t="shared" si="15"/>
        <v/>
      </c>
      <c r="W49" s="298" t="str">
        <f t="shared" si="16"/>
        <v/>
      </c>
      <c r="X49" s="299">
        <f t="shared" si="49"/>
        <v>0</v>
      </c>
      <c r="Y49" s="368">
        <f t="shared" si="50"/>
        <v>0</v>
      </c>
      <c r="Z49" s="314"/>
      <c r="AA49" s="313" t="str">
        <f t="shared" si="17"/>
        <v/>
      </c>
      <c r="AB49" s="268" t="s">
        <v>13</v>
      </c>
      <c r="AC49" s="277"/>
      <c r="AD49" s="309" t="str">
        <f t="shared" si="18"/>
        <v/>
      </c>
      <c r="AE49" s="286" t="str">
        <f t="shared" si="19"/>
        <v/>
      </c>
      <c r="AF49" s="277"/>
      <c r="AG49" s="275" t="str">
        <f t="shared" si="20"/>
        <v/>
      </c>
      <c r="AH49" s="287" t="str">
        <f t="shared" ca="1" si="21"/>
        <v/>
      </c>
      <c r="AI49" s="373" t="str">
        <f t="shared" ca="1" si="51"/>
        <v/>
      </c>
      <c r="AJ49" s="296" t="str">
        <f t="shared" si="22"/>
        <v/>
      </c>
      <c r="AK49" s="296" t="str">
        <f t="shared" si="23"/>
        <v/>
      </c>
      <c r="AL49" s="287" t="str">
        <f t="shared" si="24"/>
        <v/>
      </c>
      <c r="AM49" s="279">
        <f t="shared" si="25"/>
        <v>0</v>
      </c>
      <c r="AN49" s="279">
        <f t="shared" si="26"/>
        <v>0</v>
      </c>
      <c r="AO49" s="288">
        <f t="shared" si="27"/>
        <v>0</v>
      </c>
      <c r="AP49" s="279">
        <f t="shared" si="28"/>
        <v>0</v>
      </c>
      <c r="AQ49" s="288">
        <f t="shared" si="29"/>
        <v>0</v>
      </c>
      <c r="AR49" s="289">
        <f t="shared" si="30"/>
        <v>0</v>
      </c>
      <c r="AS49" s="279">
        <f t="shared" si="31"/>
        <v>0</v>
      </c>
      <c r="AT49" s="288">
        <f t="shared" si="32"/>
        <v>0</v>
      </c>
      <c r="AU49" s="289">
        <f t="shared" si="33"/>
        <v>0</v>
      </c>
      <c r="AV49" s="279">
        <f t="shared" si="34"/>
        <v>0</v>
      </c>
      <c r="AW49" s="288">
        <f t="shared" si="35"/>
        <v>0</v>
      </c>
      <c r="AX49" s="289">
        <f t="shared" si="36"/>
        <v>0</v>
      </c>
      <c r="AY49" s="268"/>
      <c r="AZ49" s="291"/>
      <c r="BA49" s="292"/>
      <c r="BB49" s="303"/>
      <c r="BC49" s="293"/>
      <c r="BD49" s="293"/>
      <c r="BE49" s="304"/>
      <c r="BF49" s="274"/>
      <c r="BG49" s="377"/>
      <c r="BH49" s="268">
        <v>1</v>
      </c>
      <c r="BI49" s="273">
        <v>0</v>
      </c>
      <c r="BJ49" s="276"/>
      <c r="BK49" s="294"/>
      <c r="BL49" s="269" t="str">
        <f t="shared" ca="1" si="37"/>
        <v/>
      </c>
      <c r="BM49" s="270"/>
      <c r="BN49" s="271"/>
      <c r="BO49" s="272" t="str">
        <f t="shared" ca="1" si="38"/>
        <v/>
      </c>
      <c r="BP49" s="270"/>
      <c r="BQ49" s="271"/>
      <c r="BR49" s="272" t="str">
        <f t="shared" ca="1" si="39"/>
        <v/>
      </c>
      <c r="BS49" s="270"/>
      <c r="BT49" s="271"/>
      <c r="BU49" s="272" t="str">
        <f t="shared" ca="1" si="40"/>
        <v/>
      </c>
      <c r="BV49" s="270"/>
      <c r="BW49" s="271"/>
      <c r="BX49" s="272" t="str">
        <f t="shared" ca="1" si="41"/>
        <v/>
      </c>
      <c r="BY49" s="270"/>
      <c r="BZ49" s="271"/>
      <c r="CA49" s="272" t="str">
        <f t="shared" ca="1" si="42"/>
        <v/>
      </c>
      <c r="CB49" s="270"/>
      <c r="CC49" s="271"/>
      <c r="CD49" s="272" t="str">
        <f t="shared" ca="1" si="43"/>
        <v/>
      </c>
      <c r="CE49" s="270"/>
      <c r="CF49" s="271"/>
      <c r="CG49" s="272" t="str">
        <f t="shared" ca="1" si="44"/>
        <v/>
      </c>
      <c r="CH49" s="270"/>
      <c r="CI49" s="271"/>
      <c r="CJ49" s="272" t="str">
        <f t="shared" ca="1" si="45"/>
        <v/>
      </c>
      <c r="CK49" s="262"/>
      <c r="CL49" s="264"/>
      <c r="CM49" s="264"/>
      <c r="CN49" s="264"/>
      <c r="CO49" s="264"/>
      <c r="CP49" s="264"/>
      <c r="CQ49" s="264"/>
      <c r="CR49" s="262"/>
      <c r="CS49" s="263"/>
      <c r="CT49" s="297" t="str">
        <f t="shared" si="52"/>
        <v/>
      </c>
      <c r="CU49" s="264"/>
      <c r="CV49" s="265"/>
      <c r="CW49" s="264"/>
      <c r="CX49" s="264"/>
      <c r="CY49" s="264" t="str">
        <f t="shared" si="53"/>
        <v/>
      </c>
      <c r="CZ49" s="264"/>
      <c r="DA49" s="264"/>
      <c r="DB49" s="266"/>
      <c r="DC49" s="264"/>
      <c r="DD49" s="264"/>
      <c r="DE49" s="266"/>
      <c r="DF49" s="266"/>
      <c r="DG49" s="264"/>
      <c r="DH49" s="266"/>
      <c r="DI49" s="266"/>
      <c r="DJ49" s="264"/>
      <c r="DK49" s="264"/>
      <c r="DL49" s="267"/>
      <c r="DM49" s="261">
        <f t="shared" si="54"/>
        <v>0</v>
      </c>
      <c r="DN49" s="295" t="str">
        <f t="shared" si="55"/>
        <v/>
      </c>
      <c r="DO49" s="392" t="str">
        <f t="shared" si="56"/>
        <v/>
      </c>
      <c r="DP49" s="392" t="str">
        <f t="shared" si="46"/>
        <v/>
      </c>
      <c r="DQ49" s="456" t="str">
        <f t="shared" si="57"/>
        <v/>
      </c>
      <c r="DR49" s="456" t="str">
        <f t="shared" si="47"/>
        <v/>
      </c>
    </row>
    <row r="50" spans="1:122" x14ac:dyDescent="0.25">
      <c r="A50" s="599" t="str">
        <f t="shared" si="11"/>
        <v xml:space="preserve">  -  - </v>
      </c>
      <c r="B50" s="306"/>
      <c r="C50" s="305"/>
      <c r="D50" s="301"/>
      <c r="E50" s="276"/>
      <c r="F50" s="278"/>
      <c r="G50" s="311"/>
      <c r="H50" s="276"/>
      <c r="I50" s="313" t="str">
        <f t="shared" si="12"/>
        <v/>
      </c>
      <c r="J50" s="312"/>
      <c r="K50" s="268"/>
      <c r="L50" s="277"/>
      <c r="M50" s="279"/>
      <c r="N50" s="280"/>
      <c r="O50" s="280"/>
      <c r="P50" s="455"/>
      <c r="Q50" s="281" t="str">
        <f t="shared" si="13"/>
        <v/>
      </c>
      <c r="R50" s="282">
        <f t="shared" si="14"/>
        <v>0</v>
      </c>
      <c r="S50" s="268"/>
      <c r="T50" s="283">
        <f t="shared" si="48"/>
        <v>0</v>
      </c>
      <c r="U50" s="284">
        <f>IF(M50=0,0,IF(G50="Annulation","",IF(assurance="ALPTIS",M50*12*T50/100*'11801 Data'!$K$4,IF(assurance="APRIL",M50*12*T50/100*'11801 Data'!$F$4,IF(assurance="ASAF",M50*12*T50/100*'11801 Data'!$I$4,IF(assurance="NEOLIANE",('11801 Data'!$G$5+M50*12*'11801 Data'!$G$4)*T50/100,IF(assurance="NEOLIANE Prev",('11801 Data'!$H$5+M50*12*'11801 Data'!$H$4)*T50/100,IF(assurance="SWISSLIFE",M50*12*T50/100*'11801 Data'!$J$4,IF(assurance="AVIVA",M50*12*T50/100*'11801 Data'!$L$4,IF(assurance="CIPRES",M50*12*T50/100*'11801 Data'!$M$4,IF(assurance="CEGEMA",M50*12*T50/100*'11801 Data'!$N$4,IF(assurance=0,0))))))))))))</f>
        <v>0</v>
      </c>
      <c r="V50" s="298" t="str">
        <f t="shared" si="15"/>
        <v/>
      </c>
      <c r="W50" s="298" t="str">
        <f t="shared" si="16"/>
        <v/>
      </c>
      <c r="X50" s="299">
        <f t="shared" si="49"/>
        <v>0</v>
      </c>
      <c r="Y50" s="368">
        <f t="shared" si="50"/>
        <v>0</v>
      </c>
      <c r="Z50" s="314"/>
      <c r="AA50" s="313" t="str">
        <f t="shared" si="17"/>
        <v/>
      </c>
      <c r="AB50" s="268" t="s">
        <v>13</v>
      </c>
      <c r="AC50" s="277"/>
      <c r="AD50" s="309" t="str">
        <f t="shared" si="18"/>
        <v/>
      </c>
      <c r="AE50" s="286" t="str">
        <f t="shared" si="19"/>
        <v/>
      </c>
      <c r="AF50" s="277"/>
      <c r="AG50" s="275" t="str">
        <f t="shared" si="20"/>
        <v/>
      </c>
      <c r="AH50" s="287" t="str">
        <f t="shared" ca="1" si="21"/>
        <v/>
      </c>
      <c r="AI50" s="373" t="str">
        <f t="shared" ca="1" si="51"/>
        <v/>
      </c>
      <c r="AJ50" s="296" t="str">
        <f t="shared" si="22"/>
        <v/>
      </c>
      <c r="AK50" s="296" t="str">
        <f t="shared" si="23"/>
        <v/>
      </c>
      <c r="AL50" s="287" t="str">
        <f t="shared" si="24"/>
        <v/>
      </c>
      <c r="AM50" s="279">
        <f t="shared" si="25"/>
        <v>0</v>
      </c>
      <c r="AN50" s="279">
        <f t="shared" si="26"/>
        <v>0</v>
      </c>
      <c r="AO50" s="288">
        <f t="shared" si="27"/>
        <v>0</v>
      </c>
      <c r="AP50" s="279">
        <f t="shared" si="28"/>
        <v>0</v>
      </c>
      <c r="AQ50" s="288">
        <f t="shared" si="29"/>
        <v>0</v>
      </c>
      <c r="AR50" s="289">
        <f t="shared" si="30"/>
        <v>0</v>
      </c>
      <c r="AS50" s="279">
        <f t="shared" si="31"/>
        <v>0</v>
      </c>
      <c r="AT50" s="288">
        <f t="shared" si="32"/>
        <v>0</v>
      </c>
      <c r="AU50" s="289">
        <f t="shared" si="33"/>
        <v>0</v>
      </c>
      <c r="AV50" s="279">
        <f t="shared" si="34"/>
        <v>0</v>
      </c>
      <c r="AW50" s="288">
        <f t="shared" si="35"/>
        <v>0</v>
      </c>
      <c r="AX50" s="289">
        <f t="shared" si="36"/>
        <v>0</v>
      </c>
      <c r="AY50" s="268"/>
      <c r="AZ50" s="291"/>
      <c r="BA50" s="292"/>
      <c r="BB50" s="303"/>
      <c r="BC50" s="293"/>
      <c r="BD50" s="293"/>
      <c r="BE50" s="304"/>
      <c r="BF50" s="274"/>
      <c r="BG50" s="377"/>
      <c r="BH50" s="268">
        <v>1</v>
      </c>
      <c r="BI50" s="273">
        <v>0</v>
      </c>
      <c r="BJ50" s="276"/>
      <c r="BK50" s="294"/>
      <c r="BL50" s="269" t="str">
        <f t="shared" ca="1" si="37"/>
        <v/>
      </c>
      <c r="BM50" s="270"/>
      <c r="BN50" s="271"/>
      <c r="BO50" s="272" t="str">
        <f t="shared" ca="1" si="38"/>
        <v/>
      </c>
      <c r="BP50" s="270"/>
      <c r="BQ50" s="271"/>
      <c r="BR50" s="272" t="str">
        <f t="shared" ca="1" si="39"/>
        <v/>
      </c>
      <c r="BS50" s="270"/>
      <c r="BT50" s="271"/>
      <c r="BU50" s="272" t="str">
        <f t="shared" ca="1" si="40"/>
        <v/>
      </c>
      <c r="BV50" s="270"/>
      <c r="BW50" s="271"/>
      <c r="BX50" s="272" t="str">
        <f t="shared" ca="1" si="41"/>
        <v/>
      </c>
      <c r="BY50" s="270"/>
      <c r="BZ50" s="271"/>
      <c r="CA50" s="272" t="str">
        <f t="shared" ca="1" si="42"/>
        <v/>
      </c>
      <c r="CB50" s="270"/>
      <c r="CC50" s="271"/>
      <c r="CD50" s="272" t="str">
        <f t="shared" ca="1" si="43"/>
        <v/>
      </c>
      <c r="CE50" s="270"/>
      <c r="CF50" s="271"/>
      <c r="CG50" s="272" t="str">
        <f t="shared" ca="1" si="44"/>
        <v/>
      </c>
      <c r="CH50" s="270"/>
      <c r="CI50" s="271"/>
      <c r="CJ50" s="272" t="str">
        <f t="shared" ca="1" si="45"/>
        <v/>
      </c>
      <c r="CK50" s="262"/>
      <c r="CL50" s="264"/>
      <c r="CM50" s="264"/>
      <c r="CN50" s="264"/>
      <c r="CO50" s="264"/>
      <c r="CP50" s="264"/>
      <c r="CQ50" s="264"/>
      <c r="CR50" s="262"/>
      <c r="CS50" s="263"/>
      <c r="CT50" s="297" t="str">
        <f t="shared" si="52"/>
        <v/>
      </c>
      <c r="CU50" s="264"/>
      <c r="CV50" s="265"/>
      <c r="CW50" s="264"/>
      <c r="CX50" s="264"/>
      <c r="CY50" s="264" t="str">
        <f t="shared" si="53"/>
        <v/>
      </c>
      <c r="CZ50" s="264"/>
      <c r="DA50" s="264"/>
      <c r="DB50" s="266"/>
      <c r="DC50" s="264"/>
      <c r="DD50" s="264"/>
      <c r="DE50" s="266"/>
      <c r="DF50" s="266"/>
      <c r="DG50" s="264"/>
      <c r="DH50" s="266"/>
      <c r="DI50" s="266"/>
      <c r="DJ50" s="264"/>
      <c r="DK50" s="264"/>
      <c r="DL50" s="267"/>
      <c r="DM50" s="261">
        <f t="shared" si="54"/>
        <v>0</v>
      </c>
      <c r="DN50" s="295" t="str">
        <f t="shared" si="55"/>
        <v/>
      </c>
      <c r="DO50" s="392" t="str">
        <f t="shared" si="56"/>
        <v/>
      </c>
      <c r="DP50" s="392" t="str">
        <f t="shared" si="46"/>
        <v/>
      </c>
      <c r="DQ50" s="456" t="str">
        <f t="shared" si="57"/>
        <v/>
      </c>
      <c r="DR50" s="456" t="str">
        <f t="shared" si="47"/>
        <v/>
      </c>
    </row>
    <row r="51" spans="1:122" x14ac:dyDescent="0.25">
      <c r="A51" s="599" t="str">
        <f t="shared" si="11"/>
        <v xml:space="preserve">  -  - </v>
      </c>
      <c r="B51" s="306"/>
      <c r="C51" s="305"/>
      <c r="D51" s="301"/>
      <c r="E51" s="276"/>
      <c r="F51" s="278"/>
      <c r="G51" s="311"/>
      <c r="H51" s="276"/>
      <c r="I51" s="313" t="str">
        <f t="shared" si="12"/>
        <v/>
      </c>
      <c r="J51" s="312"/>
      <c r="K51" s="268"/>
      <c r="L51" s="277"/>
      <c r="M51" s="279"/>
      <c r="N51" s="280"/>
      <c r="O51" s="280"/>
      <c r="P51" s="455"/>
      <c r="Q51" s="281" t="str">
        <f t="shared" si="13"/>
        <v/>
      </c>
      <c r="R51" s="282">
        <f t="shared" si="14"/>
        <v>0</v>
      </c>
      <c r="S51" s="268"/>
      <c r="T51" s="283">
        <f t="shared" si="48"/>
        <v>0</v>
      </c>
      <c r="U51" s="284">
        <f>IF(M51=0,0,IF(G51="Annulation","",IF(assurance="ALPTIS",M51*12*T51/100*'11801 Data'!$K$4,IF(assurance="APRIL",M51*12*T51/100*'11801 Data'!$F$4,IF(assurance="ASAF",M51*12*T51/100*'11801 Data'!$I$4,IF(assurance="NEOLIANE",('11801 Data'!$G$5+M51*12*'11801 Data'!$G$4)*T51/100,IF(assurance="NEOLIANE Prev",('11801 Data'!$H$5+M51*12*'11801 Data'!$H$4)*T51/100,IF(assurance="SWISSLIFE",M51*12*T51/100*'11801 Data'!$J$4,IF(assurance="AVIVA",M51*12*T51/100*'11801 Data'!$L$4,IF(assurance="CIPRES",M51*12*T51/100*'11801 Data'!$M$4,IF(assurance="CEGEMA",M51*12*T51/100*'11801 Data'!$N$4,IF(assurance=0,0))))))))))))</f>
        <v>0</v>
      </c>
      <c r="V51" s="298" t="str">
        <f t="shared" si="15"/>
        <v/>
      </c>
      <c r="W51" s="298" t="str">
        <f t="shared" si="16"/>
        <v/>
      </c>
      <c r="X51" s="299">
        <f t="shared" si="49"/>
        <v>0</v>
      </c>
      <c r="Y51" s="368">
        <f t="shared" si="50"/>
        <v>0</v>
      </c>
      <c r="Z51" s="314"/>
      <c r="AA51" s="313" t="str">
        <f t="shared" si="17"/>
        <v/>
      </c>
      <c r="AB51" s="268" t="s">
        <v>13</v>
      </c>
      <c r="AC51" s="277"/>
      <c r="AD51" s="309" t="str">
        <f t="shared" si="18"/>
        <v/>
      </c>
      <c r="AE51" s="286" t="str">
        <f t="shared" si="19"/>
        <v/>
      </c>
      <c r="AF51" s="277"/>
      <c r="AG51" s="275" t="str">
        <f t="shared" si="20"/>
        <v/>
      </c>
      <c r="AH51" s="287" t="str">
        <f t="shared" ca="1" si="21"/>
        <v/>
      </c>
      <c r="AI51" s="373" t="str">
        <f t="shared" ca="1" si="51"/>
        <v/>
      </c>
      <c r="AJ51" s="296" t="str">
        <f t="shared" si="22"/>
        <v/>
      </c>
      <c r="AK51" s="296" t="str">
        <f t="shared" si="23"/>
        <v/>
      </c>
      <c r="AL51" s="287" t="str">
        <f t="shared" si="24"/>
        <v/>
      </c>
      <c r="AM51" s="279">
        <f t="shared" si="25"/>
        <v>0</v>
      </c>
      <c r="AN51" s="279">
        <f t="shared" si="26"/>
        <v>0</v>
      </c>
      <c r="AO51" s="288">
        <f t="shared" si="27"/>
        <v>0</v>
      </c>
      <c r="AP51" s="279">
        <f t="shared" si="28"/>
        <v>0</v>
      </c>
      <c r="AQ51" s="288">
        <f t="shared" si="29"/>
        <v>0</v>
      </c>
      <c r="AR51" s="289">
        <f t="shared" si="30"/>
        <v>0</v>
      </c>
      <c r="AS51" s="279">
        <f t="shared" si="31"/>
        <v>0</v>
      </c>
      <c r="AT51" s="288">
        <f t="shared" si="32"/>
        <v>0</v>
      </c>
      <c r="AU51" s="289">
        <f t="shared" si="33"/>
        <v>0</v>
      </c>
      <c r="AV51" s="279">
        <f t="shared" si="34"/>
        <v>0</v>
      </c>
      <c r="AW51" s="288">
        <f t="shared" si="35"/>
        <v>0</v>
      </c>
      <c r="AX51" s="289">
        <f t="shared" si="36"/>
        <v>0</v>
      </c>
      <c r="AY51" s="268"/>
      <c r="AZ51" s="291"/>
      <c r="BA51" s="292"/>
      <c r="BB51" s="303"/>
      <c r="BC51" s="293"/>
      <c r="BD51" s="293"/>
      <c r="BE51" s="304"/>
      <c r="BF51" s="274"/>
      <c r="BG51" s="377"/>
      <c r="BH51" s="268">
        <v>1</v>
      </c>
      <c r="BI51" s="273">
        <v>0</v>
      </c>
      <c r="BJ51" s="276"/>
      <c r="BK51" s="294"/>
      <c r="BL51" s="269" t="str">
        <f t="shared" ca="1" si="37"/>
        <v/>
      </c>
      <c r="BM51" s="270"/>
      <c r="BN51" s="271"/>
      <c r="BO51" s="272" t="str">
        <f t="shared" ca="1" si="38"/>
        <v/>
      </c>
      <c r="BP51" s="270"/>
      <c r="BQ51" s="271"/>
      <c r="BR51" s="272" t="str">
        <f t="shared" ca="1" si="39"/>
        <v/>
      </c>
      <c r="BS51" s="270"/>
      <c r="BT51" s="271"/>
      <c r="BU51" s="272" t="str">
        <f t="shared" ca="1" si="40"/>
        <v/>
      </c>
      <c r="BV51" s="270"/>
      <c r="BW51" s="271"/>
      <c r="BX51" s="272" t="str">
        <f t="shared" ca="1" si="41"/>
        <v/>
      </c>
      <c r="BY51" s="270"/>
      <c r="BZ51" s="271"/>
      <c r="CA51" s="272" t="str">
        <f t="shared" ca="1" si="42"/>
        <v/>
      </c>
      <c r="CB51" s="270"/>
      <c r="CC51" s="271"/>
      <c r="CD51" s="272" t="str">
        <f t="shared" ca="1" si="43"/>
        <v/>
      </c>
      <c r="CE51" s="270"/>
      <c r="CF51" s="271"/>
      <c r="CG51" s="272" t="str">
        <f t="shared" ca="1" si="44"/>
        <v/>
      </c>
      <c r="CH51" s="270"/>
      <c r="CI51" s="271"/>
      <c r="CJ51" s="272" t="str">
        <f t="shared" ca="1" si="45"/>
        <v/>
      </c>
      <c r="CK51" s="262"/>
      <c r="CL51" s="264"/>
      <c r="CM51" s="264"/>
      <c r="CN51" s="264"/>
      <c r="CO51" s="264"/>
      <c r="CP51" s="264"/>
      <c r="CQ51" s="264"/>
      <c r="CR51" s="262"/>
      <c r="CS51" s="263"/>
      <c r="CT51" s="297" t="str">
        <f t="shared" si="52"/>
        <v/>
      </c>
      <c r="CU51" s="264"/>
      <c r="CV51" s="265"/>
      <c r="CW51" s="264"/>
      <c r="CX51" s="264"/>
      <c r="CY51" s="264" t="str">
        <f t="shared" si="53"/>
        <v/>
      </c>
      <c r="CZ51" s="264"/>
      <c r="DA51" s="264"/>
      <c r="DB51" s="266"/>
      <c r="DC51" s="264"/>
      <c r="DD51" s="264"/>
      <c r="DE51" s="266"/>
      <c r="DF51" s="266"/>
      <c r="DG51" s="264"/>
      <c r="DH51" s="266"/>
      <c r="DI51" s="266"/>
      <c r="DJ51" s="264"/>
      <c r="DK51" s="264"/>
      <c r="DL51" s="267"/>
      <c r="DM51" s="261">
        <f t="shared" si="54"/>
        <v>0</v>
      </c>
      <c r="DN51" s="295" t="str">
        <f t="shared" si="55"/>
        <v/>
      </c>
      <c r="DO51" s="392" t="str">
        <f t="shared" si="56"/>
        <v/>
      </c>
      <c r="DP51" s="392" t="str">
        <f t="shared" si="46"/>
        <v/>
      </c>
      <c r="DQ51" s="456" t="str">
        <f t="shared" si="57"/>
        <v/>
      </c>
      <c r="DR51" s="456" t="str">
        <f t="shared" si="47"/>
        <v/>
      </c>
    </row>
  </sheetData>
  <mergeCells count="1">
    <mergeCell ref="A1:B1"/>
  </mergeCells>
  <conditionalFormatting sqref="U2:U51">
    <cfRule type="containsBlanks" dxfId="321" priority="983">
      <formula>LEN(TRIM(U2))=0</formula>
    </cfRule>
    <cfRule type="cellIs" dxfId="320" priority="1079" operator="equal">
      <formula>0</formula>
    </cfRule>
  </conditionalFormatting>
  <conditionalFormatting sqref="AA2:AE51 M2:M51 H2:H51 DO2:DR51 AG2:AO51 AQ2:AR51 BM2:CJ51 AT2:BK51 O2:S51 U2:W51">
    <cfRule type="expression" dxfId="319" priority="901">
      <formula>$G2="Annulation"</formula>
    </cfRule>
  </conditionalFormatting>
  <conditionalFormatting sqref="U2:U51 AB2:AE51 N2:N51 J2:L51 BH2:BH51 DM2:DM51 C2:H51 X2:Z51 AZ2:BE51 DO2:DR51 AG2:AO51 AQ2:AR51 AT2:AX51">
    <cfRule type="expression" dxfId="318" priority="856">
      <formula>$G2&lt;&gt;"Annulation"</formula>
    </cfRule>
  </conditionalFormatting>
  <conditionalFormatting sqref="U2:U51">
    <cfRule type="expression" dxfId="317" priority="855">
      <formula>$DM2="Trans."</formula>
    </cfRule>
  </conditionalFormatting>
  <conditionalFormatting sqref="BM2:BM51 BG2:BG51 CE2:CE51 CB2:CB51 BY2:BY51 BV2:BV51 BP2:BP51 BS2:BS51">
    <cfRule type="expression" dxfId="316" priority="581">
      <formula>$J2="Santé Individuelle"</formula>
    </cfRule>
  </conditionalFormatting>
  <conditionalFormatting sqref="V2:W51">
    <cfRule type="containsBlanks" dxfId="315" priority="483">
      <formula>LEN(TRIM(V2))=0</formula>
    </cfRule>
    <cfRule type="cellIs" dxfId="314" priority="484" operator="equal">
      <formula>0</formula>
    </cfRule>
  </conditionalFormatting>
  <conditionalFormatting sqref="I2:I51">
    <cfRule type="expression" dxfId="313" priority="452">
      <formula>$G2="Annulation"</formula>
    </cfRule>
  </conditionalFormatting>
  <conditionalFormatting sqref="V2:W51">
    <cfRule type="expression" dxfId="312" priority="453">
      <formula>$G2&lt;&gt;"Annulation"</formula>
    </cfRule>
  </conditionalFormatting>
  <conditionalFormatting sqref="Q2:R51">
    <cfRule type="cellIs" dxfId="311" priority="535" operator="equal">
      <formula>0</formula>
    </cfRule>
    <cfRule type="containsBlanks" dxfId="310" priority="577">
      <formula>LEN(TRIM(Q2))=0</formula>
    </cfRule>
  </conditionalFormatting>
  <conditionalFormatting sqref="I2:I51 Q2:R51 V2:W51 AA2:AA51 AG2:AJ51 AL2:AL51 BU2:BU51 BX2:BX51 CA2:CA51 CD2:CD51 CG2:CG51 CJ2:CJ51 BO2:BO51 AT2:AU51 AQ2:AR51 AO2:AO51 BR2:BR51 AW2:AX51">
    <cfRule type="expression" dxfId="309" priority="401">
      <formula>$DM2="Trans."</formula>
    </cfRule>
  </conditionalFormatting>
  <conditionalFormatting sqref="BN2:BN51 CF2:CF51 CC2:CC51 BZ2:BZ51 BW2:BW51 BT2:BT51 BQ2:BQ51">
    <cfRule type="expression" dxfId="308" priority="528">
      <formula>$J2="Santé Individuelle"</formula>
    </cfRule>
  </conditionalFormatting>
  <conditionalFormatting sqref="BM2:BM51">
    <cfRule type="expression" dxfId="307" priority="500">
      <formula>$BH2&lt;=1</formula>
    </cfRule>
  </conditionalFormatting>
  <conditionalFormatting sqref="BN2:BN51">
    <cfRule type="expression" dxfId="306" priority="499">
      <formula>$BH2&lt;=1</formula>
    </cfRule>
  </conditionalFormatting>
  <conditionalFormatting sqref="I2:I51 AA2:AA51 R2:S51 M2:M51 AY2:AY51">
    <cfRule type="expression" dxfId="305" priority="474">
      <formula>$G2&lt;&gt;"Annulation"</formula>
    </cfRule>
  </conditionalFormatting>
  <conditionalFormatting sqref="Q2:S51">
    <cfRule type="expression" dxfId="304" priority="529">
      <formula>$G2&lt;&gt;"Annulation"</formula>
    </cfRule>
  </conditionalFormatting>
  <conditionalFormatting sqref="I2:I51 AA2:AA51">
    <cfRule type="containsBlanks" dxfId="303" priority="475">
      <formula>LEN(TRIM(I2))=0</formula>
    </cfRule>
    <cfRule type="cellIs" dxfId="302" priority="480" operator="lessThan">
      <formula>31</formula>
    </cfRule>
  </conditionalFormatting>
  <conditionalFormatting sqref="I2:I51 AA2:AA51">
    <cfRule type="expression" dxfId="301" priority="481">
      <formula>$AA2&gt;122</formula>
    </cfRule>
  </conditionalFormatting>
  <conditionalFormatting sqref="BS1">
    <cfRule type="expression" dxfId="300" priority="331">
      <formula>$J1="Santé Individuelle"</formula>
    </cfRule>
  </conditionalFormatting>
  <conditionalFormatting sqref="BU1:BU51 BX2:BX51 CA2:CA51 CD2:CD51 CG2:CG51 CJ2:CJ51 BO2:BO51 BR2:BR51">
    <cfRule type="expression" dxfId="299" priority="332">
      <formula>$J1="Santé Individuelle"</formula>
    </cfRule>
  </conditionalFormatting>
  <conditionalFormatting sqref="BV1">
    <cfRule type="expression" dxfId="298" priority="327">
      <formula>$J1="Santé Individuelle"</formula>
    </cfRule>
  </conditionalFormatting>
  <conditionalFormatting sqref="BX1">
    <cfRule type="expression" dxfId="297" priority="328">
      <formula>$J1="Santé Individuelle"</formula>
    </cfRule>
  </conditionalFormatting>
  <conditionalFormatting sqref="BY1">
    <cfRule type="expression" dxfId="296" priority="323">
      <formula>$J1="Santé Individuelle"</formula>
    </cfRule>
  </conditionalFormatting>
  <conditionalFormatting sqref="CA1">
    <cfRule type="expression" dxfId="295" priority="324">
      <formula>$J1="Santé Individuelle"</formula>
    </cfRule>
  </conditionalFormatting>
  <conditionalFormatting sqref="CB1">
    <cfRule type="expression" dxfId="294" priority="319">
      <formula>$J1="Santé Individuelle"</formula>
    </cfRule>
  </conditionalFormatting>
  <conditionalFormatting sqref="CD1">
    <cfRule type="expression" dxfId="293" priority="320">
      <formula>$J1="Santé Individuelle"</formula>
    </cfRule>
  </conditionalFormatting>
  <conditionalFormatting sqref="CE1">
    <cfRule type="expression" dxfId="292" priority="315">
      <formula>$J1="Santé Individuelle"</formula>
    </cfRule>
  </conditionalFormatting>
  <conditionalFormatting sqref="CG1">
    <cfRule type="expression" dxfId="291" priority="316">
      <formula>$J1="Santé Individuelle"</formula>
    </cfRule>
  </conditionalFormatting>
  <conditionalFormatting sqref="CH1">
    <cfRule type="expression" dxfId="290" priority="311">
      <formula>$J1="Santé Individuelle"</formula>
    </cfRule>
  </conditionalFormatting>
  <conditionalFormatting sqref="CJ1">
    <cfRule type="expression" dxfId="289" priority="312">
      <formula>$J1="Santé Individuelle"</formula>
    </cfRule>
  </conditionalFormatting>
  <conditionalFormatting sqref="BM1">
    <cfRule type="expression" dxfId="288" priority="337">
      <formula>$BH1=1</formula>
    </cfRule>
  </conditionalFormatting>
  <conditionalFormatting sqref="BO1">
    <cfRule type="expression" dxfId="287" priority="338">
      <formula>$BH1=1</formula>
    </cfRule>
  </conditionalFormatting>
  <conditionalFormatting sqref="BP1">
    <cfRule type="expression" dxfId="286" priority="335">
      <formula>$J1="Santé Individuelle"</formula>
    </cfRule>
  </conditionalFormatting>
  <conditionalFormatting sqref="BR1">
    <cfRule type="expression" dxfId="285" priority="336">
      <formula>$J1="Santé Individuelle"</formula>
    </cfRule>
  </conditionalFormatting>
  <conditionalFormatting sqref="BP1">
    <cfRule type="expression" dxfId="284" priority="334">
      <formula>$BI1=0</formula>
    </cfRule>
  </conditionalFormatting>
  <conditionalFormatting sqref="BR1">
    <cfRule type="expression" dxfId="283" priority="333">
      <formula>$BI1=0</formula>
    </cfRule>
  </conditionalFormatting>
  <conditionalFormatting sqref="BS1">
    <cfRule type="expression" dxfId="282" priority="330">
      <formula>$BI1&lt;2</formula>
    </cfRule>
  </conditionalFormatting>
  <conditionalFormatting sqref="BU1">
    <cfRule type="expression" dxfId="281" priority="329">
      <formula>$BI1&lt;2</formula>
    </cfRule>
  </conditionalFormatting>
  <conditionalFormatting sqref="BV1">
    <cfRule type="expression" dxfId="280" priority="326">
      <formula>$BI1&lt;3</formula>
    </cfRule>
  </conditionalFormatting>
  <conditionalFormatting sqref="BX1">
    <cfRule type="expression" dxfId="279" priority="325">
      <formula>$BI1&lt;3</formula>
    </cfRule>
  </conditionalFormatting>
  <conditionalFormatting sqref="BY1">
    <cfRule type="expression" dxfId="278" priority="322">
      <formula>$BI1&lt;4</formula>
    </cfRule>
  </conditionalFormatting>
  <conditionalFormatting sqref="CA1">
    <cfRule type="expression" dxfId="277" priority="321">
      <formula>$BI1&lt;4</formula>
    </cfRule>
  </conditionalFormatting>
  <conditionalFormatting sqref="CB1">
    <cfRule type="expression" dxfId="276" priority="318">
      <formula>$BI1&lt;5</formula>
    </cfRule>
  </conditionalFormatting>
  <conditionalFormatting sqref="CD1">
    <cfRule type="expression" dxfId="275" priority="317">
      <formula>$BI1&lt;5</formula>
    </cfRule>
  </conditionalFormatting>
  <conditionalFormatting sqref="CE1">
    <cfRule type="expression" dxfId="274" priority="314">
      <formula>$BI1&lt;6</formula>
    </cfRule>
  </conditionalFormatting>
  <conditionalFormatting sqref="CG1">
    <cfRule type="expression" dxfId="273" priority="313">
      <formula>$BI1&lt;6</formula>
    </cfRule>
  </conditionalFormatting>
  <conditionalFormatting sqref="CH1">
    <cfRule type="expression" dxfId="272" priority="310">
      <formula>$BI1&lt;7</formula>
    </cfRule>
  </conditionalFormatting>
  <conditionalFormatting sqref="CJ1">
    <cfRule type="expression" dxfId="271" priority="309">
      <formula>$BI1&lt;7</formula>
    </cfRule>
  </conditionalFormatting>
  <conditionalFormatting sqref="C1:H1 J1:X1 AN1:DL1">
    <cfRule type="notContainsBlanks" dxfId="270" priority="308">
      <formula>LEN(TRIM(C1))&gt;0</formula>
    </cfRule>
  </conditionalFormatting>
  <conditionalFormatting sqref="A1">
    <cfRule type="containsText" dxfId="269" priority="304" operator="containsText" text="Trans.">
      <formula>NOT(ISERROR(SEARCH("Trans.",A1)))</formula>
    </cfRule>
    <cfRule type="containsText" dxfId="268" priority="305" operator="containsText" text="Inter.">
      <formula>NOT(ISERROR(SEARCH("Inter.",A1)))</formula>
    </cfRule>
    <cfRule type="containsText" dxfId="267" priority="306" operator="containsText" text="Tout">
      <formula>NOT(ISERROR(SEARCH("Tout",A1)))</formula>
    </cfRule>
    <cfRule type="containsText" dxfId="266" priority="307" operator="containsText" text="Mini">
      <formula>NOT(ISERROR(SEARCH("Mini",A1)))</formula>
    </cfRule>
  </conditionalFormatting>
  <conditionalFormatting sqref="A1">
    <cfRule type="notContainsBlanks" dxfId="265" priority="303">
      <formula>LEN(TRIM(A1))&gt;0</formula>
    </cfRule>
  </conditionalFormatting>
  <conditionalFormatting sqref="AB1:AC1">
    <cfRule type="notContainsBlanks" dxfId="264" priority="302">
      <formula>LEN(TRIM(AB1))&gt;0</formula>
    </cfRule>
  </conditionalFormatting>
  <conditionalFormatting sqref="AD1">
    <cfRule type="notContainsBlanks" dxfId="263" priority="301">
      <formula>LEN(TRIM(AD1))&gt;0</formula>
    </cfRule>
  </conditionalFormatting>
  <conditionalFormatting sqref="BH2:BH51 AB2:AJ51 G2:H51 X2:Y51 AL2:AO51 AQ2:AR51 AT2:AX51">
    <cfRule type="cellIs" dxfId="262" priority="129" operator="equal">
      <formula>0</formula>
    </cfRule>
    <cfRule type="containsBlanks" dxfId="261" priority="130">
      <formula>LEN(TRIM(G2))=0</formula>
    </cfRule>
  </conditionalFormatting>
  <conditionalFormatting sqref="CK2:DL51">
    <cfRule type="expression" dxfId="260" priority="124">
      <formula>$G2="Annulation"</formula>
    </cfRule>
  </conditionalFormatting>
  <conditionalFormatting sqref="BJ2:BK51">
    <cfRule type="expression" dxfId="259" priority="122">
      <formula>$G2&lt;&gt;"Annulation"</formula>
    </cfRule>
  </conditionalFormatting>
  <conditionalFormatting sqref="X2:Y51">
    <cfRule type="expression" dxfId="258" priority="299">
      <formula>$P2="Annulé"</formula>
    </cfRule>
  </conditionalFormatting>
  <conditionalFormatting sqref="L2:N51 DM2:DM51 J2:J51 X2:X51 G2:G51 AF2:AF51">
    <cfRule type="expression" dxfId="257" priority="136">
      <formula>$G2="Annulation"</formula>
    </cfRule>
  </conditionalFormatting>
  <conditionalFormatting sqref="DM1:DN1">
    <cfRule type="notContainsBlanks" dxfId="256" priority="292">
      <formula>LEN(TRIM(DM1))&gt;0</formula>
    </cfRule>
  </conditionalFormatting>
  <conditionalFormatting sqref="Y1:Z1">
    <cfRule type="notContainsBlanks" dxfId="255" priority="291">
      <formula>LEN(TRIM(Y1))&gt;0</formula>
    </cfRule>
  </conditionalFormatting>
  <conditionalFormatting sqref="I1">
    <cfRule type="expression" dxfId="254" priority="284">
      <formula>$G1&lt;&gt;"Annulation"</formula>
    </cfRule>
  </conditionalFormatting>
  <conditionalFormatting sqref="I1">
    <cfRule type="expression" dxfId="253" priority="285">
      <formula>$G1="Annulation"</formula>
    </cfRule>
  </conditionalFormatting>
  <conditionalFormatting sqref="I1">
    <cfRule type="containsBlanks" dxfId="252" priority="286">
      <formula>LEN(TRIM(I1))=0</formula>
    </cfRule>
    <cfRule type="cellIs" dxfId="251" priority="287" operator="lessThan">
      <formula>31</formula>
    </cfRule>
  </conditionalFormatting>
  <conditionalFormatting sqref="I1">
    <cfRule type="expression" dxfId="250" priority="288">
      <formula>$AA1&gt;122</formula>
    </cfRule>
  </conditionalFormatting>
  <conditionalFormatting sqref="AM1">
    <cfRule type="notContainsBlanks" dxfId="249" priority="280">
      <formula>LEN(TRIM(AM1))&gt;0</formula>
    </cfRule>
  </conditionalFormatting>
  <conditionalFormatting sqref="AE1">
    <cfRule type="notContainsBlanks" dxfId="248" priority="278">
      <formula>LEN(TRIM(AE1))&gt;0</formula>
    </cfRule>
  </conditionalFormatting>
  <conditionalFormatting sqref="AG1">
    <cfRule type="notContainsBlanks" dxfId="247" priority="276">
      <formula>LEN(TRIM(AG1))&gt;0</formula>
    </cfRule>
  </conditionalFormatting>
  <conditionalFormatting sqref="AK1">
    <cfRule type="notContainsBlanks" dxfId="246" priority="275">
      <formula>LEN(TRIM(AK1))&gt;0</formula>
    </cfRule>
  </conditionalFormatting>
  <conditionalFormatting sqref="AF1">
    <cfRule type="notContainsBlanks" dxfId="245" priority="274">
      <formula>LEN(TRIM(AF1))&gt;0</formula>
    </cfRule>
  </conditionalFormatting>
  <conditionalFormatting sqref="AI1">
    <cfRule type="notContainsBlanks" dxfId="244" priority="271">
      <formula>LEN(TRIM(AI1))&gt;0</formula>
    </cfRule>
  </conditionalFormatting>
  <conditionalFormatting sqref="AJ1">
    <cfRule type="notContainsBlanks" dxfId="243" priority="269">
      <formula>LEN(TRIM(AJ1))&gt;0</formula>
    </cfRule>
  </conditionalFormatting>
  <conditionalFormatting sqref="AH1">
    <cfRule type="notContainsBlanks" dxfId="242" priority="266">
      <formula>LEN(TRIM(AH1))&gt;0</formula>
    </cfRule>
  </conditionalFormatting>
  <conditionalFormatting sqref="AL1">
    <cfRule type="notContainsBlanks" dxfId="241" priority="264">
      <formula>LEN(TRIM(AL1))&gt;0</formula>
    </cfRule>
  </conditionalFormatting>
  <conditionalFormatting sqref="AA1">
    <cfRule type="notContainsBlanks" dxfId="240" priority="262">
      <formula>LEN(TRIM(AA1))&gt;0</formula>
    </cfRule>
  </conditionalFormatting>
  <conditionalFormatting sqref="BJ2:BK51">
    <cfRule type="containsBlanks" dxfId="239" priority="186">
      <formula>LEN(TRIM(BJ2))=0</formula>
    </cfRule>
    <cfRule type="cellIs" dxfId="238" priority="298" operator="equal">
      <formula>0</formula>
    </cfRule>
  </conditionalFormatting>
  <conditionalFormatting sqref="P2:P51">
    <cfRule type="cellIs" dxfId="237" priority="231" operator="equal">
      <formula>"Refus Médical"</formula>
    </cfRule>
    <cfRule type="cellIs" dxfId="236" priority="232" operator="equal">
      <formula>"Annulé"</formula>
    </cfRule>
    <cfRule type="cellIs" dxfId="235" priority="233" operator="equal">
      <formula>"Déjà Signé"</formula>
    </cfRule>
    <cfRule type="cellIs" dxfId="234" priority="234" operator="equal">
      <formula>"Sans Suite"</formula>
    </cfRule>
    <cfRule type="cellIs" dxfId="233" priority="235" operator="equal">
      <formula>"Refus"</formula>
    </cfRule>
    <cfRule type="cellIs" dxfId="232" priority="236" operator="equal">
      <formula>"Report + Médical"</formula>
    </cfRule>
    <cfRule type="cellIs" dxfId="231" priority="237" operator="equal">
      <formula>"Report"</formula>
    </cfRule>
    <cfRule type="cellIs" dxfId="230" priority="238" operator="equal">
      <formula>"Signature"</formula>
    </cfRule>
    <cfRule type="cellIs" dxfId="229" priority="239" operator="equal">
      <formula>"Contrat Papier + Mécical"</formula>
    </cfRule>
    <cfRule type="cellIs" dxfId="228" priority="240" operator="equal">
      <formula>"Validation Médicale"</formula>
    </cfRule>
    <cfRule type="cellIs" dxfId="227" priority="241" operator="equal">
      <formula>"Contrat Papier"</formula>
    </cfRule>
    <cfRule type="cellIs" dxfId="226" priority="242" operator="equal">
      <formula>"Validation Compagnie"</formula>
    </cfRule>
    <cfRule type="cellIs" dxfId="225" priority="243" operator="equal">
      <formula>"V"</formula>
    </cfRule>
  </conditionalFormatting>
  <conditionalFormatting sqref="J2:J51">
    <cfRule type="containsText" dxfId="224" priority="244" operator="containsText" text="Autre">
      <formula>NOT(ISERROR(SEARCH("Autre",J2)))</formula>
    </cfRule>
    <cfRule type="containsText" dxfId="223" priority="253" operator="containsText" text="Prev. Part">
      <formula>NOT(ISERROR(SEARCH("Prev. Part",J2)))</formula>
    </cfRule>
    <cfRule type="containsText" dxfId="222" priority="254" operator="containsText" text="Santé Collective">
      <formula>NOT(ISERROR(SEARCH("Santé Collective",J2)))</formula>
    </cfRule>
    <cfRule type="containsText" dxfId="221" priority="255" operator="containsText" text="Santé Individuelle">
      <formula>NOT(ISERROR(SEARCH("Santé Individuelle",J2)))</formula>
    </cfRule>
    <cfRule type="containsText" dxfId="220" priority="256" operator="containsText" text="Prev. Pro">
      <formula>NOT(ISERROR(SEARCH("Prev. Pro",J2)))</formula>
    </cfRule>
  </conditionalFormatting>
  <conditionalFormatting sqref="K2:K51">
    <cfRule type="containsText" dxfId="219" priority="245" operator="containsText" text="CEGEMA">
      <formula>NOT(ISERROR(SEARCH("CEGEMA",K2)))</formula>
    </cfRule>
    <cfRule type="containsText" dxfId="218" priority="246" operator="containsText" text="ASAF">
      <formula>NOT(ISERROR(SEARCH("ASAF",K2)))</formula>
    </cfRule>
    <cfRule type="containsText" dxfId="217" priority="247" operator="containsText" text="AVIVA">
      <formula>NOT(ISERROR(SEARCH("AVIVA",K2)))</formula>
    </cfRule>
    <cfRule type="containsText" dxfId="216" priority="248" operator="containsText" text="CIPRES">
      <formula>NOT(ISERROR(SEARCH("CIPRES",K2)))</formula>
    </cfRule>
    <cfRule type="containsText" dxfId="215" priority="249" operator="containsText" text="ALPTIS">
      <formula>NOT(ISERROR(SEARCH("ALPTIS",K2)))</formula>
    </cfRule>
    <cfRule type="containsText" dxfId="214" priority="250" operator="containsText" text="NEOLIANE">
      <formula>NOT(ISERROR(SEARCH("NEOLIANE",K2)))</formula>
    </cfRule>
    <cfRule type="containsText" dxfId="213" priority="251" operator="containsText" text="SWISSLIFE">
      <formula>NOT(ISERROR(SEARCH("SWISSLIFE",K2)))</formula>
    </cfRule>
    <cfRule type="containsText" dxfId="212" priority="252" operator="containsText" text="APRIL">
      <formula>NOT(ISERROR(SEARCH("APRIL",K2)))</formula>
    </cfRule>
  </conditionalFormatting>
  <conditionalFormatting sqref="P2:P51">
    <cfRule type="containsText" dxfId="211" priority="225" operator="containsText" text="Impayé">
      <formula>NOT(ISERROR(SEARCH("Impayé",P2)))</formula>
    </cfRule>
    <cfRule type="containsText" dxfId="210" priority="226" operator="containsText" text="Résilié">
      <formula>NOT(ISERROR(SEARCH("Résilié",P2)))</formula>
    </cfRule>
    <cfRule type="containsText" dxfId="209" priority="227" operator="containsText" text="Radié">
      <formula>NOT(ISERROR(SEARCH("Radié",P2)))</formula>
    </cfRule>
    <cfRule type="containsText" dxfId="208" priority="228" operator="containsText" text="Pas Trouvé">
      <formula>NOT(ISERROR(SEARCH("Pas Trouvé",P2)))</formula>
    </cfRule>
    <cfRule type="containsText" dxfId="207" priority="229" operator="containsText" text="A Jour">
      <formula>NOT(ISERROR(SEARCH("A Jour",P2)))</formula>
    </cfRule>
    <cfRule type="containsText" dxfId="206" priority="230" operator="containsText" text="A Trouver">
      <formula>NOT(ISERROR(SEARCH("A Trouver",P2)))</formula>
    </cfRule>
  </conditionalFormatting>
  <conditionalFormatting sqref="AY2:AY51">
    <cfRule type="containsText" dxfId="205" priority="219" operator="containsText" text="Sympathie">
      <formula>NOT(ISERROR(SEARCH("Sympathie",AY2)))</formula>
    </cfRule>
  </conditionalFormatting>
  <conditionalFormatting sqref="AY2:AY51">
    <cfRule type="containsText" dxfId="204" priority="220" operator="containsText" text="Argent">
      <formula>NOT(ISERROR(SEARCH("Argent",AY2)))</formula>
    </cfRule>
    <cfRule type="containsText" dxfId="203" priority="221" operator="containsText" text="Confort">
      <formula>NOT(ISERROR(SEARCH("Confort",AY2)))</formula>
    </cfRule>
    <cfRule type="containsText" dxfId="202" priority="222" operator="containsText" text="Nouveauté">
      <formula>NOT(ISERROR(SEARCH("Nouveauté",AY2)))</formula>
    </cfRule>
    <cfRule type="containsText" dxfId="201" priority="223" operator="containsText" text="Orgueil">
      <formula>NOT(ISERROR(SEARCH("Orgueil",AY2)))</formula>
    </cfRule>
    <cfRule type="containsText" dxfId="200" priority="224" operator="containsText" text="Sécurité">
      <formula>NOT(ISERROR(SEARCH("Sécurité",AY2)))</formula>
    </cfRule>
  </conditionalFormatting>
  <conditionalFormatting sqref="DM2:DM51">
    <cfRule type="containsText" dxfId="199" priority="217" operator="containsText" text="Tout">
      <formula>NOT(ISERROR(SEARCH("Tout",DM2)))</formula>
    </cfRule>
    <cfRule type="containsText" dxfId="198" priority="218" operator="containsText" text="Mini">
      <formula>NOT(ISERROR(SEARCH("Mini",DM2)))</formula>
    </cfRule>
  </conditionalFormatting>
  <conditionalFormatting sqref="DM2:DM51">
    <cfRule type="containsText" dxfId="197" priority="216" operator="containsText" text="Inter.">
      <formula>NOT(ISERROR(SEARCH("Inter.",DM2)))</formula>
    </cfRule>
  </conditionalFormatting>
  <conditionalFormatting sqref="DM2:DM51">
    <cfRule type="containsText" dxfId="196" priority="184" operator="containsText" text="Trans.">
      <formula>NOT(ISERROR(SEARCH("Trans.",DM2)))</formula>
    </cfRule>
  </conditionalFormatting>
  <conditionalFormatting sqref="S2:S51 N2:O51 F2:F51 AY2:BE51 DO2:DR51">
    <cfRule type="cellIs" dxfId="195" priority="215" operator="equal">
      <formula>0</formula>
    </cfRule>
    <cfRule type="containsBlanks" dxfId="194" priority="257">
      <formula>LEN(TRIM(F2))=0</formula>
    </cfRule>
  </conditionalFormatting>
  <conditionalFormatting sqref="DL2:DL51 DH2:DI51 DE2:DF51 DB2:DB51 CV2:CV51 CR2:CS51">
    <cfRule type="expression" dxfId="193" priority="214">
      <formula>$J2="Prev. Pro"</formula>
    </cfRule>
  </conditionalFormatting>
  <conditionalFormatting sqref="CY2:CY51">
    <cfRule type="expression" dxfId="192" priority="213">
      <formula>$J2="Prev. Pro"</formula>
    </cfRule>
  </conditionalFormatting>
  <conditionalFormatting sqref="CZ2:DA51 CU2:CU51 CW2:CX51 DC2:DD51 DG2:DG51 DJ2:DK51">
    <cfRule type="expression" dxfId="191" priority="212">
      <formula>$J2="Prev. Pro"</formula>
    </cfRule>
  </conditionalFormatting>
  <conditionalFormatting sqref="CK2:CQ51">
    <cfRule type="expression" dxfId="190" priority="211" stopIfTrue="1">
      <formula>$J2="Santé Individuelle"</formula>
    </cfRule>
  </conditionalFormatting>
  <conditionalFormatting sqref="C2:E51">
    <cfRule type="expression" dxfId="189" priority="202">
      <formula>$G2="Annulation"</formula>
    </cfRule>
  </conditionalFormatting>
  <conditionalFormatting sqref="C2:E51">
    <cfRule type="expression" dxfId="188" priority="203">
      <formula>$J2="Prev. Pro"</formula>
    </cfRule>
    <cfRule type="expression" dxfId="187" priority="204">
      <formula>$J2&lt;&gt;"Santé Individuelle"</formula>
    </cfRule>
  </conditionalFormatting>
  <conditionalFormatting sqref="BI2:BI51">
    <cfRule type="expression" dxfId="186" priority="209">
      <formula>$J2="Santé Individuelle"</formula>
    </cfRule>
  </conditionalFormatting>
  <conditionalFormatting sqref="BR2:BR51">
    <cfRule type="expression" dxfId="185" priority="201">
      <formula>$BI2=0</formula>
    </cfRule>
  </conditionalFormatting>
  <conditionalFormatting sqref="BU2:BU51">
    <cfRule type="expression" dxfId="184" priority="200">
      <formula>$BI2&lt;2</formula>
    </cfRule>
  </conditionalFormatting>
  <conditionalFormatting sqref="BX2:BX51">
    <cfRule type="expression" dxfId="183" priority="199">
      <formula>$BI2&lt;3</formula>
    </cfRule>
  </conditionalFormatting>
  <conditionalFormatting sqref="CA2:CA51">
    <cfRule type="expression" dxfId="182" priority="198">
      <formula>$BI2&lt;4</formula>
    </cfRule>
  </conditionalFormatting>
  <conditionalFormatting sqref="CD2:CD51">
    <cfRule type="expression" dxfId="181" priority="197">
      <formula>$BI2&lt;5</formula>
    </cfRule>
  </conditionalFormatting>
  <conditionalFormatting sqref="CG2:CG51">
    <cfRule type="expression" dxfId="180" priority="196">
      <formula>$BI2&lt;6</formula>
    </cfRule>
  </conditionalFormatting>
  <conditionalFormatting sqref="CJ2:CJ51">
    <cfRule type="expression" dxfId="179" priority="195">
      <formula>$BI2&lt;7</formula>
    </cfRule>
  </conditionalFormatting>
  <conditionalFormatting sqref="BJ2:BK51">
    <cfRule type="containsBlanks" dxfId="178" priority="194">
      <formula>LEN(TRIM(BJ2))=0</formula>
    </cfRule>
  </conditionalFormatting>
  <conditionalFormatting sqref="BF2:BF51">
    <cfRule type="expression" dxfId="177" priority="193">
      <formula>$J2="Santé Individuelle"</formula>
    </cfRule>
  </conditionalFormatting>
  <conditionalFormatting sqref="BG2:BG51">
    <cfRule type="expression" dxfId="176" priority="192">
      <formula>$BH2=1</formula>
    </cfRule>
  </conditionalFormatting>
  <conditionalFormatting sqref="CQ2:CQ51">
    <cfRule type="expression" dxfId="175" priority="191">
      <formula>$J2="Santé Individuelle"</formula>
    </cfRule>
  </conditionalFormatting>
  <conditionalFormatting sqref="DN2:DN51">
    <cfRule type="containsText" dxfId="174" priority="190" operator="containsText" text="OK">
      <formula>NOT(ISERROR(SEARCH("OK",DN2)))</formula>
    </cfRule>
  </conditionalFormatting>
  <conditionalFormatting sqref="DN2:DN51">
    <cfRule type="containsText" dxfId="173" priority="189" operator="containsText" text="Mini">
      <formula>NOT(ISERROR(SEARCH("Mini",DN2)))</formula>
    </cfRule>
  </conditionalFormatting>
  <conditionalFormatting sqref="DN2:DN51">
    <cfRule type="containsText" dxfId="172" priority="188" operator="containsText" text="KO">
      <formula>NOT(ISERROR(SEARCH("KO",DN2)))</formula>
    </cfRule>
  </conditionalFormatting>
  <conditionalFormatting sqref="O2:P51">
    <cfRule type="expression" dxfId="171" priority="210">
      <formula>$G2&lt;&gt;"Annulation"</formula>
    </cfRule>
  </conditionalFormatting>
  <conditionalFormatting sqref="Z2:Z51">
    <cfRule type="expression" dxfId="170" priority="182">
      <formula>$AA2&lt;31</formula>
    </cfRule>
  </conditionalFormatting>
  <conditionalFormatting sqref="Z2:Z51">
    <cfRule type="expression" dxfId="169" priority="181">
      <formula>$AA2&gt;122</formula>
    </cfRule>
  </conditionalFormatting>
  <conditionalFormatting sqref="AF2:AF51">
    <cfRule type="expression" dxfId="168" priority="178">
      <formula>$AB2="X"</formula>
    </cfRule>
  </conditionalFormatting>
  <conditionalFormatting sqref="AF2:AF51">
    <cfRule type="expression" dxfId="167" priority="177">
      <formula>$AE2&lt;&gt;"Programmée"</formula>
    </cfRule>
  </conditionalFormatting>
  <conditionalFormatting sqref="AH2:AH51">
    <cfRule type="cellIs" dxfId="166" priority="258" operator="greaterThanOrEqual">
      <formula>2</formula>
    </cfRule>
    <cfRule type="cellIs" dxfId="165" priority="259" operator="between">
      <formula>1</formula>
      <formula>1.99999999999999</formula>
    </cfRule>
    <cfRule type="cellIs" dxfId="164" priority="260" operator="lessThan">
      <formula>1</formula>
    </cfRule>
  </conditionalFormatting>
  <conditionalFormatting sqref="AK2:AK51">
    <cfRule type="expression" dxfId="163" priority="175">
      <formula>$AK2-TODAY()&lt;30</formula>
    </cfRule>
  </conditionalFormatting>
  <conditionalFormatting sqref="AK2:AK51">
    <cfRule type="containsBlanks" dxfId="162" priority="174">
      <formula>LEN(TRIM(AK2))=0</formula>
    </cfRule>
  </conditionalFormatting>
  <conditionalFormatting sqref="AL2:AL51">
    <cfRule type="cellIs" dxfId="161" priority="179" operator="between">
      <formula>1</formula>
      <formula>1.99999999999999</formula>
    </cfRule>
    <cfRule type="cellIs" dxfId="160" priority="180" operator="lessThan">
      <formula>1</formula>
    </cfRule>
    <cfRule type="cellIs" dxfId="159" priority="267" operator="greaterThanOrEqual">
      <formula>2</formula>
    </cfRule>
  </conditionalFormatting>
  <conditionalFormatting sqref="AI2:AK51">
    <cfRule type="expression" dxfId="158" priority="173">
      <formula>$G2="Annulation"</formula>
    </cfRule>
  </conditionalFormatting>
  <conditionalFormatting sqref="M2:M51">
    <cfRule type="cellIs" dxfId="157" priority="172" operator="greaterThan">
      <formula>0</formula>
    </cfRule>
  </conditionalFormatting>
  <conditionalFormatting sqref="AQ2:AR51 AN2:AO51">
    <cfRule type="expression" dxfId="156" priority="107">
      <formula>$Z2&gt;=(42736+365)</formula>
    </cfRule>
  </conditionalFormatting>
  <conditionalFormatting sqref="AT2:AU51">
    <cfRule type="expression" dxfId="155" priority="121">
      <formula>$Z2&gt;=(42736+365+365)</formula>
    </cfRule>
  </conditionalFormatting>
  <conditionalFormatting sqref="AW2:AX51">
    <cfRule type="expression" dxfId="154" priority="162">
      <formula>$Z2&gt;=(42736+365+365+365)</formula>
    </cfRule>
  </conditionalFormatting>
  <conditionalFormatting sqref="AM2:AO51 AQ2:AR51 AT2:AX51">
    <cfRule type="cellIs" dxfId="153" priority="126" operator="equal">
      <formula>0</formula>
    </cfRule>
    <cfRule type="containsBlanks" dxfId="152" priority="128">
      <formula>LEN(TRIM(AM2))=0</formula>
    </cfRule>
  </conditionalFormatting>
  <conditionalFormatting sqref="CH2:CH51">
    <cfRule type="expression" dxfId="151" priority="161">
      <formula>$J2="Santé Individuelle"</formula>
    </cfRule>
  </conditionalFormatting>
  <conditionalFormatting sqref="BL2:BL51">
    <cfRule type="containsBlanks" dxfId="150" priority="141">
      <formula>LEN(TRIM(BL2))=0</formula>
    </cfRule>
    <cfRule type="cellIs" dxfId="149" priority="142" operator="equal">
      <formula>0</formula>
    </cfRule>
  </conditionalFormatting>
  <conditionalFormatting sqref="BL2:BL51">
    <cfRule type="expression" dxfId="148" priority="143">
      <formula>$G2="Annulation"</formula>
    </cfRule>
  </conditionalFormatting>
  <conditionalFormatting sqref="BL2:BL51">
    <cfRule type="expression" dxfId="147" priority="140">
      <formula>$G2&lt;&gt;"Annulation"</formula>
    </cfRule>
  </conditionalFormatting>
  <conditionalFormatting sqref="BL2:BL51">
    <cfRule type="expression" dxfId="146" priority="138">
      <formula>$DM2="Trans."</formula>
    </cfRule>
  </conditionalFormatting>
  <conditionalFormatting sqref="CI2:CI51">
    <cfRule type="expression" dxfId="145" priority="160">
      <formula>$J2="Santé Individuelle"</formula>
    </cfRule>
  </conditionalFormatting>
  <conditionalFormatting sqref="BQ2:BQ51">
    <cfRule type="expression" dxfId="144" priority="159">
      <formula>$BI2=0</formula>
    </cfRule>
  </conditionalFormatting>
  <conditionalFormatting sqref="BP2:BP51">
    <cfRule type="expression" dxfId="143" priority="158">
      <formula>$BI2=0</formula>
    </cfRule>
  </conditionalFormatting>
  <conditionalFormatting sqref="BT2:BT51">
    <cfRule type="expression" dxfId="142" priority="156">
      <formula>$BI2&lt;2</formula>
    </cfRule>
  </conditionalFormatting>
  <conditionalFormatting sqref="BS2:BS51">
    <cfRule type="expression" dxfId="141" priority="157">
      <formula>$BI2&lt;2</formula>
    </cfRule>
  </conditionalFormatting>
  <conditionalFormatting sqref="BW2:BW51">
    <cfRule type="expression" dxfId="140" priority="154">
      <formula>$BI2&lt;3</formula>
    </cfRule>
  </conditionalFormatting>
  <conditionalFormatting sqref="BV2:BV51">
    <cfRule type="expression" dxfId="139" priority="155">
      <formula>$BI2&lt;3</formula>
    </cfRule>
  </conditionalFormatting>
  <conditionalFormatting sqref="BZ2:BZ51">
    <cfRule type="expression" dxfId="138" priority="152">
      <formula>$BI2&lt;4</formula>
    </cfRule>
  </conditionalFormatting>
  <conditionalFormatting sqref="BY2:BY51">
    <cfRule type="expression" dxfId="137" priority="153">
      <formula>$BI2&lt;4</formula>
    </cfRule>
  </conditionalFormatting>
  <conditionalFormatting sqref="CC2:CC51">
    <cfRule type="expression" dxfId="136" priority="150">
      <formula>$BI2&lt;5</formula>
    </cfRule>
  </conditionalFormatting>
  <conditionalFormatting sqref="CB2:CB51">
    <cfRule type="expression" dxfId="135" priority="151">
      <formula>$BI2&lt;5</formula>
    </cfRule>
  </conditionalFormatting>
  <conditionalFormatting sqref="CF2:CF51">
    <cfRule type="expression" dxfId="134" priority="148">
      <formula>$BI2&lt;6</formula>
    </cfRule>
  </conditionalFormatting>
  <conditionalFormatting sqref="CE2:CE51">
    <cfRule type="expression" dxfId="133" priority="149">
      <formula>$BI2&lt;6</formula>
    </cfRule>
  </conditionalFormatting>
  <conditionalFormatting sqref="CI2:CI51">
    <cfRule type="expression" dxfId="132" priority="146">
      <formula>$BI2&lt;7</formula>
    </cfRule>
  </conditionalFormatting>
  <conditionalFormatting sqref="CH2:CH51">
    <cfRule type="expression" dxfId="131" priority="147">
      <formula>$BI2&lt;7</formula>
    </cfRule>
  </conditionalFormatting>
  <conditionalFormatting sqref="BO2:BO51">
    <cfRule type="expression" dxfId="130" priority="167">
      <formula>$BH2&lt;=1</formula>
    </cfRule>
  </conditionalFormatting>
  <conditionalFormatting sqref="G2:G51">
    <cfRule type="containsText" dxfId="129" priority="137" operator="containsText" text="Pré 2018 OK">
      <formula>NOT(ISERROR(SEARCH("Pré 2018 OK",G2)))</formula>
    </cfRule>
    <cfRule type="containsText" dxfId="128" priority="169" operator="containsText" text="Pré 2018 à Voir">
      <formula>NOT(ISERROR(SEARCH("Pré 2018 à Voir",G2)))</formula>
    </cfRule>
    <cfRule type="containsText" dxfId="127" priority="185" operator="containsText" text="Pré 2018 KO">
      <formula>NOT(ISERROR(SEARCH("Pré 2018 KO",G2)))</formula>
    </cfRule>
  </conditionalFormatting>
  <conditionalFormatting sqref="CT2:CT51">
    <cfRule type="expression" dxfId="126" priority="134">
      <formula>$J2="Prev. Pro"</formula>
    </cfRule>
  </conditionalFormatting>
  <conditionalFormatting sqref="CT2:CT51">
    <cfRule type="expression" dxfId="125" priority="133">
      <formula>$DM2="Trans."</formula>
    </cfRule>
  </conditionalFormatting>
  <conditionalFormatting sqref="AO2:AO51 AM2:AM51">
    <cfRule type="expression" dxfId="124" priority="120">
      <formula>$Z2&gt;=42736</formula>
    </cfRule>
  </conditionalFormatting>
  <conditionalFormatting sqref="AO2:AO51 AQ2:AQ51 AT2:AT51 AW2:AW51">
    <cfRule type="cellIs" dxfId="123" priority="163" operator="greaterThan">
      <formula>0</formula>
    </cfRule>
    <cfRule type="cellIs" dxfId="122" priority="164" operator="lessThan">
      <formula>0</formula>
    </cfRule>
  </conditionalFormatting>
  <conditionalFormatting sqref="AO2:AO51 AQ2:AQ51 AT2:AT51 AW2:AW51">
    <cfRule type="cellIs" dxfId="121" priority="132" operator="equal">
      <formula>-1</formula>
    </cfRule>
  </conditionalFormatting>
  <conditionalFormatting sqref="AR2:AR51 AU2:AU51 AX2:AX51">
    <cfRule type="cellIs" dxfId="120" priority="127" operator="equal">
      <formula>-1</formula>
    </cfRule>
    <cfRule type="cellIs" dxfId="119" priority="135" operator="between">
      <formula>0</formula>
      <formula>0.1</formula>
    </cfRule>
    <cfRule type="cellIs" dxfId="118" priority="166" operator="lessThanOrEqual">
      <formula>0</formula>
    </cfRule>
    <cfRule type="cellIs" dxfId="117" priority="168" operator="greaterThan">
      <formula>0.5</formula>
    </cfRule>
    <cfRule type="cellIs" dxfId="116" priority="297" operator="between">
      <formula>0.1</formula>
      <formula>0.25</formula>
    </cfRule>
    <cfRule type="cellIs" dxfId="115" priority="300" operator="between">
      <formula>0.25</formula>
      <formula>0.5</formula>
    </cfRule>
  </conditionalFormatting>
  <conditionalFormatting sqref="AT2:AU51 AQ2:AR51 AO2:AO51 AW2:AX51">
    <cfRule type="cellIs" dxfId="114" priority="123" operator="equal">
      <formula>-1</formula>
    </cfRule>
    <cfRule type="cellIs" dxfId="113" priority="125" operator="equal">
      <formula>0</formula>
    </cfRule>
    <cfRule type="containsBlanks" dxfId="112" priority="131">
      <formula>LEN(TRIM(AO2))=0</formula>
    </cfRule>
  </conditionalFormatting>
  <conditionalFormatting sqref="AD2:AD51">
    <cfRule type="cellIs" dxfId="111" priority="112" operator="equal">
      <formula>"KO"</formula>
    </cfRule>
    <cfRule type="cellIs" dxfId="110" priority="113" operator="equal">
      <formula>"A faire"</formula>
    </cfRule>
    <cfRule type="cellIs" dxfId="109" priority="114" operator="equal">
      <formula>"Report"</formula>
    </cfRule>
    <cfRule type="cellIs" dxfId="108" priority="115" operator="equal">
      <formula>"Retour"</formula>
    </cfRule>
    <cfRule type="cellIs" dxfId="107" priority="116" operator="equal">
      <formula>"Envoyée"</formula>
    </cfRule>
    <cfRule type="cellIs" dxfId="106" priority="117" operator="equal">
      <formula>"Programmée"</formula>
    </cfRule>
    <cfRule type="cellIs" dxfId="105" priority="118" operator="equal">
      <formula>"Reçue"</formula>
    </cfRule>
    <cfRule type="cellIs" dxfId="104" priority="119" operator="equal">
      <formula>"OK"</formula>
    </cfRule>
  </conditionalFormatting>
  <conditionalFormatting sqref="AC2:AE51">
    <cfRule type="expression" dxfId="103" priority="111">
      <formula>$AB2="X"</formula>
    </cfRule>
  </conditionalFormatting>
  <conditionalFormatting sqref="AE2:AE51">
    <cfRule type="cellIs" dxfId="102" priority="110" operator="equal">
      <formula>43404</formula>
    </cfRule>
  </conditionalFormatting>
  <conditionalFormatting sqref="AE2:AE51">
    <cfRule type="expression" dxfId="101" priority="109">
      <formula>$AD2&lt;&gt;"Programmée"</formula>
    </cfRule>
  </conditionalFormatting>
  <conditionalFormatting sqref="DN2:DN51">
    <cfRule type="containsText" dxfId="100" priority="108" operator="containsText" text="AJ">
      <formula>NOT(ISERROR(SEARCH("AJ",DN2)))</formula>
    </cfRule>
  </conditionalFormatting>
  <conditionalFormatting sqref="CR2:CS51">
    <cfRule type="expression" dxfId="99" priority="165">
      <formula>OR($CS2="4321A",$CS2="4322A",$CS2="4332A")</formula>
    </cfRule>
  </conditionalFormatting>
  <conditionalFormatting sqref="CR2:CS51">
    <cfRule type="expression" dxfId="98" priority="98">
      <formula>$CS2="8690E"</formula>
    </cfRule>
    <cfRule type="expression" dxfId="97" priority="99">
      <formula>$CS2="8690D"</formula>
    </cfRule>
    <cfRule type="expression" dxfId="96" priority="100">
      <formula>OR($CS2="7112B",$CS2="7120B",$CS2="7410Z")</formula>
    </cfRule>
    <cfRule type="expression" dxfId="95" priority="101">
      <formula>OR($CS2="7022Z",$CS2="7021Z")</formula>
    </cfRule>
    <cfRule type="expression" dxfId="94" priority="102">
      <formula>$CS2="6831Z"</formula>
    </cfRule>
    <cfRule type="expression" dxfId="93" priority="103">
      <formula>$CS2="8690F"</formula>
    </cfRule>
    <cfRule type="expression" dxfId="92" priority="104">
      <formula>$CS2="6202A"</formula>
    </cfRule>
  </conditionalFormatting>
  <conditionalFormatting sqref="CZ2:CZ51">
    <cfRule type="expression" dxfId="91" priority="94">
      <formula>$CZ2="NC"</formula>
    </cfRule>
    <cfRule type="expression" dxfId="90" priority="95">
      <formula>$CZ2="Étude à Faire"</formula>
    </cfRule>
    <cfRule type="expression" dxfId="89" priority="96">
      <formula>$CZ2="Plus Tard"</formula>
    </cfRule>
    <cfRule type="expression" dxfId="88" priority="97">
      <formula>$CZ2="OK - Couplé"</formula>
    </cfRule>
  </conditionalFormatting>
  <conditionalFormatting sqref="CZ2:CZ51">
    <cfRule type="expression" dxfId="87" priority="93">
      <formula>$CZ2="Étude KO"</formula>
    </cfRule>
  </conditionalFormatting>
  <conditionalFormatting sqref="CX2:CX51 DJ2:DK51">
    <cfRule type="containsText" dxfId="86" priority="105" operator="containsText" text="Oui">
      <formula>NOT(ISERROR(SEARCH("Oui",CX2)))</formula>
    </cfRule>
  </conditionalFormatting>
  <conditionalFormatting sqref="DH2:DI51 DE2:DF51">
    <cfRule type="cellIs" dxfId="85" priority="106" operator="greaterThan">
      <formula>0</formula>
    </cfRule>
  </conditionalFormatting>
  <conditionalFormatting sqref="DG2:DG51">
    <cfRule type="containsText" dxfId="84" priority="92" operator="containsText" text="Barème">
      <formula>NOT(ISERROR(SEARCH("Barème",DG2)))</formula>
    </cfRule>
  </conditionalFormatting>
  <conditionalFormatting sqref="DC2:DC51">
    <cfRule type="containsText" dxfId="83" priority="91" operator="containsText" text="Sans">
      <formula>NOT(ISERROR(SEARCH("Sans",DC2)))</formula>
    </cfRule>
  </conditionalFormatting>
  <conditionalFormatting sqref="DB2:DB51">
    <cfRule type="cellIs" dxfId="82" priority="90" operator="greaterThan">
      <formula>0</formula>
    </cfRule>
  </conditionalFormatting>
  <conditionalFormatting sqref="AJ2:AJ51">
    <cfRule type="expression" dxfId="81" priority="87">
      <formula>$AK2-TODAY()&lt;30</formula>
    </cfRule>
  </conditionalFormatting>
  <conditionalFormatting sqref="AJ2:AJ51">
    <cfRule type="containsBlanks" dxfId="80" priority="86">
      <formula>LEN(TRIM(AJ2))=0</formula>
    </cfRule>
  </conditionalFormatting>
  <conditionalFormatting sqref="DQ2:DQ51">
    <cfRule type="expression" dxfId="79" priority="82">
      <formula>OR($C2="",$J2="",$F2="",)</formula>
    </cfRule>
  </conditionalFormatting>
  <conditionalFormatting sqref="DR2:DR51">
    <cfRule type="expression" dxfId="78" priority="81">
      <formula>OR($C2="",$F2="",$M2="",$AS2="",$AU2="",$AS2=0,$AU2=0)</formula>
    </cfRule>
  </conditionalFormatting>
  <conditionalFormatting sqref="DO2:DP51">
    <cfRule type="containsBlanks" dxfId="77" priority="80">
      <formula>LEN(TRIM(DO2))=0</formula>
    </cfRule>
  </conditionalFormatting>
  <conditionalFormatting sqref="DO2:DO51">
    <cfRule type="expression" dxfId="76" priority="79">
      <formula>$C2=""</formula>
    </cfRule>
  </conditionalFormatting>
  <conditionalFormatting sqref="DP2:DP51">
    <cfRule type="expression" dxfId="75" priority="78">
      <formula>$BB2=""</formula>
    </cfRule>
  </conditionalFormatting>
  <conditionalFormatting sqref="DO2:DR51">
    <cfRule type="expression" dxfId="74" priority="77">
      <formula>$C2=""</formula>
    </cfRule>
  </conditionalFormatting>
  <conditionalFormatting sqref="P2:P51">
    <cfRule type="containsText" dxfId="73" priority="83" operator="containsText" text="Résilié - ACS">
      <formula>NOT(ISERROR(SEARCH("Résilié - ACS",P2)))</formula>
    </cfRule>
    <cfRule type="containsText" dxfId="72" priority="84" operator="containsText" text="Résilié - Groupe">
      <formula>NOT(ISERROR(SEARCH("Résilié - Groupe",P2)))</formula>
    </cfRule>
  </conditionalFormatting>
  <conditionalFormatting sqref="AP2:AP51">
    <cfRule type="cellIs" dxfId="71" priority="75" operator="equal">
      <formula>0</formula>
    </cfRule>
    <cfRule type="containsBlanks" dxfId="70" priority="76">
      <formula>LEN(TRIM(AP2))=0</formula>
    </cfRule>
  </conditionalFormatting>
  <conditionalFormatting sqref="AP2:AP51">
    <cfRule type="expression" dxfId="69" priority="72">
      <formula>$G2="Annulation"</formula>
    </cfRule>
  </conditionalFormatting>
  <conditionalFormatting sqref="AP2:AP51">
    <cfRule type="expression" dxfId="68" priority="71">
      <formula>$G2&lt;&gt;"Annulation"</formula>
    </cfRule>
  </conditionalFormatting>
  <conditionalFormatting sqref="AP2:AP51">
    <cfRule type="expression" dxfId="67" priority="70">
      <formula>$Z2&gt;=(42736+365+365)</formula>
    </cfRule>
  </conditionalFormatting>
  <conditionalFormatting sqref="AP2:AP51">
    <cfRule type="cellIs" dxfId="66" priority="73" operator="equal">
      <formula>0</formula>
    </cfRule>
    <cfRule type="containsBlanks" dxfId="65" priority="74">
      <formula>LEN(TRIM(AP2))=0</formula>
    </cfRule>
  </conditionalFormatting>
  <conditionalFormatting sqref="AS2:AS51">
    <cfRule type="cellIs" dxfId="64" priority="67" operator="equal">
      <formula>0</formula>
    </cfRule>
    <cfRule type="containsBlanks" dxfId="63" priority="68">
      <formula>LEN(TRIM(AS2))=0</formula>
    </cfRule>
  </conditionalFormatting>
  <conditionalFormatting sqref="AS2:AS51">
    <cfRule type="expression" dxfId="62" priority="64">
      <formula>$G2="Annulation"</formula>
    </cfRule>
  </conditionalFormatting>
  <conditionalFormatting sqref="AS2:AS51">
    <cfRule type="expression" dxfId="61" priority="63">
      <formula>$G2&lt;&gt;"Annulation"</formula>
    </cfRule>
  </conditionalFormatting>
  <conditionalFormatting sqref="AS2:AS51">
    <cfRule type="expression" dxfId="60" priority="69">
      <formula>$Z2&gt;=(42736+365+365+365)</formula>
    </cfRule>
  </conditionalFormatting>
  <conditionalFormatting sqref="AS2:AS51">
    <cfRule type="cellIs" dxfId="59" priority="65" operator="equal">
      <formula>0</formula>
    </cfRule>
    <cfRule type="containsBlanks" dxfId="58" priority="66">
      <formula>LEN(TRIM(AS2))=0</formula>
    </cfRule>
  </conditionalFormatting>
  <conditionalFormatting sqref="AJ2:AK51">
    <cfRule type="expression" dxfId="57" priority="8111">
      <formula>$DM2="Trans."</formula>
    </cfRule>
    <cfRule type="expression" dxfId="56" priority="8112">
      <formula>$AK2-TODAY()&gt;90</formula>
    </cfRule>
  </conditionalFormatting>
  <conditionalFormatting sqref="Q1:R1 U1:W1 BL1 BO1 BR1 BU1 BX1 CA1 CD1 CG1 CJ1 CT1 AQ1:AR1 AT1:AU1 AW1:AX1 AO1 AG1:AL1 AA1">
    <cfRule type="expression" dxfId="55" priority="9304">
      <formula>$A1="Trans."</formula>
    </cfRule>
  </conditionalFormatting>
  <conditionalFormatting sqref="C1:H1 J1:P1 S1 AY1:BK1 BM1:BN1 BP1:BQ1 BS1:BT1 BV1:BW1 BY1:BZ1 CB1:CC1 CE1:CF1 CH1:CI1 CK1:CS1 CU1:DL1 Z1 AB1:AF1">
    <cfRule type="expression" dxfId="54" priority="9320">
      <formula>$A1="Trans."</formula>
    </cfRule>
  </conditionalFormatting>
  <conditionalFormatting sqref="T1 CY1 AP1 AS1 AV1 X1:Y1 AM1:AN1">
    <cfRule type="expression" dxfId="53" priority="9335">
      <formula>$A1="Trans."</formula>
    </cfRule>
  </conditionalFormatting>
  <conditionalFormatting sqref="I1">
    <cfRule type="expression" dxfId="52" priority="9343">
      <formula>$A1="Trans."</formula>
    </cfRule>
  </conditionalFormatting>
  <conditionalFormatting sqref="B2:B51">
    <cfRule type="expression" dxfId="51" priority="16">
      <formula>$DM2="Trans."</formula>
    </cfRule>
  </conditionalFormatting>
  <conditionalFormatting sqref="B2:B51">
    <cfRule type="expression" dxfId="50" priority="18">
      <formula>$DN2=""</formula>
    </cfRule>
    <cfRule type="expression" dxfId="49" priority="22">
      <formula>$DN2="OK"</formula>
    </cfRule>
  </conditionalFormatting>
  <conditionalFormatting sqref="B2:B51">
    <cfRule type="expression" dxfId="48" priority="21">
      <formula>$DN2="Mini"</formula>
    </cfRule>
  </conditionalFormatting>
  <conditionalFormatting sqref="B2:B51">
    <cfRule type="expression" dxfId="47" priority="20">
      <formula>$DN2="KO"</formula>
    </cfRule>
  </conditionalFormatting>
  <conditionalFormatting sqref="B2:B51">
    <cfRule type="expression" dxfId="46" priority="17">
      <formula>$G2="Annulation"</formula>
    </cfRule>
  </conditionalFormatting>
  <conditionalFormatting sqref="B2:B51">
    <cfRule type="expression" dxfId="45" priority="19">
      <formula>$DN2="AJ"</formula>
    </cfRule>
  </conditionalFormatting>
  <conditionalFormatting sqref="A2:A51">
    <cfRule type="expression" dxfId="44" priority="9">
      <formula>$DM2="Trans."</formula>
    </cfRule>
  </conditionalFormatting>
  <conditionalFormatting sqref="A2:A51">
    <cfRule type="expression" dxfId="43" priority="11">
      <formula>$DN2=""</formula>
    </cfRule>
    <cfRule type="expression" dxfId="42" priority="15">
      <formula>$DN2="OK"</formula>
    </cfRule>
  </conditionalFormatting>
  <conditionalFormatting sqref="A2:A51">
    <cfRule type="expression" dxfId="41" priority="14">
      <formula>$DN2="Mini"</formula>
    </cfRule>
  </conditionalFormatting>
  <conditionalFormatting sqref="A2:A51">
    <cfRule type="expression" dxfId="40" priority="13">
      <formula>$DN2="KO"</formula>
    </cfRule>
  </conditionalFormatting>
  <conditionalFormatting sqref="A2:A51">
    <cfRule type="expression" dxfId="39" priority="10">
      <formula>$G2="Annulation"</formula>
    </cfRule>
  </conditionalFormatting>
  <conditionalFormatting sqref="A2:A51">
    <cfRule type="expression" dxfId="38" priority="12">
      <formula>$DN2="AJ"</formula>
    </cfRule>
  </conditionalFormatting>
  <conditionalFormatting sqref="T2:T51">
    <cfRule type="cellIs" dxfId="37" priority="5" operator="equal">
      <formula>0</formula>
    </cfRule>
    <cfRule type="containsBlanks" dxfId="36" priority="8">
      <formula>LEN(TRIM(T2))=0</formula>
    </cfRule>
  </conditionalFormatting>
  <conditionalFormatting sqref="T2:T51">
    <cfRule type="expression" dxfId="35" priority="1">
      <formula>$G2="Annulation"</formula>
    </cfRule>
  </conditionalFormatting>
  <conditionalFormatting sqref="T2:T51">
    <cfRule type="expression" dxfId="34" priority="2">
      <formula>$G2&lt;&gt;"Annulation"</formula>
    </cfRule>
  </conditionalFormatting>
  <conditionalFormatting sqref="T2:T51">
    <cfRule type="cellIs" dxfId="33" priority="4" operator="equal">
      <formula>0</formula>
    </cfRule>
    <cfRule type="containsBlanks" dxfId="32" priority="7">
      <formula>LEN(TRIM(T2))=0</formula>
    </cfRule>
  </conditionalFormatting>
  <conditionalFormatting sqref="T2:T51">
    <cfRule type="cellIs" dxfId="31" priority="3" operator="equal">
      <formula>0</formula>
    </cfRule>
    <cfRule type="containsBlanks" dxfId="30" priority="6">
      <formula>LEN(TRIM(T2))=0</formula>
    </cfRule>
  </conditionalFormatting>
  <dataValidations count="1">
    <dataValidation type="list" allowBlank="1" showInputMessage="1" showErrorMessage="1" sqref="DM2:DM51">
      <formula1>#REF!</formula1>
    </dataValidation>
  </dataValidations>
  <pageMargins left="0" right="0" top="0" bottom="0" header="0" footer="0"/>
  <pageSetup paperSize="9" orientation="landscape" verticalDpi="36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Matrice!$B$49:$D$49</xm:f>
          </x14:formula1>
          <xm:sqref>F2:F51</xm:sqref>
        </x14:dataValidation>
        <x14:dataValidation type="list" allowBlank="1" showInputMessage="1" showErrorMessage="1">
          <x14:formula1>
            <xm:f>Matrice!$B$11:$J$11</xm:f>
          </x14:formula1>
          <xm:sqref>BK2:BK51 BW2:BW51 BT2:BT51 CF2:CF51 BQ2:BQ51 CI2:CI51 BN2:BN51 CC2:CC51 BZ2:BZ51</xm:sqref>
        </x14:dataValidation>
        <x14:dataValidation type="list" allowBlank="1" showInputMessage="1" showErrorMessage="1">
          <x14:formula1>
            <xm:f>Matrice!$B$4:$J$4</xm:f>
          </x14:formula1>
          <xm:sqref>S2:S51</xm:sqref>
        </x14:dataValidation>
        <x14:dataValidation type="list" allowBlank="1" showInputMessage="1" showErrorMessage="1">
          <x14:formula1>
            <xm:f>Matrice!$B$12:$M$12</xm:f>
          </x14:formula1>
          <xm:sqref>BH2:BI51</xm:sqref>
        </x14:dataValidation>
        <x14:dataValidation type="list" allowBlank="1" showInputMessage="1" showErrorMessage="1">
          <x14:formula1>
            <xm:f>Matrice!$B$23:$I$23</xm:f>
          </x14:formula1>
          <xm:sqref>AY2:AY51</xm:sqref>
        </x14:dataValidation>
        <x14:dataValidation type="list" allowBlank="1" showInputMessage="1" showErrorMessage="1">
          <x14:formula1>
            <xm:f>Matrice!$B$9:$O$9</xm:f>
          </x14:formula1>
          <xm:sqref>G2:G51</xm:sqref>
        </x14:dataValidation>
        <x14:dataValidation type="list" allowBlank="1" showInputMessage="1" showErrorMessage="1">
          <x14:formula1>
            <xm:f>Matrice!$C$25:$N$25</xm:f>
          </x14:formula1>
          <xm:sqref>CK2:CP51</xm:sqref>
        </x14:dataValidation>
        <x14:dataValidation type="list" allowBlank="1" showInputMessage="1" showErrorMessage="1">
          <x14:formula1>
            <xm:f>Matrice!$B$33:$E$33</xm:f>
          </x14:formula1>
          <xm:sqref>CW2:CW51</xm:sqref>
        </x14:dataValidation>
        <x14:dataValidation type="list" allowBlank="1" showInputMessage="1" showErrorMessage="1">
          <x14:formula1>
            <xm:f>Matrice!$B$32:$F$32</xm:f>
          </x14:formula1>
          <xm:sqref>DC2:DC51</xm:sqref>
        </x14:dataValidation>
        <x14:dataValidation type="list" allowBlank="1" showInputMessage="1" showErrorMessage="1">
          <x14:formula1>
            <xm:f>Matrice!$B$28:$H$28</xm:f>
          </x14:formula1>
          <xm:sqref>DD2:DD51</xm:sqref>
        </x14:dataValidation>
        <x14:dataValidation type="list" allowBlank="1" showInputMessage="1" showErrorMessage="1">
          <x14:formula1>
            <xm:f>Matrice!$B$36:$O$36</xm:f>
          </x14:formula1>
          <xm:sqref>DG2:DG51</xm:sqref>
        </x14:dataValidation>
        <x14:dataValidation type="list" allowBlank="1" showInputMessage="1" showErrorMessage="1">
          <x14:formula1>
            <xm:f>Matrice!$B$37:$I$37</xm:f>
          </x14:formula1>
          <xm:sqref>DJ2:DJ51</xm:sqref>
        </x14:dataValidation>
        <x14:dataValidation type="list" allowBlank="1" showInputMessage="1" showErrorMessage="1">
          <x14:formula1>
            <xm:f>Matrice!$B$38:$I$38</xm:f>
          </x14:formula1>
          <xm:sqref>DK2:DK51</xm:sqref>
        </x14:dataValidation>
        <x14:dataValidation type="list" allowBlank="1" showInputMessage="1" showErrorMessage="1">
          <x14:formula1>
            <xm:f>Matrice!$B$39:$J$39</xm:f>
          </x14:formula1>
          <xm:sqref>DA2:DA51</xm:sqref>
        </x14:dataValidation>
        <x14:dataValidation type="list" allowBlank="1" showInputMessage="1" showErrorMessage="1">
          <x14:formula1>
            <xm:f>Matrice!$B$1:$J$1</xm:f>
          </x14:formula1>
          <xm:sqref>J2:J51</xm:sqref>
        </x14:dataValidation>
        <x14:dataValidation type="list" allowBlank="1" showInputMessage="1" showErrorMessage="1">
          <x14:formula1>
            <xm:f>Matrice!$B$2:$O$2</xm:f>
          </x14:formula1>
          <xm:sqref>K2:K51</xm:sqref>
        </x14:dataValidation>
        <x14:dataValidation type="list" allowBlank="1" showInputMessage="1" showErrorMessage="1">
          <x14:formula1>
            <xm:f>Matrice!$B$8:$K$8</xm:f>
          </x14:formula1>
          <xm:sqref>AD2:AD51</xm:sqref>
        </x14:dataValidation>
        <x14:dataValidation type="list" allowBlank="1" showInputMessage="1" showErrorMessage="1">
          <x14:formula1>
            <xm:f>Matrice!$B$7:$L$7</xm:f>
          </x14:formula1>
          <xm:sqref>AB2:AB51</xm:sqref>
        </x14:dataValidation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Matrice!$B$34:$I$34</xm:f>
          </x14:formula1>
          <xm:sqref>CX2:CX51</xm:sqref>
        </x14:dataValidation>
        <x14:dataValidation type="list" allowBlank="1" showInputMessage="1" showErrorMessage="1">
          <x14:formula1>
            <xm:f>Matrice!$B$35:$M$35</xm:f>
          </x14:formula1>
          <xm:sqref>CZ2:CZ51</xm:sqref>
        </x14:dataValidation>
        <x14:dataValidation type="list" allowBlank="1" showInputMessage="1" showErrorMessage="1">
          <x14:formula1>
            <xm:f>Matrice!$B$31:$V$31</xm:f>
          </x14:formula1>
          <xm:sqref>CU2:CU51</xm:sqref>
        </x14:dataValidation>
        <x14:dataValidation type="list" allowBlank="1" showInputMessage="1" showErrorMessage="1">
          <x14:formula1>
            <xm:f>Matrice!$B$3:$Y$3</xm:f>
          </x14:formula1>
          <xm:sqref>P2:P51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1"/>
  </sheetPr>
  <dimension ref="A1:CG78"/>
  <sheetViews>
    <sheetView zoomScale="80" zoomScaleNormal="80" workbookViewId="0">
      <selection activeCell="E14" sqref="E14"/>
    </sheetView>
  </sheetViews>
  <sheetFormatPr baseColWidth="10" defaultColWidth="9.140625" defaultRowHeight="15.75" x14ac:dyDescent="0.25"/>
  <cols>
    <col min="1" max="1" width="18" style="170" bestFit="1" customWidth="1"/>
    <col min="2" max="2" width="22.42578125" style="170" bestFit="1" customWidth="1"/>
    <col min="3" max="3" width="11.42578125" style="170" bestFit="1" customWidth="1"/>
    <col min="4" max="4" width="8.7109375" style="170" bestFit="1" customWidth="1"/>
    <col min="5" max="5" width="15.5703125" style="170" bestFit="1" customWidth="1"/>
    <col min="6" max="6" width="15.85546875" style="336" bestFit="1" customWidth="1"/>
    <col min="7" max="7" width="11.7109375" style="170" bestFit="1" customWidth="1"/>
    <col min="8" max="8" width="11.28515625" style="170" bestFit="1" customWidth="1"/>
    <col min="9" max="9" width="16.42578125" style="170" bestFit="1" customWidth="1"/>
    <col min="10" max="10" width="10.85546875" style="322" bestFit="1" customWidth="1"/>
    <col min="11" max="13" width="8.7109375" style="322" bestFit="1" customWidth="1"/>
    <col min="14" max="14" width="9.42578125" style="323" bestFit="1" customWidth="1"/>
    <col min="15" max="15" width="8.85546875" style="322" bestFit="1" customWidth="1"/>
    <col min="16" max="16" width="18.7109375" style="170" bestFit="1" customWidth="1"/>
    <col min="17" max="17" width="14.7109375" style="322" customWidth="1"/>
    <col min="18" max="18" width="11.42578125" style="333" bestFit="1" customWidth="1"/>
    <col min="19" max="19" width="16.42578125" style="334" bestFit="1" customWidth="1"/>
    <col min="20" max="20" width="10.28515625" style="335" bestFit="1" customWidth="1"/>
    <col min="21" max="21" width="13.42578125" style="334" bestFit="1" customWidth="1"/>
    <col min="22" max="22" width="19.140625" style="334" bestFit="1" customWidth="1"/>
    <col min="23" max="23" width="11.7109375" style="334" bestFit="1" customWidth="1"/>
    <col min="24" max="24" width="12.7109375" style="334" bestFit="1" customWidth="1"/>
    <col min="25" max="25" width="22.28515625" style="322" bestFit="1" customWidth="1"/>
    <col min="26" max="26" width="10.7109375" style="170" bestFit="1" customWidth="1"/>
    <col min="27" max="27" width="12.42578125" style="170" bestFit="1" customWidth="1"/>
    <col min="28" max="28" width="17.42578125" style="170" bestFit="1" customWidth="1"/>
    <col min="29" max="29" width="20.42578125" style="170" customWidth="1"/>
    <col min="30" max="30" width="35" style="170" bestFit="1" customWidth="1"/>
    <col min="31" max="31" width="21" style="170" bestFit="1" customWidth="1"/>
    <col min="32" max="32" width="10.85546875" style="170" bestFit="1" customWidth="1"/>
    <col min="33" max="33" width="23" style="170" bestFit="1" customWidth="1"/>
    <col min="34" max="34" width="6.140625" style="170" bestFit="1" customWidth="1"/>
    <col min="35" max="35" width="5.7109375" style="170" customWidth="1"/>
    <col min="36" max="36" width="2.28515625" style="170" bestFit="1" customWidth="1"/>
    <col min="37" max="37" width="13.5703125" style="170" bestFit="1" customWidth="1"/>
    <col min="38" max="38" width="15.5703125" style="170" bestFit="1" customWidth="1"/>
    <col min="39" max="39" width="13" style="170" bestFit="1" customWidth="1"/>
    <col min="40" max="40" width="12.140625" style="170" bestFit="1" customWidth="1"/>
    <col min="41" max="41" width="12.85546875" style="170" bestFit="1" customWidth="1"/>
    <col min="42" max="42" width="17.85546875" style="170" bestFit="1" customWidth="1"/>
    <col min="43" max="43" width="9.28515625" style="170" bestFit="1" customWidth="1"/>
    <col min="44" max="44" width="14.140625" style="170" bestFit="1" customWidth="1"/>
    <col min="45" max="45" width="13" style="170" bestFit="1" customWidth="1"/>
    <col min="46" max="46" width="12.140625" style="324" bestFit="1" customWidth="1"/>
    <col min="47" max="47" width="12.85546875" style="170" bestFit="1" customWidth="1"/>
    <col min="48" max="48" width="17.85546875" style="170" bestFit="1" customWidth="1"/>
    <col min="49" max="49" width="14.140625" style="324" bestFit="1" customWidth="1"/>
    <col min="50" max="50" width="8" style="170" bestFit="1" customWidth="1"/>
    <col min="51" max="51" width="13" style="170" bestFit="1" customWidth="1"/>
    <col min="52" max="52" width="32.85546875" style="324" bestFit="1" customWidth="1"/>
    <col min="53" max="53" width="33.140625" style="170" bestFit="1" customWidth="1"/>
    <col min="54" max="54" width="17.7109375" style="170" bestFit="1" customWidth="1"/>
    <col min="55" max="55" width="32.5703125" style="170" bestFit="1" customWidth="1"/>
    <col min="56" max="56" width="21.7109375" style="170" bestFit="1" customWidth="1"/>
    <col min="57" max="57" width="22" style="170" bestFit="1" customWidth="1"/>
    <col min="58" max="58" width="11.85546875" style="170" bestFit="1" customWidth="1"/>
    <col min="59" max="59" width="7.28515625" style="170" customWidth="1"/>
    <col min="60" max="60" width="5.28515625" style="170" bestFit="1" customWidth="1"/>
    <col min="61" max="61" width="10.7109375" style="170" bestFit="1" customWidth="1"/>
    <col min="62" max="62" width="7.28515625" style="170" customWidth="1"/>
    <col min="63" max="63" width="5.28515625" style="170" bestFit="1" customWidth="1"/>
    <col min="64" max="64" width="10.7109375" style="170" customWidth="1"/>
    <col min="65" max="65" width="7.28515625" style="170" customWidth="1"/>
    <col min="66" max="66" width="6.7109375" style="170" bestFit="1" customWidth="1"/>
    <col min="67" max="67" width="10.85546875" style="170" bestFit="1" customWidth="1"/>
    <col min="68" max="68" width="7.28515625" style="170" customWidth="1"/>
    <col min="69" max="69" width="6.7109375" style="170" bestFit="1" customWidth="1"/>
    <col min="70" max="70" width="10.7109375" style="170" customWidth="1"/>
    <col min="71" max="71" width="7.28515625" style="170" customWidth="1"/>
    <col min="72" max="72" width="6.7109375" style="170" bestFit="1" customWidth="1"/>
    <col min="73" max="73" width="10.7109375" style="170" customWidth="1"/>
    <col min="74" max="74" width="7.28515625" style="170" customWidth="1"/>
    <col min="75" max="75" width="8" style="170" bestFit="1" customWidth="1"/>
    <col min="76" max="76" width="10.7109375" style="170" customWidth="1"/>
    <col min="77" max="77" width="7.28515625" style="170" customWidth="1"/>
    <col min="78" max="78" width="6.7109375" style="170" bestFit="1" customWidth="1"/>
    <col min="79" max="79" width="10.7109375" style="170" customWidth="1"/>
    <col min="80" max="80" width="7.28515625" style="170" customWidth="1"/>
    <col min="81" max="81" width="6.42578125" style="170" bestFit="1" customWidth="1"/>
    <col min="82" max="82" width="10.7109375" style="170" customWidth="1"/>
    <col min="83" max="83" width="7.28515625" style="170" customWidth="1"/>
    <col min="84" max="84" width="6.42578125" style="170" bestFit="1" customWidth="1"/>
    <col min="85" max="85" width="8" style="170" bestFit="1" customWidth="1"/>
    <col min="86" max="86" width="10.7109375" style="170" bestFit="1" customWidth="1"/>
    <col min="87" max="87" width="11.42578125" style="170" bestFit="1" customWidth="1"/>
    <col min="88" max="88" width="12.5703125" style="170" bestFit="1" customWidth="1"/>
    <col min="89" max="89" width="8.140625" style="170" bestFit="1" customWidth="1"/>
    <col min="90" max="90" width="10.7109375" style="170" bestFit="1" customWidth="1"/>
    <col min="91" max="91" width="10.5703125" style="170" bestFit="1" customWidth="1"/>
    <col min="92" max="92" width="37.28515625" style="170" customWidth="1"/>
    <col min="93" max="93" width="15.5703125" style="170" customWidth="1"/>
    <col min="94" max="94" width="7.7109375" style="170" bestFit="1" customWidth="1"/>
    <col min="95" max="95" width="9.140625" style="170"/>
    <col min="96" max="96" width="13.140625" style="170" bestFit="1" customWidth="1"/>
    <col min="97" max="97" width="17.140625" style="170" bestFit="1" customWidth="1"/>
    <col min="98" max="98" width="10.140625" style="170" bestFit="1" customWidth="1"/>
    <col min="99" max="99" width="18.28515625" style="170" bestFit="1" customWidth="1"/>
    <col min="100" max="100" width="12.140625" style="170" bestFit="1" customWidth="1"/>
    <col min="101" max="101" width="16.28515625" style="170" bestFit="1" customWidth="1"/>
    <col min="102" max="102" width="18.85546875" style="170" bestFit="1" customWidth="1"/>
    <col min="103" max="103" width="11.7109375" style="170" customWidth="1"/>
    <col min="104" max="104" width="11.5703125" style="170" bestFit="1" customWidth="1"/>
    <col min="105" max="105" width="13" style="170" bestFit="1" customWidth="1"/>
    <col min="106" max="106" width="11.7109375" style="170" bestFit="1" customWidth="1"/>
    <col min="107" max="107" width="10.140625" style="170" bestFit="1" customWidth="1"/>
    <col min="108" max="108" width="24.85546875" style="170" bestFit="1" customWidth="1"/>
    <col min="109" max="109" width="15" style="170" bestFit="1" customWidth="1"/>
    <col min="110" max="110" width="12.85546875" style="170" bestFit="1" customWidth="1"/>
    <col min="111" max="111" width="6.85546875" style="170" customWidth="1"/>
    <col min="112" max="112" width="18.140625" style="170" bestFit="1" customWidth="1"/>
    <col min="113" max="113" width="6" style="170" bestFit="1" customWidth="1"/>
    <col min="114" max="114" width="5.140625" style="170" bestFit="1" customWidth="1"/>
    <col min="115" max="16384" width="9.140625" style="170"/>
  </cols>
  <sheetData>
    <row r="1" spans="1:85" ht="27" thickBot="1" x14ac:dyDescent="0.3">
      <c r="A1" s="321">
        <v>43101</v>
      </c>
      <c r="B1" s="707">
        <f ca="1">TODAY()</f>
        <v>43259</v>
      </c>
      <c r="C1" s="708"/>
      <c r="F1" s="170"/>
      <c r="H1" s="322"/>
      <c r="J1" s="170"/>
      <c r="K1" s="170"/>
      <c r="L1" s="170"/>
      <c r="M1" s="170"/>
      <c r="N1" s="170"/>
      <c r="O1" s="170"/>
      <c r="Q1" s="170"/>
      <c r="R1" s="170"/>
      <c r="S1" s="170"/>
      <c r="T1" s="170"/>
      <c r="U1" s="170"/>
      <c r="V1" s="170"/>
      <c r="W1" s="170"/>
      <c r="X1" s="170"/>
      <c r="Y1" s="170"/>
      <c r="AT1" s="170"/>
      <c r="AW1" s="170"/>
      <c r="AZ1" s="170"/>
    </row>
    <row r="2" spans="1:85" ht="16.5" thickBot="1" x14ac:dyDescent="0.3">
      <c r="E2" s="161" t="s">
        <v>1127</v>
      </c>
      <c r="F2" s="163">
        <f>SUM('11801'!V2:V51)+SUM('11801'!W2:W51)</f>
        <v>0</v>
      </c>
      <c r="G2" s="164" t="s">
        <v>1128</v>
      </c>
      <c r="H2" s="165">
        <f>SUM('11801'!X2:X51)+SUM('11801'!Y2:Y51)</f>
        <v>0</v>
      </c>
      <c r="I2" s="162" t="s">
        <v>29</v>
      </c>
      <c r="J2" s="166">
        <f>F2-H2</f>
        <v>0</v>
      </c>
      <c r="K2" s="167">
        <f>IF(F2&gt;0,(1-SUM(H2/F2)),0)</f>
        <v>0</v>
      </c>
      <c r="O2" s="170"/>
      <c r="Q2" s="170"/>
      <c r="R2" s="170"/>
      <c r="S2" s="170"/>
      <c r="T2" s="170"/>
      <c r="U2" s="170"/>
      <c r="V2" s="170"/>
      <c r="W2" s="170"/>
      <c r="X2" s="170"/>
      <c r="Y2" s="170"/>
      <c r="AZ2" s="170"/>
    </row>
    <row r="3" spans="1:85" ht="32.25" thickBot="1" x14ac:dyDescent="0.3">
      <c r="A3" s="386" t="s">
        <v>1121</v>
      </c>
      <c r="B3" s="131">
        <f>SUM('11801'!X2:X51)+SUM('11801'!Y2:Y51)</f>
        <v>0</v>
      </c>
      <c r="C3" s="742">
        <f>SUM(TotalPrimes+B4+B5)</f>
        <v>0</v>
      </c>
      <c r="E3" s="80" t="s">
        <v>491</v>
      </c>
      <c r="F3" s="81" t="s">
        <v>33</v>
      </c>
      <c r="G3" s="82" t="s">
        <v>489</v>
      </c>
      <c r="H3" s="82" t="s">
        <v>496</v>
      </c>
      <c r="I3" s="81" t="s">
        <v>43</v>
      </c>
      <c r="J3" s="81" t="s">
        <v>12</v>
      </c>
      <c r="K3" s="81" t="s">
        <v>17</v>
      </c>
      <c r="L3" s="81" t="s">
        <v>64</v>
      </c>
      <c r="M3" s="81" t="s">
        <v>22</v>
      </c>
      <c r="N3" s="83" t="s">
        <v>65</v>
      </c>
      <c r="O3" s="170"/>
      <c r="Q3" s="170"/>
      <c r="R3" s="170"/>
      <c r="S3" s="170"/>
      <c r="T3" s="170"/>
      <c r="U3" s="170"/>
      <c r="V3" s="170"/>
      <c r="W3" s="170"/>
      <c r="X3" s="170"/>
      <c r="Y3" s="170"/>
      <c r="AT3" s="170"/>
      <c r="AW3" s="170"/>
      <c r="AZ3" s="170"/>
    </row>
    <row r="4" spans="1:85" x14ac:dyDescent="0.25">
      <c r="A4" s="97" t="s">
        <v>508</v>
      </c>
      <c r="B4" s="42">
        <f>C32</f>
        <v>0</v>
      </c>
      <c r="C4" s="743"/>
      <c r="E4" s="703" t="s">
        <v>29</v>
      </c>
      <c r="F4" s="325">
        <v>0.11</v>
      </c>
      <c r="G4" s="325">
        <v>0.115</v>
      </c>
      <c r="H4" s="325">
        <v>5.3400000000000003E-2</v>
      </c>
      <c r="I4" s="325">
        <v>0.14599999999999999</v>
      </c>
      <c r="J4" s="325">
        <v>0.104</v>
      </c>
      <c r="K4" s="325">
        <v>5.6000000000000001E-2</v>
      </c>
      <c r="L4" s="325">
        <v>0.11840000000000001</v>
      </c>
      <c r="M4" s="325">
        <v>0.11840000000000001</v>
      </c>
      <c r="N4" s="326">
        <v>0.11840000000000001</v>
      </c>
      <c r="O4" s="170"/>
      <c r="Q4" s="170"/>
      <c r="R4" s="170"/>
      <c r="S4" s="170"/>
      <c r="T4" s="170"/>
      <c r="U4" s="170"/>
      <c r="V4" s="170"/>
      <c r="W4" s="170"/>
      <c r="X4" s="170"/>
      <c r="Y4" s="170"/>
      <c r="AT4" s="170"/>
      <c r="AW4" s="170"/>
      <c r="AZ4" s="170"/>
    </row>
    <row r="5" spans="1:85" ht="16.5" thickBot="1" x14ac:dyDescent="0.3">
      <c r="A5" s="387" t="s">
        <v>14</v>
      </c>
      <c r="B5" s="132">
        <f>C23</f>
        <v>0</v>
      </c>
      <c r="C5" s="744"/>
      <c r="E5" s="709"/>
      <c r="F5" s="327">
        <v>0</v>
      </c>
      <c r="G5" s="327">
        <v>30</v>
      </c>
      <c r="H5" s="327">
        <v>14.16</v>
      </c>
      <c r="I5" s="327">
        <v>0</v>
      </c>
      <c r="J5" s="327">
        <v>0</v>
      </c>
      <c r="K5" s="327">
        <v>0</v>
      </c>
      <c r="L5" s="327">
        <v>0</v>
      </c>
      <c r="M5" s="327">
        <v>0</v>
      </c>
      <c r="N5" s="328">
        <v>0</v>
      </c>
      <c r="O5" s="170"/>
      <c r="Q5" s="170"/>
      <c r="R5" s="170"/>
      <c r="S5" s="170"/>
      <c r="T5" s="170"/>
      <c r="U5" s="170"/>
      <c r="V5" s="170"/>
      <c r="W5" s="170"/>
      <c r="X5" s="170"/>
      <c r="Y5" s="170"/>
      <c r="AT5" s="170"/>
      <c r="AW5" s="170"/>
      <c r="AZ5" s="170"/>
    </row>
    <row r="6" spans="1:85" ht="19.5" thickBot="1" x14ac:dyDescent="0.3">
      <c r="A6" s="106" t="s">
        <v>498</v>
      </c>
      <c r="B6" s="329">
        <v>12</v>
      </c>
      <c r="C6" s="330">
        <f>(-180)*0</f>
        <v>0</v>
      </c>
      <c r="E6" s="157" t="s">
        <v>1120</v>
      </c>
      <c r="F6" s="78">
        <f>SUMIF('11801'!assurance,"APRIL",'11801'!mens)*12</f>
        <v>0</v>
      </c>
      <c r="G6" s="63">
        <f>SUMIF('11801'!assurance,"NEOLIANE",'11801'!mens)*12</f>
        <v>0</v>
      </c>
      <c r="H6" s="63">
        <f>SUMIF('11801'!assurance,"NEOLIANE Prev",'11801'!mens)*12</f>
        <v>0</v>
      </c>
      <c r="I6" s="63">
        <f>SUMIF('11801'!assurance,"ASAF",'11801'!mens)*12</f>
        <v>0</v>
      </c>
      <c r="J6" s="63">
        <f>SUMIF('11801'!assurance,"SWISSLIFE",'11801'!mens)*12</f>
        <v>0</v>
      </c>
      <c r="K6" s="63">
        <f>SUMIF('11801'!assurance,"ALPTIS",'11801'!mens)*12</f>
        <v>0</v>
      </c>
      <c r="L6" s="63">
        <f>SUMIF('11801'!assurance,"AVIVA",'11801'!mens)*12</f>
        <v>0</v>
      </c>
      <c r="M6" s="63">
        <f>SUMIF('11801'!assurance,"CIPRES",'11801'!mens)*12</f>
        <v>0</v>
      </c>
      <c r="N6" s="64">
        <f>SUMIF('11801'!assurance,"CEGEMA",'11801'!mens)*12</f>
        <v>0</v>
      </c>
      <c r="O6" s="170"/>
      <c r="Q6" s="170"/>
      <c r="R6" s="170"/>
      <c r="S6" s="170"/>
      <c r="T6" s="170"/>
      <c r="U6" s="170"/>
      <c r="V6" s="170"/>
      <c r="W6" s="170"/>
      <c r="X6" s="170"/>
      <c r="Y6" s="170"/>
      <c r="AT6" s="170"/>
      <c r="AW6" s="170"/>
      <c r="AZ6" s="170"/>
    </row>
    <row r="7" spans="1:85" s="331" customFormat="1" ht="21.75" thickBot="1" x14ac:dyDescent="0.3">
      <c r="A7" s="107" t="s">
        <v>484</v>
      </c>
      <c r="B7" s="135" t="s">
        <v>501</v>
      </c>
      <c r="C7" s="102">
        <f>C3+C6</f>
        <v>0</v>
      </c>
      <c r="E7" s="90">
        <f>G12</f>
        <v>0</v>
      </c>
      <c r="F7" s="79" t="e">
        <f t="shared" ref="F7:N7" si="0">F6/TotalCA</f>
        <v>#DIV/0!</v>
      </c>
      <c r="G7" s="65" t="e">
        <f t="shared" si="0"/>
        <v>#DIV/0!</v>
      </c>
      <c r="H7" s="65" t="e">
        <f t="shared" si="0"/>
        <v>#DIV/0!</v>
      </c>
      <c r="I7" s="65" t="e">
        <f t="shared" si="0"/>
        <v>#DIV/0!</v>
      </c>
      <c r="J7" s="65" t="e">
        <f t="shared" si="0"/>
        <v>#DIV/0!</v>
      </c>
      <c r="K7" s="65" t="e">
        <f t="shared" si="0"/>
        <v>#DIV/0!</v>
      </c>
      <c r="L7" s="65" t="e">
        <f t="shared" si="0"/>
        <v>#DIV/0!</v>
      </c>
      <c r="M7" s="65" t="e">
        <f t="shared" si="0"/>
        <v>#DIV/0!</v>
      </c>
      <c r="N7" s="66" t="e">
        <f t="shared" si="0"/>
        <v>#DIV/0!</v>
      </c>
    </row>
    <row r="8" spans="1:85" ht="18.75" x14ac:dyDescent="0.25">
      <c r="A8" s="129">
        <f>A1+185</f>
        <v>43286</v>
      </c>
      <c r="B8" s="332">
        <v>0.1</v>
      </c>
      <c r="C8" s="133">
        <f>-SUM((B3+B4)*B8)</f>
        <v>0</v>
      </c>
      <c r="E8" s="111" t="s">
        <v>1119</v>
      </c>
      <c r="F8" s="86">
        <f>SUMIF('11801'!assurance,"APRIL",'11801'!Y2:Y51)+SUMIF('11801'!assurance,"APRIL",'11801'!X2:X51)+SUMIF(B25:B30,"APRIL",C25:C30)+SUMIF(B34:B39,"APRIL",C34:C39)</f>
        <v>0</v>
      </c>
      <c r="G8" s="710">
        <f>SUMIF('11801'!assurance,"NEOLIANE",'11801'!Y2:Y51)+SUMIF('11801'!assurance,"NEOLIANE",'11801'!X2:X51)+SUMIF('11801'!assurance,"NEOLIANE Prev",'11801'!Y2:Y51)+SUMIF('11801'!assurance,"NEOLIANE Prev",'11801'!X2:X51)+SUMIF(B25:B30,"NEOLIANE",C25:C30)+SUMIF(B34:B39,"NEOLIANE",C34:C39)+SUMIF(B25:B30,"NEOLIANE Prev",C25:C30)+SUMIF(B34:B39,"NEOLIANE Prev",C34:C39)</f>
        <v>0</v>
      </c>
      <c r="H8" s="710"/>
      <c r="I8" s="385">
        <f>SUMIF('11801'!assurance,"ASAF",'11801'!Y2:Y51)+SUMIF('11801'!assurance,"ASAF",'11801'!X2:X51)+SUMIF(B25:B30,"ASAF",C25:C30)+SUMIF(B34:B39,"ASAF",C34:C39)</f>
        <v>0</v>
      </c>
      <c r="J8" s="385">
        <f>SUMIF('11801'!assurance,"SWISSLIFE",'11801'!Y2:Y51)+SUMIF('11801'!assurance,"SWISSLIFE",'11801'!X2:X51)+SUMIF(B25:B30,"SWISSLIFE",C25:C30)+SUMIF(B34:B39,"SWISSLIFE",C34:C39)</f>
        <v>0</v>
      </c>
      <c r="K8" s="385">
        <f>SUMIF('11801'!assurance,"ALPTIS",'11801'!Y2:Y51)+SUMIF('11801'!assurance,"ALPTIS",'11801'!X2:X51)+SUMIF(B25:B30,"ALPTIS",C25:C30)+SUMIF(B34:B39,"ALPTIS",C34:C39)</f>
        <v>0</v>
      </c>
      <c r="L8" s="385">
        <f>SUMIF('11801'!assurance,"AVIVA",'11801'!Y2:Y51)+SUMIF('11801'!assurance,"AVIVA",'11801'!X2:X51)+SUMIF(B25:B30,"AVIVA",C25:C30)+SUMIF(B34:B39,"AVIVA",C34:C39)</f>
        <v>0</v>
      </c>
      <c r="M8" s="385">
        <f>SUMIF('11801'!assurance,"CIPRES",'11801'!Y2:Y51)+SUMIF('11801'!assurance,"CIPRES",'11801'!X2:X51)+SUMIF(B25:B30,"CIPRES",C25:C30)+SUMIF(B34:B39,"CIPRES",C34:C39)</f>
        <v>0</v>
      </c>
      <c r="N8" s="88">
        <f>SUMIF('11801'!assurance,"CEGEMA",'11801'!Y2:Y51)+SUMIF('11801'!assurance,"CEGEMA",'11801'!X2:X51)+SUMIF(B25:B30,"CEGEMA",C25:C30)+SUMIF(B34:B39,"CEGEMA",C34:C39)</f>
        <v>0</v>
      </c>
      <c r="O8" s="170"/>
      <c r="Q8" s="170"/>
      <c r="R8" s="170"/>
      <c r="S8" s="170"/>
      <c r="T8" s="170"/>
      <c r="U8" s="170"/>
      <c r="V8" s="170"/>
      <c r="W8" s="170"/>
      <c r="X8" s="170"/>
      <c r="Y8" s="170"/>
      <c r="AT8" s="170"/>
      <c r="AW8" s="170"/>
      <c r="AZ8" s="170"/>
    </row>
    <row r="9" spans="1:85" ht="21.75" thickBot="1" x14ac:dyDescent="0.3">
      <c r="A9" s="130">
        <f ca="1">B1-179</f>
        <v>43080</v>
      </c>
      <c r="B9" s="745">
        <v>0</v>
      </c>
      <c r="C9" s="746"/>
      <c r="E9" s="89">
        <f>TotalPrimes+C23+moisp2</f>
        <v>0</v>
      </c>
      <c r="F9" s="384" t="e">
        <f>F8/TotalPrimes</f>
        <v>#DIV/0!</v>
      </c>
      <c r="G9" s="711" t="e">
        <f>G8/TotalPrimes</f>
        <v>#DIV/0!</v>
      </c>
      <c r="H9" s="711"/>
      <c r="I9" s="388" t="e">
        <f t="shared" ref="I9:N9" si="1">I8/TotalPrimes</f>
        <v>#DIV/0!</v>
      </c>
      <c r="J9" s="388" t="e">
        <f t="shared" si="1"/>
        <v>#DIV/0!</v>
      </c>
      <c r="K9" s="388" t="e">
        <f t="shared" si="1"/>
        <v>#DIV/0!</v>
      </c>
      <c r="L9" s="388" t="e">
        <f t="shared" si="1"/>
        <v>#DIV/0!</v>
      </c>
      <c r="M9" s="388" t="e">
        <f t="shared" si="1"/>
        <v>#DIV/0!</v>
      </c>
      <c r="N9" s="68" t="e">
        <f t="shared" si="1"/>
        <v>#DIV/0!</v>
      </c>
      <c r="O9" s="323"/>
      <c r="P9" s="322"/>
      <c r="Q9" s="170"/>
      <c r="R9" s="322"/>
      <c r="S9" s="333"/>
      <c r="T9" s="334"/>
      <c r="U9" s="335"/>
      <c r="W9" s="322"/>
      <c r="X9" s="322"/>
      <c r="Y9" s="170"/>
      <c r="Z9" s="322"/>
      <c r="AT9" s="170"/>
      <c r="AU9" s="324"/>
      <c r="AW9" s="170"/>
      <c r="AX9" s="324"/>
      <c r="AZ9" s="170"/>
      <c r="BA9" s="324"/>
      <c r="CA9" s="324"/>
      <c r="CD9" s="324"/>
      <c r="CG9" s="324"/>
    </row>
    <row r="10" spans="1:85" ht="19.5" thickBot="1" x14ac:dyDescent="0.3">
      <c r="A10" s="109" t="s">
        <v>492</v>
      </c>
      <c r="B10" s="738">
        <f>-G25</f>
        <v>0</v>
      </c>
      <c r="C10" s="739"/>
      <c r="K10" s="170"/>
      <c r="O10" s="323"/>
      <c r="P10" s="322"/>
      <c r="Q10" s="170"/>
      <c r="R10" s="322"/>
      <c r="S10" s="333"/>
      <c r="T10" s="334"/>
      <c r="U10" s="335"/>
      <c r="W10" s="322"/>
      <c r="X10" s="322"/>
      <c r="Y10" s="170"/>
      <c r="Z10" s="322"/>
      <c r="AT10" s="170"/>
      <c r="AU10" s="324"/>
      <c r="AW10" s="170"/>
      <c r="AX10" s="324"/>
      <c r="AZ10" s="170"/>
      <c r="BA10" s="324"/>
      <c r="CA10" s="324"/>
      <c r="CD10" s="324"/>
      <c r="CG10" s="324"/>
    </row>
    <row r="11" spans="1:85" s="331" customFormat="1" ht="27" thickBot="1" x14ac:dyDescent="0.3">
      <c r="A11" s="110" t="s">
        <v>1126</v>
      </c>
      <c r="B11" s="740">
        <f>SUM(C7+B10+C8+B9)</f>
        <v>0</v>
      </c>
      <c r="C11" s="741"/>
      <c r="F11" s="729" t="s">
        <v>487</v>
      </c>
      <c r="G11" s="730"/>
      <c r="I11" s="714" t="s">
        <v>488</v>
      </c>
      <c r="J11" s="715"/>
      <c r="K11" s="716"/>
      <c r="L11" s="337"/>
      <c r="M11" s="338"/>
      <c r="O11" s="338"/>
      <c r="P11" s="339"/>
      <c r="Q11" s="340"/>
      <c r="R11" s="341"/>
      <c r="S11" s="340"/>
      <c r="T11" s="338"/>
      <c r="U11" s="338"/>
      <c r="W11" s="338"/>
      <c r="AR11" s="342"/>
      <c r="AU11" s="342"/>
      <c r="AX11" s="342"/>
      <c r="BX11" s="342"/>
      <c r="CA11" s="342"/>
      <c r="CD11" s="342"/>
    </row>
    <row r="12" spans="1:85" ht="21.75" thickBot="1" x14ac:dyDescent="0.3">
      <c r="A12" s="134" t="s">
        <v>108</v>
      </c>
      <c r="B12" s="332">
        <v>7.6999999999999999E-2</v>
      </c>
      <c r="C12" s="104">
        <f>SUM(-B11*B12)</f>
        <v>0</v>
      </c>
      <c r="F12" s="169" t="s">
        <v>104</v>
      </c>
      <c r="G12" s="168">
        <f>SUM('11801'!M2:M51)*12</f>
        <v>0</v>
      </c>
      <c r="I12" s="343" t="s">
        <v>490</v>
      </c>
      <c r="J12" s="717">
        <f>H2-J25</f>
        <v>0</v>
      </c>
      <c r="K12" s="718"/>
      <c r="L12" s="323"/>
      <c r="N12" s="170"/>
      <c r="P12" s="333"/>
      <c r="Q12" s="334"/>
      <c r="R12" s="335"/>
      <c r="T12" s="322"/>
      <c r="U12" s="322"/>
      <c r="V12" s="170"/>
      <c r="W12" s="322"/>
      <c r="X12" s="170"/>
      <c r="Y12" s="170"/>
      <c r="AR12" s="324"/>
      <c r="AT12" s="170"/>
      <c r="AU12" s="324"/>
      <c r="AW12" s="170"/>
      <c r="AX12" s="324"/>
      <c r="AZ12" s="170"/>
      <c r="BX12" s="324"/>
      <c r="CA12" s="324"/>
      <c r="CD12" s="324"/>
    </row>
    <row r="13" spans="1:85" s="331" customFormat="1" ht="21.75" thickBot="1" x14ac:dyDescent="0.3">
      <c r="A13" s="397" t="s">
        <v>494</v>
      </c>
      <c r="B13" s="696">
        <f>B11+C12</f>
        <v>0</v>
      </c>
      <c r="C13" s="757"/>
      <c r="F13" s="395" t="s">
        <v>102</v>
      </c>
      <c r="G13" s="46">
        <f>COUNT('11801'!N2:N51)-G15-G16</f>
        <v>0</v>
      </c>
      <c r="H13" s="170"/>
      <c r="I13" s="344" t="s">
        <v>1123</v>
      </c>
      <c r="J13" s="118" t="s">
        <v>122</v>
      </c>
      <c r="K13" s="119" t="s">
        <v>118</v>
      </c>
      <c r="L13" s="337"/>
      <c r="S13" s="340"/>
      <c r="T13" s="338"/>
      <c r="U13" s="338"/>
      <c r="W13" s="338"/>
      <c r="AR13" s="342"/>
      <c r="AU13" s="342"/>
      <c r="AX13" s="342"/>
      <c r="BX13" s="342"/>
      <c r="CA13" s="342"/>
      <c r="CD13" s="342"/>
    </row>
    <row r="14" spans="1:85" ht="19.5" thickBot="1" x14ac:dyDescent="0.3">
      <c r="F14" s="393" t="s">
        <v>486</v>
      </c>
      <c r="G14" s="47">
        <f>COUNTIF('11801'!P2:P51,"V")-G15</f>
        <v>0</v>
      </c>
      <c r="I14" s="40" t="s">
        <v>170</v>
      </c>
      <c r="J14" s="44">
        <f>SUMIF('11801'!G2:G51,"Lead",'11801'!Y2:Y51)+SUMIF('11801'!G2:G51,"Lead",'11801'!X2:X51)</f>
        <v>0</v>
      </c>
      <c r="K14" s="43" t="e">
        <f t="shared" ref="K14:K21" si="2">J14/BenefMoinsAnnulat</f>
        <v>#DIV/0!</v>
      </c>
      <c r="L14" s="323"/>
      <c r="T14" s="322"/>
      <c r="U14" s="322"/>
      <c r="V14" s="170"/>
      <c r="W14" s="322"/>
      <c r="X14" s="170"/>
      <c r="Y14" s="170"/>
      <c r="AR14" s="324"/>
      <c r="AT14" s="170"/>
      <c r="AU14" s="324"/>
      <c r="AW14" s="170"/>
      <c r="AX14" s="324"/>
      <c r="AZ14" s="170"/>
      <c r="BX14" s="324"/>
      <c r="CA14" s="324"/>
      <c r="CD14" s="324"/>
    </row>
    <row r="15" spans="1:85" ht="21.75" thickBot="1" x14ac:dyDescent="0.3">
      <c r="A15" s="719" t="s">
        <v>1124</v>
      </c>
      <c r="B15" s="720"/>
      <c r="C15" s="721"/>
      <c r="F15" s="394" t="s">
        <v>517</v>
      </c>
      <c r="G15" s="345">
        <v>0</v>
      </c>
      <c r="I15" s="40" t="s">
        <v>172</v>
      </c>
      <c r="J15" s="44">
        <f>SUMIF('11801'!G2:G51,"Couplage",'11801'!Y2:Y51)+SUMIF('11801'!G2:G51,"Couplage",'11801'!X2:X51)</f>
        <v>0</v>
      </c>
      <c r="K15" s="43" t="e">
        <f t="shared" si="2"/>
        <v>#DIV/0!</v>
      </c>
      <c r="L15" s="170"/>
      <c r="S15" s="170"/>
      <c r="T15" s="170"/>
      <c r="U15" s="170"/>
      <c r="V15" s="170"/>
      <c r="W15" s="170"/>
      <c r="X15" s="170"/>
      <c r="Y15" s="170"/>
      <c r="AQ15" s="324"/>
      <c r="AW15" s="170"/>
      <c r="AZ15" s="170"/>
    </row>
    <row r="16" spans="1:85" ht="19.5" thickBot="1" x14ac:dyDescent="0.3">
      <c r="A16" s="99" t="s">
        <v>16</v>
      </c>
      <c r="B16" s="120">
        <f>SUMIFS('11801'!M2:M51,'11801'!J2:J51,"Prev. Pro")*12</f>
        <v>0</v>
      </c>
      <c r="C16" s="69">
        <f>IF(B16&gt;0,B16/G12,0)</f>
        <v>0</v>
      </c>
      <c r="F16" s="56" t="s">
        <v>148</v>
      </c>
      <c r="G16" s="49">
        <f>COUNTIF('11801'!G2:G51,"Annulation")</f>
        <v>0</v>
      </c>
      <c r="I16" s="40" t="s">
        <v>166</v>
      </c>
      <c r="J16" s="44">
        <f>SUMIF('11801'!G2:G51,"Cabinet",'11801'!Y2:Y51)+SUMIF('11801'!G2:G51,"Cabinet",'11801'!X2:X51)</f>
        <v>0</v>
      </c>
      <c r="K16" s="43" t="e">
        <f t="shared" si="2"/>
        <v>#DIV/0!</v>
      </c>
      <c r="L16" s="170"/>
      <c r="S16" s="170"/>
      <c r="T16" s="170"/>
      <c r="U16" s="170"/>
      <c r="V16" s="170"/>
      <c r="W16" s="170"/>
      <c r="X16" s="170"/>
      <c r="Y16" s="170"/>
      <c r="AQ16" s="324"/>
      <c r="AW16" s="170"/>
      <c r="AZ16" s="170"/>
    </row>
    <row r="17" spans="1:52" ht="21.75" thickBot="1" x14ac:dyDescent="0.3">
      <c r="A17" s="121" t="s">
        <v>105</v>
      </c>
      <c r="B17" s="126">
        <f>COUNTIF('11801'!J2:J51,"Prev. Pro")</f>
        <v>0</v>
      </c>
      <c r="C17" s="70">
        <f>IF(B17&gt;0,B17/(nbcontratsall+contratsdoublons+contratsreprise),0)</f>
        <v>0</v>
      </c>
      <c r="F17" s="138" t="s">
        <v>178</v>
      </c>
      <c r="G17" s="45">
        <f>IF(G14&gt;0,G12/G14/12,0)</f>
        <v>0</v>
      </c>
      <c r="H17" s="331"/>
      <c r="I17" s="40" t="s">
        <v>167</v>
      </c>
      <c r="J17" s="44">
        <f>SUMIF('11801'!G2:G51,"Parrainage",'11801'!Y2:Y51)+SUMIF('11801'!G2:G51,"Parrainage",'11801'!X2:X51)</f>
        <v>0</v>
      </c>
      <c r="K17" s="43" t="e">
        <f t="shared" si="2"/>
        <v>#DIV/0!</v>
      </c>
      <c r="L17" s="170"/>
      <c r="S17" s="170"/>
      <c r="T17" s="170"/>
      <c r="U17" s="170"/>
      <c r="V17" s="170"/>
      <c r="W17" s="170"/>
      <c r="X17" s="170"/>
      <c r="Y17" s="170"/>
      <c r="AQ17" s="324"/>
      <c r="AW17" s="170"/>
      <c r="AZ17" s="170"/>
    </row>
    <row r="18" spans="1:52" ht="18.75" x14ac:dyDescent="0.25">
      <c r="A18" s="100" t="s">
        <v>101</v>
      </c>
      <c r="B18" s="122">
        <f>SUMIFS('11801'!M2:M51,'11801'!J2:J51,"Santé Individuelle")*12</f>
        <v>0</v>
      </c>
      <c r="C18" s="69">
        <f>IF(B18&gt;0,B18/G12,0)</f>
        <v>0</v>
      </c>
      <c r="F18" s="139" t="s">
        <v>27</v>
      </c>
      <c r="G18" s="50">
        <f>IF(B6&gt;0,SUM(-C6/B6),0)</f>
        <v>0</v>
      </c>
      <c r="I18" s="40" t="s">
        <v>171</v>
      </c>
      <c r="J18" s="44">
        <f>SUMIF('11801'!G2:G51,"Old",'11801'!Y2:Y51)+SUMIF('11801'!G2:G51,"Old",'11801'!X2:X51)</f>
        <v>0</v>
      </c>
      <c r="K18" s="43" t="e">
        <f t="shared" si="2"/>
        <v>#DIV/0!</v>
      </c>
      <c r="L18" s="170"/>
      <c r="S18" s="170"/>
      <c r="T18" s="170"/>
      <c r="U18" s="170"/>
      <c r="V18" s="170"/>
      <c r="W18" s="170"/>
      <c r="X18" s="170"/>
      <c r="Y18" s="170"/>
      <c r="AQ18" s="324"/>
      <c r="AW18" s="170"/>
      <c r="AZ18" s="170"/>
    </row>
    <row r="19" spans="1:52" ht="21.75" thickBot="1" x14ac:dyDescent="0.3">
      <c r="A19" s="123" t="s">
        <v>103</v>
      </c>
      <c r="B19" s="127">
        <f>COUNTIF('11801'!J2:J51,"Santé Individuelle")</f>
        <v>0</v>
      </c>
      <c r="C19" s="70">
        <f>IF(B19&gt;0,B19/(nbcontratsall+contratsdoublons+contratsreprise),0)</f>
        <v>0</v>
      </c>
      <c r="F19" s="140" t="s">
        <v>497</v>
      </c>
      <c r="G19" s="51">
        <f>IF(G14&gt;0,IF(G18&gt;0,G14/G18,0),0)</f>
        <v>0</v>
      </c>
      <c r="H19" s="331"/>
      <c r="I19" s="40" t="s">
        <v>169</v>
      </c>
      <c r="J19" s="44">
        <f>SUMIF('11801'!G2:G51,"Re-signature",'11801'!Y2:Y51)+SUMIF('11801'!G2:G51,"Re-signature",'11801'!X2:X51)</f>
        <v>0</v>
      </c>
      <c r="K19" s="43" t="e">
        <f t="shared" si="2"/>
        <v>#DIV/0!</v>
      </c>
      <c r="L19" s="170"/>
      <c r="S19" s="170"/>
      <c r="T19" s="170"/>
      <c r="U19" s="170"/>
      <c r="V19" s="170"/>
      <c r="W19" s="170"/>
      <c r="X19" s="170"/>
      <c r="Y19" s="170"/>
      <c r="AQ19" s="324"/>
      <c r="AW19" s="170"/>
      <c r="AZ19" s="170"/>
    </row>
    <row r="20" spans="1:52" ht="19.5" thickBot="1" x14ac:dyDescent="0.3">
      <c r="A20" s="101" t="s">
        <v>85</v>
      </c>
      <c r="B20" s="124">
        <f>SUMIFS('11801'!M2:M51,'11801'!J2:J51,"Prev. Part")*12</f>
        <v>0</v>
      </c>
      <c r="C20" s="69">
        <f>IF(B20&gt;0,B20/G12,0)</f>
        <v>0</v>
      </c>
      <c r="F20" s="141" t="s">
        <v>110</v>
      </c>
      <c r="G20" s="52">
        <f>IF(H2&gt;0,IF(G18&gt;0,H2/G18,0),0)</f>
        <v>0</v>
      </c>
      <c r="I20" s="40" t="s">
        <v>173</v>
      </c>
      <c r="J20" s="44">
        <f>SUMIF('11801'!G2:G51,"Frigo",'11801'!Y2:Y51)+SUMIF('11801'!G2:G51,"Frigo",'11801'!X2:X51)</f>
        <v>0</v>
      </c>
      <c r="K20" s="43" t="e">
        <f t="shared" si="2"/>
        <v>#DIV/0!</v>
      </c>
      <c r="L20" s="170"/>
      <c r="S20" s="170"/>
      <c r="T20" s="170"/>
      <c r="U20" s="170"/>
      <c r="V20" s="170"/>
      <c r="W20" s="170"/>
      <c r="X20" s="170"/>
      <c r="Y20" s="170"/>
      <c r="AQ20" s="324"/>
      <c r="AW20" s="170"/>
      <c r="AZ20" s="170"/>
    </row>
    <row r="21" spans="1:52" ht="19.5" thickBot="1" x14ac:dyDescent="0.3">
      <c r="A21" s="394" t="s">
        <v>509</v>
      </c>
      <c r="B21" s="128">
        <f>COUNTIF('11801'!J2:J51,"Prev. Part")</f>
        <v>0</v>
      </c>
      <c r="C21" s="70">
        <f>IF(B21&gt;0,B21/(nbcontratsall+contratsdoublons+contratsreprise),0)</f>
        <v>0</v>
      </c>
      <c r="F21" s="142" t="s">
        <v>111</v>
      </c>
      <c r="G21" s="53">
        <f>IF(C6&lt;0,TotalPrimes/(-C6),0)</f>
        <v>0</v>
      </c>
      <c r="I21" s="40" t="s">
        <v>168</v>
      </c>
      <c r="J21" s="44">
        <f>SUMIF('11801'!G2:G51,"Shark",'11801'!Y2:Y51)+SUMIF('11801'!G2:G51,"Shark",'11801'!X2:X51)</f>
        <v>0</v>
      </c>
      <c r="K21" s="43" t="e">
        <f t="shared" si="2"/>
        <v>#DIV/0!</v>
      </c>
      <c r="L21" s="170"/>
      <c r="S21" s="170"/>
      <c r="T21" s="170"/>
      <c r="U21" s="170"/>
      <c r="V21" s="170"/>
      <c r="W21" s="170"/>
      <c r="X21" s="170"/>
      <c r="Y21" s="170"/>
      <c r="AZ21" s="170"/>
    </row>
    <row r="22" spans="1:52" ht="19.5" thickBot="1" x14ac:dyDescent="0.3">
      <c r="F22" s="143" t="s">
        <v>142</v>
      </c>
      <c r="G22" s="346">
        <v>0</v>
      </c>
      <c r="I22" s="40" t="s">
        <v>260</v>
      </c>
      <c r="J22" s="44">
        <f>SUMIF('11801'!G2:G51,"Pré 2018 OK",'11801'!Y2:Y51)+SUMIF('11801'!G2:G51,"Pré 2018 OK",'11801'!X2:X51)</f>
        <v>0</v>
      </c>
      <c r="K22" s="43" t="e">
        <f>J22/BenefMoinsAnnulat</f>
        <v>#DIV/0!</v>
      </c>
      <c r="S22" s="170"/>
      <c r="T22" s="170"/>
      <c r="U22" s="170"/>
      <c r="V22" s="170"/>
      <c r="W22" s="170"/>
      <c r="X22" s="170"/>
      <c r="Y22" s="170"/>
      <c r="AZ22" s="170"/>
    </row>
    <row r="23" spans="1:52" s="331" customFormat="1" ht="21.75" thickBot="1" x14ac:dyDescent="0.3">
      <c r="A23" s="749" t="s">
        <v>14</v>
      </c>
      <c r="B23" s="750"/>
      <c r="C23" s="751">
        <f>SUM(C25:C30)</f>
        <v>0</v>
      </c>
      <c r="D23" s="752"/>
      <c r="F23" s="144" t="s">
        <v>1122</v>
      </c>
      <c r="G23" s="55">
        <f>IF(G22&gt;0,IF(G18&gt;0,G22/G18,0),0)</f>
        <v>0</v>
      </c>
      <c r="H23" s="170"/>
      <c r="I23" s="40" t="s">
        <v>262</v>
      </c>
      <c r="J23" s="44">
        <f>SUMIF('11801'!G2:G51,"Pré 2018 à Voir",'11801'!Y2:Y51)+SUMIF('11801'!G2:G51,"Pré 2018 à Voir",'11801'!X2:X51)</f>
        <v>0</v>
      </c>
      <c r="K23" s="43" t="e">
        <f>J23/BenefMoinsAnnulat</f>
        <v>#DIV/0!</v>
      </c>
      <c r="AS23" s="342"/>
      <c r="AV23" s="342"/>
    </row>
    <row r="24" spans="1:52" ht="19.5" thickBot="1" x14ac:dyDescent="0.3">
      <c r="A24" s="114" t="s">
        <v>112</v>
      </c>
      <c r="B24" s="115" t="s">
        <v>2</v>
      </c>
      <c r="C24" s="115" t="s">
        <v>160</v>
      </c>
      <c r="D24" s="116" t="s">
        <v>485</v>
      </c>
      <c r="I24" s="40" t="s">
        <v>261</v>
      </c>
      <c r="J24" s="44">
        <f>SUMIF('11801'!G2:G51,"Pré 2018 KO",'11801'!Y2:Y51)+SUMIF('11801'!G2:G51,"Pré 2018 KO",'11801'!X2:X51)</f>
        <v>0</v>
      </c>
      <c r="K24" s="43" t="e">
        <f>J24/BenefMoinsAnnulat</f>
        <v>#DIV/0!</v>
      </c>
      <c r="S24" s="170"/>
      <c r="T24" s="170"/>
      <c r="U24" s="170"/>
      <c r="V24" s="170"/>
      <c r="W24" s="170"/>
      <c r="X24" s="170"/>
      <c r="Y24" s="170"/>
      <c r="AQ24" s="324"/>
      <c r="AW24" s="170"/>
      <c r="AZ24" s="170"/>
    </row>
    <row r="25" spans="1:52" ht="21.75" thickBot="1" x14ac:dyDescent="0.3">
      <c r="A25" s="351"/>
      <c r="B25" s="348"/>
      <c r="C25" s="352"/>
      <c r="D25" s="350">
        <v>0</v>
      </c>
      <c r="F25" s="149" t="s">
        <v>493</v>
      </c>
      <c r="G25" s="156">
        <f>SUM(G27:G30)</f>
        <v>0</v>
      </c>
      <c r="I25" s="58" t="s">
        <v>174</v>
      </c>
      <c r="J25" s="71">
        <f>SUMIF('11801'!G1:G51,"Annulation",'11801'!Y1:Y51)+SUMIF('11801'!G1:G51,"Annulation",'11801'!X1:X51)</f>
        <v>0</v>
      </c>
      <c r="K25" s="72" t="e">
        <f>J25/BenefMoinsAnnulat</f>
        <v>#DIV/0!</v>
      </c>
      <c r="L25" s="170"/>
      <c r="S25" s="170"/>
      <c r="T25" s="170"/>
      <c r="U25" s="170"/>
      <c r="V25" s="170"/>
      <c r="W25" s="170"/>
      <c r="X25" s="170"/>
      <c r="Y25" s="170"/>
      <c r="AQ25" s="324"/>
      <c r="AW25" s="170"/>
      <c r="AZ25" s="170"/>
    </row>
    <row r="26" spans="1:52" x14ac:dyDescent="0.25">
      <c r="A26" s="351"/>
      <c r="B26" s="348"/>
      <c r="C26" s="352"/>
      <c r="D26" s="350">
        <v>0</v>
      </c>
      <c r="F26" s="117" t="s">
        <v>500</v>
      </c>
      <c r="G26" s="108" t="s">
        <v>1118</v>
      </c>
      <c r="L26" s="170"/>
      <c r="S26" s="170"/>
      <c r="T26" s="170"/>
      <c r="U26" s="170"/>
      <c r="V26" s="170"/>
      <c r="W26" s="170"/>
      <c r="X26" s="170"/>
      <c r="Y26" s="170"/>
      <c r="AQ26" s="324"/>
      <c r="AW26" s="170"/>
      <c r="AZ26" s="170"/>
    </row>
    <row r="27" spans="1:52" x14ac:dyDescent="0.25">
      <c r="A27" s="351"/>
      <c r="B27" s="348"/>
      <c r="C27" s="353"/>
      <c r="D27" s="350">
        <v>0</v>
      </c>
      <c r="F27" s="354"/>
      <c r="G27" s="355"/>
      <c r="L27" s="170"/>
      <c r="S27" s="170"/>
      <c r="T27" s="170"/>
      <c r="U27" s="170"/>
      <c r="V27" s="170"/>
      <c r="W27" s="170"/>
      <c r="X27" s="170"/>
      <c r="Y27" s="170"/>
      <c r="AQ27" s="324"/>
      <c r="AW27" s="170"/>
      <c r="AZ27" s="170"/>
    </row>
    <row r="28" spans="1:52" x14ac:dyDescent="0.25">
      <c r="A28" s="356"/>
      <c r="B28" s="348"/>
      <c r="C28" s="352"/>
      <c r="D28" s="350">
        <v>0</v>
      </c>
      <c r="F28" s="354"/>
      <c r="G28" s="355"/>
      <c r="L28" s="170"/>
      <c r="M28" s="170"/>
      <c r="N28" s="170"/>
      <c r="O28" s="170"/>
      <c r="S28" s="170"/>
      <c r="T28" s="170"/>
      <c r="U28" s="170"/>
      <c r="V28" s="170"/>
      <c r="W28" s="170"/>
      <c r="X28" s="170"/>
      <c r="Y28" s="170"/>
      <c r="AQ28" s="324"/>
      <c r="AW28" s="170"/>
      <c r="AZ28" s="170"/>
    </row>
    <row r="29" spans="1:52" x14ac:dyDescent="0.25">
      <c r="A29" s="351"/>
      <c r="B29" s="348"/>
      <c r="C29" s="352"/>
      <c r="D29" s="350">
        <v>0</v>
      </c>
      <c r="F29" s="354"/>
      <c r="G29" s="355"/>
      <c r="L29" s="170"/>
      <c r="M29" s="170"/>
      <c r="N29" s="170"/>
      <c r="O29" s="170"/>
      <c r="Q29" s="170"/>
      <c r="R29" s="170"/>
      <c r="S29" s="170"/>
      <c r="T29" s="170"/>
      <c r="U29" s="170"/>
      <c r="V29" s="170"/>
      <c r="W29" s="170"/>
      <c r="X29" s="170"/>
      <c r="Y29" s="170"/>
      <c r="AQ29" s="324"/>
      <c r="AW29" s="170"/>
      <c r="AZ29" s="170"/>
    </row>
    <row r="30" spans="1:52" ht="16.5" thickBot="1" x14ac:dyDescent="0.3">
      <c r="A30" s="357"/>
      <c r="B30" s="358"/>
      <c r="C30" s="359"/>
      <c r="D30" s="360">
        <v>0</v>
      </c>
      <c r="F30" s="357"/>
      <c r="G30" s="361"/>
      <c r="N30" s="170"/>
      <c r="O30" s="170"/>
      <c r="Q30" s="170"/>
      <c r="R30" s="170"/>
      <c r="S30" s="170"/>
      <c r="T30" s="170"/>
      <c r="U30" s="170"/>
      <c r="V30" s="170"/>
      <c r="W30" s="170"/>
      <c r="X30" s="170"/>
      <c r="Y30" s="170"/>
      <c r="AQ30" s="324"/>
      <c r="AW30" s="170"/>
      <c r="AZ30" s="170"/>
    </row>
    <row r="31" spans="1:52" ht="16.5" thickBot="1" x14ac:dyDescent="0.3">
      <c r="F31" s="170"/>
      <c r="J31" s="170"/>
      <c r="K31" s="170"/>
      <c r="N31" s="170"/>
      <c r="O31" s="170"/>
      <c r="Q31" s="170"/>
      <c r="R31" s="170"/>
      <c r="S31" s="170"/>
      <c r="T31" s="170"/>
      <c r="U31" s="170"/>
      <c r="V31" s="170"/>
      <c r="W31" s="170"/>
      <c r="X31" s="170"/>
      <c r="Y31" s="170"/>
      <c r="AS31" s="324"/>
      <c r="AT31" s="170"/>
      <c r="AV31" s="324"/>
      <c r="AW31" s="170"/>
      <c r="AZ31" s="170"/>
    </row>
    <row r="32" spans="1:52" ht="21.75" thickBot="1" x14ac:dyDescent="0.3">
      <c r="A32" s="753" t="s">
        <v>137</v>
      </c>
      <c r="B32" s="754"/>
      <c r="C32" s="751">
        <f>SUM(C34:C39)</f>
        <v>0</v>
      </c>
      <c r="D32" s="752"/>
      <c r="E32" s="755" t="s">
        <v>1125</v>
      </c>
      <c r="F32" s="756"/>
      <c r="G32" s="747">
        <f>SUM(G34:G39)</f>
        <v>0</v>
      </c>
      <c r="H32" s="748"/>
      <c r="K32" s="170"/>
      <c r="N32" s="170"/>
      <c r="O32" s="170"/>
      <c r="Q32" s="170"/>
      <c r="R32" s="170"/>
      <c r="S32" s="170"/>
      <c r="T32" s="170"/>
      <c r="U32" s="170"/>
      <c r="V32" s="170"/>
      <c r="X32" s="170"/>
      <c r="Y32" s="170"/>
      <c r="AS32" s="324"/>
      <c r="AT32" s="170"/>
      <c r="AV32" s="324"/>
      <c r="AW32" s="170"/>
      <c r="AZ32" s="170"/>
    </row>
    <row r="33" spans="1:52" x14ac:dyDescent="0.25">
      <c r="A33" s="150" t="s">
        <v>112</v>
      </c>
      <c r="B33" s="151" t="s">
        <v>2</v>
      </c>
      <c r="C33" s="151" t="s">
        <v>160</v>
      </c>
      <c r="D33" s="152" t="s">
        <v>485</v>
      </c>
      <c r="E33" s="153" t="s">
        <v>112</v>
      </c>
      <c r="F33" s="154" t="s">
        <v>2</v>
      </c>
      <c r="G33" s="154" t="s">
        <v>160</v>
      </c>
      <c r="H33" s="155" t="s">
        <v>485</v>
      </c>
      <c r="K33" s="170"/>
      <c r="N33" s="170"/>
      <c r="O33" s="170"/>
      <c r="Q33" s="170"/>
      <c r="R33" s="170"/>
      <c r="S33" s="170"/>
      <c r="T33" s="170"/>
      <c r="U33" s="170"/>
      <c r="V33" s="170"/>
      <c r="W33" s="170"/>
      <c r="X33" s="170"/>
      <c r="Y33" s="170"/>
      <c r="AR33" s="324"/>
      <c r="AT33" s="170"/>
      <c r="AU33" s="324"/>
      <c r="AW33" s="170"/>
      <c r="AZ33" s="170"/>
    </row>
    <row r="34" spans="1:52" x14ac:dyDescent="0.25">
      <c r="A34" s="354"/>
      <c r="B34" s="362" t="s">
        <v>43</v>
      </c>
      <c r="C34" s="352"/>
      <c r="D34" s="363">
        <v>12</v>
      </c>
      <c r="E34" s="354"/>
      <c r="F34" s="364" t="s">
        <v>43</v>
      </c>
      <c r="G34" s="352"/>
      <c r="H34" s="350">
        <v>11</v>
      </c>
      <c r="K34" s="170"/>
      <c r="N34" s="170"/>
      <c r="O34" s="170"/>
      <c r="Q34" s="170"/>
      <c r="R34" s="170"/>
      <c r="S34" s="170"/>
      <c r="T34" s="170"/>
      <c r="U34" s="170"/>
      <c r="V34" s="170"/>
      <c r="W34" s="170"/>
      <c r="X34" s="170"/>
      <c r="Y34" s="170"/>
      <c r="AR34" s="324"/>
      <c r="AT34" s="170"/>
      <c r="AU34" s="324"/>
      <c r="AW34" s="170"/>
      <c r="AZ34" s="170"/>
    </row>
    <row r="35" spans="1:52" x14ac:dyDescent="0.25">
      <c r="A35" s="354"/>
      <c r="B35" s="362" t="s">
        <v>43</v>
      </c>
      <c r="C35" s="352"/>
      <c r="D35" s="363">
        <v>12</v>
      </c>
      <c r="E35" s="354"/>
      <c r="F35" s="364" t="s">
        <v>43</v>
      </c>
      <c r="G35" s="352"/>
      <c r="H35" s="350">
        <v>11</v>
      </c>
      <c r="K35" s="170"/>
      <c r="N35" s="170"/>
      <c r="O35" s="170"/>
      <c r="Q35" s="170"/>
      <c r="R35" s="170"/>
      <c r="S35" s="170"/>
      <c r="T35" s="170"/>
      <c r="U35" s="170"/>
      <c r="V35" s="170"/>
      <c r="W35" s="170"/>
      <c r="X35" s="170"/>
      <c r="Y35" s="170"/>
      <c r="AR35" s="324"/>
      <c r="AT35" s="170"/>
      <c r="AU35" s="324"/>
      <c r="AW35" s="170"/>
      <c r="AZ35" s="170"/>
    </row>
    <row r="36" spans="1:52" x14ac:dyDescent="0.25">
      <c r="A36" s="354"/>
      <c r="B36" s="362" t="s">
        <v>43</v>
      </c>
      <c r="C36" s="352"/>
      <c r="D36" s="363">
        <v>12</v>
      </c>
      <c r="E36" s="354"/>
      <c r="F36" s="364" t="s">
        <v>43</v>
      </c>
      <c r="G36" s="352"/>
      <c r="H36" s="350">
        <v>11</v>
      </c>
      <c r="K36" s="170"/>
      <c r="L36" s="170"/>
      <c r="M36" s="170"/>
      <c r="N36" s="170"/>
      <c r="O36" s="170"/>
      <c r="Q36" s="170"/>
      <c r="R36" s="170"/>
      <c r="S36" s="170"/>
      <c r="T36" s="170"/>
      <c r="U36" s="170"/>
      <c r="V36" s="170"/>
      <c r="W36" s="170"/>
      <c r="X36" s="170"/>
      <c r="Y36" s="170"/>
      <c r="AR36" s="324"/>
      <c r="AT36" s="170"/>
      <c r="AU36" s="324"/>
      <c r="AW36" s="170"/>
      <c r="AZ36" s="170"/>
    </row>
    <row r="37" spans="1:52" x14ac:dyDescent="0.25">
      <c r="A37" s="354"/>
      <c r="B37" s="362" t="s">
        <v>43</v>
      </c>
      <c r="C37" s="352"/>
      <c r="D37" s="363">
        <v>12</v>
      </c>
      <c r="E37" s="354"/>
      <c r="F37" s="364" t="s">
        <v>43</v>
      </c>
      <c r="G37" s="352"/>
      <c r="H37" s="350">
        <v>11</v>
      </c>
      <c r="K37" s="170"/>
      <c r="L37" s="170"/>
      <c r="M37" s="170"/>
      <c r="N37" s="170"/>
      <c r="O37" s="170"/>
      <c r="Q37" s="170"/>
      <c r="R37" s="170"/>
      <c r="S37" s="170"/>
      <c r="T37" s="170"/>
      <c r="U37" s="170"/>
      <c r="V37" s="170"/>
      <c r="W37" s="170"/>
      <c r="X37" s="170"/>
      <c r="Y37" s="170"/>
      <c r="AR37" s="324"/>
      <c r="AT37" s="170"/>
      <c r="AU37" s="324"/>
      <c r="AW37" s="170"/>
      <c r="AZ37" s="170"/>
    </row>
    <row r="38" spans="1:52" x14ac:dyDescent="0.25">
      <c r="A38" s="354"/>
      <c r="B38" s="362" t="s">
        <v>43</v>
      </c>
      <c r="C38" s="352"/>
      <c r="D38" s="363">
        <v>12</v>
      </c>
      <c r="E38" s="354"/>
      <c r="F38" s="364" t="s">
        <v>43</v>
      </c>
      <c r="G38" s="352"/>
      <c r="H38" s="350">
        <v>11</v>
      </c>
      <c r="K38" s="170"/>
      <c r="L38" s="170"/>
      <c r="M38" s="170"/>
      <c r="N38" s="170"/>
      <c r="O38" s="170"/>
      <c r="Q38" s="170"/>
      <c r="R38" s="170"/>
      <c r="S38" s="170"/>
      <c r="T38" s="170"/>
      <c r="U38" s="170"/>
      <c r="V38" s="170"/>
      <c r="W38" s="170"/>
      <c r="X38" s="170"/>
      <c r="Y38" s="170"/>
      <c r="AR38" s="324"/>
      <c r="AT38" s="170"/>
      <c r="AU38" s="324"/>
      <c r="AW38" s="170"/>
      <c r="AZ38" s="170"/>
    </row>
    <row r="39" spans="1:52" ht="16.5" thickBot="1" x14ac:dyDescent="0.3">
      <c r="A39" s="357"/>
      <c r="B39" s="365" t="s">
        <v>43</v>
      </c>
      <c r="C39" s="359"/>
      <c r="D39" s="366">
        <v>12</v>
      </c>
      <c r="E39" s="357"/>
      <c r="F39" s="367" t="s">
        <v>43</v>
      </c>
      <c r="G39" s="359"/>
      <c r="H39" s="360">
        <v>11</v>
      </c>
      <c r="K39" s="170"/>
      <c r="L39" s="170"/>
      <c r="M39" s="170"/>
      <c r="N39" s="170"/>
      <c r="O39" s="170"/>
      <c r="Q39" s="170"/>
      <c r="R39" s="170"/>
      <c r="S39" s="170"/>
      <c r="T39" s="170"/>
      <c r="U39" s="170"/>
      <c r="W39" s="170"/>
      <c r="X39" s="170"/>
      <c r="Y39" s="170"/>
      <c r="AR39" s="324"/>
      <c r="AT39" s="170"/>
      <c r="AU39" s="324"/>
      <c r="AW39" s="170"/>
      <c r="AZ39" s="170"/>
    </row>
    <row r="40" spans="1:52" x14ac:dyDescent="0.25">
      <c r="K40" s="170"/>
      <c r="L40" s="170"/>
      <c r="M40" s="170"/>
      <c r="N40" s="170"/>
      <c r="O40" s="170"/>
      <c r="Q40" s="170"/>
      <c r="R40" s="170"/>
      <c r="S40" s="170"/>
      <c r="T40" s="170"/>
      <c r="U40" s="170"/>
      <c r="V40" s="170"/>
      <c r="W40" s="170"/>
      <c r="Y40" s="170"/>
      <c r="AZ40" s="170"/>
    </row>
    <row r="41" spans="1:52" x14ac:dyDescent="0.25">
      <c r="K41" s="170"/>
      <c r="L41" s="170"/>
      <c r="M41" s="170"/>
      <c r="N41" s="170"/>
      <c r="O41" s="170"/>
      <c r="Q41" s="170"/>
      <c r="R41" s="170"/>
      <c r="S41" s="170"/>
      <c r="T41" s="170"/>
      <c r="U41" s="170"/>
      <c r="V41" s="170"/>
      <c r="W41" s="170"/>
      <c r="Y41" s="170"/>
      <c r="AZ41" s="170"/>
    </row>
    <row r="42" spans="1:52" x14ac:dyDescent="0.25">
      <c r="K42" s="170"/>
      <c r="L42" s="170"/>
      <c r="M42" s="170"/>
      <c r="N42" s="170"/>
      <c r="O42" s="170"/>
      <c r="Q42" s="170"/>
      <c r="R42" s="170"/>
      <c r="S42" s="170"/>
      <c r="T42" s="170"/>
      <c r="U42" s="170"/>
      <c r="V42" s="170"/>
      <c r="W42" s="170"/>
      <c r="Y42" s="170"/>
      <c r="AZ42" s="170"/>
    </row>
    <row r="43" spans="1:52" x14ac:dyDescent="0.25">
      <c r="K43" s="170"/>
      <c r="L43" s="170"/>
      <c r="M43" s="170"/>
      <c r="N43" s="170"/>
      <c r="O43" s="170"/>
      <c r="Q43" s="170"/>
      <c r="R43" s="170"/>
      <c r="S43" s="170"/>
      <c r="T43" s="170"/>
      <c r="U43" s="170"/>
      <c r="V43" s="170"/>
      <c r="W43" s="170"/>
      <c r="Y43" s="170"/>
      <c r="AZ43" s="170"/>
    </row>
    <row r="44" spans="1:52" x14ac:dyDescent="0.25">
      <c r="K44" s="170"/>
      <c r="L44" s="170"/>
      <c r="M44" s="170"/>
      <c r="N44" s="170"/>
      <c r="O44" s="170"/>
      <c r="Q44" s="170"/>
      <c r="R44" s="170"/>
      <c r="S44" s="170"/>
      <c r="T44" s="170"/>
      <c r="U44" s="170"/>
      <c r="V44" s="170"/>
      <c r="W44" s="170"/>
      <c r="Y44" s="170"/>
      <c r="AZ44" s="170"/>
    </row>
    <row r="45" spans="1:52" x14ac:dyDescent="0.25">
      <c r="K45" s="170"/>
      <c r="L45" s="170"/>
      <c r="M45" s="170"/>
      <c r="N45" s="170"/>
      <c r="O45" s="170"/>
      <c r="Q45" s="170"/>
      <c r="R45" s="170"/>
      <c r="S45" s="170"/>
      <c r="T45" s="170"/>
      <c r="U45" s="170"/>
      <c r="V45" s="170"/>
      <c r="W45" s="170"/>
      <c r="Y45" s="170"/>
      <c r="AZ45" s="170"/>
    </row>
    <row r="46" spans="1:52" x14ac:dyDescent="0.25">
      <c r="K46" s="170"/>
      <c r="L46" s="170"/>
      <c r="M46" s="170"/>
      <c r="N46" s="170"/>
      <c r="O46" s="170"/>
      <c r="Q46" s="170"/>
      <c r="R46" s="170"/>
      <c r="S46" s="170"/>
      <c r="T46" s="170"/>
      <c r="U46" s="170"/>
      <c r="V46" s="170"/>
      <c r="W46" s="170"/>
      <c r="Y46" s="170"/>
      <c r="AZ46" s="170"/>
    </row>
    <row r="47" spans="1:52" x14ac:dyDescent="0.25">
      <c r="K47" s="170"/>
      <c r="N47" s="170"/>
      <c r="O47" s="170"/>
      <c r="Q47" s="170"/>
      <c r="R47" s="170"/>
      <c r="S47" s="170"/>
      <c r="T47" s="170"/>
      <c r="U47" s="170"/>
      <c r="V47" s="170"/>
      <c r="W47" s="170"/>
      <c r="Y47" s="170"/>
      <c r="AZ47" s="170"/>
    </row>
    <row r="48" spans="1:52" x14ac:dyDescent="0.25">
      <c r="J48" s="170"/>
      <c r="K48" s="170"/>
      <c r="L48" s="170"/>
      <c r="M48" s="170"/>
      <c r="N48" s="170"/>
      <c r="O48" s="170"/>
      <c r="Q48" s="170"/>
      <c r="R48" s="170"/>
      <c r="S48" s="170"/>
      <c r="T48" s="170"/>
      <c r="U48" s="170"/>
      <c r="V48" s="170"/>
      <c r="W48" s="170"/>
      <c r="Y48" s="170"/>
      <c r="AZ48" s="170"/>
    </row>
    <row r="49" spans="6:52" x14ac:dyDescent="0.25">
      <c r="J49" s="170"/>
      <c r="L49" s="170"/>
      <c r="M49" s="170"/>
    </row>
    <row r="50" spans="6:52" x14ac:dyDescent="0.25">
      <c r="J50" s="170"/>
      <c r="K50" s="170"/>
      <c r="L50" s="170"/>
      <c r="M50" s="170"/>
      <c r="N50" s="170"/>
      <c r="O50" s="170"/>
      <c r="Q50" s="170"/>
      <c r="R50" s="170"/>
      <c r="S50" s="170"/>
      <c r="T50" s="170"/>
      <c r="U50" s="170"/>
      <c r="V50" s="170"/>
      <c r="W50" s="170"/>
      <c r="Y50" s="170"/>
      <c r="AZ50" s="170"/>
    </row>
    <row r="51" spans="6:52" x14ac:dyDescent="0.25">
      <c r="F51" s="170"/>
      <c r="J51" s="170"/>
      <c r="K51" s="170"/>
      <c r="L51" s="170"/>
      <c r="M51" s="170"/>
      <c r="N51" s="170"/>
      <c r="O51" s="170"/>
      <c r="Q51" s="170"/>
      <c r="R51" s="170"/>
      <c r="S51" s="170"/>
      <c r="T51" s="170"/>
      <c r="U51" s="170"/>
      <c r="V51" s="170"/>
      <c r="W51" s="170"/>
      <c r="Y51" s="170"/>
      <c r="AZ51" s="170"/>
    </row>
    <row r="52" spans="6:52" x14ac:dyDescent="0.25">
      <c r="F52" s="170"/>
      <c r="J52" s="170"/>
      <c r="K52" s="170"/>
      <c r="L52" s="170"/>
      <c r="M52" s="170"/>
      <c r="N52" s="170"/>
      <c r="O52" s="170"/>
      <c r="Q52" s="170"/>
      <c r="R52" s="170"/>
      <c r="S52" s="170"/>
      <c r="T52" s="170"/>
      <c r="U52" s="170"/>
      <c r="V52" s="170"/>
      <c r="W52" s="170"/>
      <c r="Y52" s="170"/>
      <c r="AZ52" s="170"/>
    </row>
    <row r="53" spans="6:52" x14ac:dyDescent="0.25">
      <c r="F53" s="170"/>
      <c r="J53" s="170"/>
      <c r="K53" s="170"/>
      <c r="L53" s="170"/>
      <c r="M53" s="170"/>
      <c r="N53" s="170"/>
      <c r="O53" s="170"/>
      <c r="Q53" s="170"/>
      <c r="R53" s="170"/>
      <c r="S53" s="170"/>
      <c r="T53" s="170"/>
      <c r="U53" s="170"/>
      <c r="V53" s="170"/>
      <c r="W53" s="170"/>
      <c r="Y53" s="170"/>
      <c r="AZ53" s="170"/>
    </row>
    <row r="54" spans="6:52" x14ac:dyDescent="0.25">
      <c r="F54" s="170"/>
      <c r="J54" s="170"/>
      <c r="K54" s="170"/>
      <c r="L54" s="170"/>
      <c r="M54" s="170"/>
      <c r="N54" s="170"/>
      <c r="O54" s="170"/>
      <c r="Q54" s="170"/>
      <c r="R54" s="170"/>
      <c r="S54" s="170"/>
      <c r="T54" s="170"/>
      <c r="U54" s="170"/>
      <c r="V54" s="170"/>
      <c r="W54" s="170"/>
      <c r="Y54" s="170"/>
      <c r="AZ54" s="170"/>
    </row>
    <row r="55" spans="6:52" x14ac:dyDescent="0.25">
      <c r="F55" s="170"/>
      <c r="J55" s="170"/>
      <c r="K55" s="170"/>
      <c r="L55" s="170"/>
      <c r="M55" s="170"/>
      <c r="N55" s="170"/>
      <c r="O55" s="170"/>
      <c r="Q55" s="170"/>
      <c r="R55" s="170"/>
      <c r="S55" s="170"/>
      <c r="T55" s="170"/>
      <c r="U55" s="170"/>
      <c r="V55" s="170"/>
      <c r="W55" s="170"/>
      <c r="Y55" s="170"/>
      <c r="AZ55" s="170"/>
    </row>
    <row r="56" spans="6:52" x14ac:dyDescent="0.25">
      <c r="F56" s="170"/>
      <c r="J56" s="170"/>
      <c r="K56" s="170"/>
      <c r="L56" s="170"/>
      <c r="M56" s="170"/>
      <c r="N56" s="170"/>
      <c r="O56" s="170"/>
      <c r="Q56" s="170"/>
      <c r="R56" s="170"/>
      <c r="S56" s="170"/>
      <c r="T56" s="170"/>
      <c r="U56" s="170"/>
      <c r="V56" s="170"/>
      <c r="W56" s="170"/>
      <c r="Y56" s="170"/>
      <c r="AZ56" s="170"/>
    </row>
    <row r="57" spans="6:52" x14ac:dyDescent="0.25">
      <c r="F57" s="170"/>
      <c r="J57" s="170"/>
      <c r="K57" s="170"/>
      <c r="L57" s="170"/>
      <c r="M57" s="170"/>
      <c r="N57" s="170"/>
      <c r="O57" s="170"/>
      <c r="Q57" s="170"/>
      <c r="R57" s="170"/>
      <c r="S57" s="170"/>
      <c r="T57" s="170"/>
      <c r="U57" s="170"/>
      <c r="V57" s="170"/>
      <c r="W57" s="170"/>
      <c r="Y57" s="170"/>
      <c r="AZ57" s="170"/>
    </row>
    <row r="58" spans="6:52" x14ac:dyDescent="0.25">
      <c r="F58" s="170"/>
      <c r="J58" s="170"/>
      <c r="K58" s="170"/>
      <c r="L58" s="170"/>
      <c r="M58" s="170"/>
      <c r="N58" s="170"/>
      <c r="O58" s="170"/>
      <c r="Q58" s="170"/>
      <c r="R58" s="170"/>
      <c r="S58" s="170"/>
      <c r="T58" s="170"/>
      <c r="U58" s="170"/>
      <c r="V58" s="170"/>
      <c r="W58" s="170"/>
      <c r="Y58" s="170"/>
      <c r="AZ58" s="170"/>
    </row>
    <row r="59" spans="6:52" x14ac:dyDescent="0.25">
      <c r="F59" s="170"/>
      <c r="J59" s="170"/>
      <c r="K59" s="170"/>
      <c r="L59" s="170"/>
      <c r="M59" s="170"/>
      <c r="N59" s="170"/>
      <c r="O59" s="170"/>
      <c r="Q59" s="170"/>
      <c r="R59" s="170"/>
      <c r="S59" s="170"/>
      <c r="T59" s="170"/>
      <c r="U59" s="170"/>
      <c r="V59" s="170"/>
      <c r="W59" s="170"/>
      <c r="Y59" s="170"/>
      <c r="AZ59" s="170"/>
    </row>
    <row r="60" spans="6:52" x14ac:dyDescent="0.25">
      <c r="F60" s="170"/>
      <c r="J60" s="170"/>
      <c r="K60" s="170"/>
      <c r="L60" s="170"/>
      <c r="M60" s="170"/>
      <c r="N60" s="170"/>
      <c r="O60" s="170"/>
      <c r="Q60" s="170"/>
      <c r="R60" s="170"/>
      <c r="S60" s="170"/>
      <c r="T60" s="170"/>
      <c r="U60" s="170"/>
      <c r="V60" s="170"/>
      <c r="W60" s="170"/>
      <c r="Y60" s="170"/>
      <c r="AZ60" s="170"/>
    </row>
    <row r="61" spans="6:52" x14ac:dyDescent="0.25">
      <c r="F61" s="170"/>
      <c r="J61" s="170"/>
      <c r="K61" s="170"/>
      <c r="L61" s="170"/>
      <c r="M61" s="170"/>
      <c r="N61" s="170"/>
      <c r="O61" s="170"/>
      <c r="Q61" s="170"/>
      <c r="R61" s="170"/>
      <c r="S61" s="170"/>
      <c r="T61" s="170"/>
      <c r="U61" s="170"/>
      <c r="V61" s="170"/>
      <c r="W61" s="170"/>
      <c r="Y61" s="170"/>
      <c r="AZ61" s="170"/>
    </row>
    <row r="62" spans="6:52" x14ac:dyDescent="0.25">
      <c r="F62" s="170"/>
      <c r="J62" s="170"/>
      <c r="K62" s="170"/>
      <c r="L62" s="170"/>
      <c r="M62" s="170"/>
      <c r="N62" s="170"/>
      <c r="O62" s="170"/>
      <c r="Q62" s="170"/>
      <c r="R62" s="170"/>
      <c r="S62" s="170"/>
      <c r="T62" s="170"/>
      <c r="U62" s="170"/>
      <c r="V62" s="170"/>
      <c r="W62" s="170"/>
      <c r="Y62" s="170"/>
      <c r="AZ62" s="170"/>
    </row>
    <row r="63" spans="6:52" x14ac:dyDescent="0.25">
      <c r="F63" s="170"/>
      <c r="J63" s="170"/>
      <c r="K63" s="170"/>
      <c r="L63" s="170"/>
      <c r="M63" s="170"/>
      <c r="N63" s="170"/>
      <c r="O63" s="170"/>
      <c r="Q63" s="170"/>
      <c r="R63" s="170"/>
      <c r="S63" s="170"/>
      <c r="T63" s="170"/>
      <c r="U63" s="170"/>
      <c r="V63" s="170"/>
      <c r="W63" s="170"/>
      <c r="Y63" s="170"/>
      <c r="AZ63" s="170"/>
    </row>
    <row r="64" spans="6:52" x14ac:dyDescent="0.25">
      <c r="F64" s="170"/>
      <c r="J64" s="170"/>
      <c r="K64" s="170"/>
      <c r="L64" s="170"/>
      <c r="M64" s="170"/>
      <c r="N64" s="170"/>
      <c r="O64" s="170"/>
      <c r="Q64" s="170"/>
      <c r="R64" s="170"/>
      <c r="S64" s="170"/>
      <c r="T64" s="170"/>
      <c r="U64" s="170"/>
      <c r="V64" s="170"/>
      <c r="W64" s="170"/>
      <c r="Y64" s="170"/>
      <c r="AZ64" s="170"/>
    </row>
    <row r="65" spans="6:52" x14ac:dyDescent="0.25">
      <c r="F65" s="170"/>
      <c r="J65" s="170"/>
      <c r="K65" s="170"/>
      <c r="L65" s="170"/>
      <c r="M65" s="170"/>
      <c r="N65" s="170"/>
      <c r="O65" s="170"/>
      <c r="Q65" s="170"/>
      <c r="R65" s="170"/>
      <c r="S65" s="170"/>
      <c r="T65" s="170"/>
      <c r="U65" s="170"/>
      <c r="V65" s="170"/>
      <c r="W65" s="170"/>
      <c r="Y65" s="170"/>
      <c r="AZ65" s="170"/>
    </row>
    <row r="66" spans="6:52" x14ac:dyDescent="0.25">
      <c r="F66" s="170"/>
      <c r="J66" s="170"/>
      <c r="K66" s="170"/>
      <c r="L66" s="170"/>
      <c r="M66" s="170"/>
      <c r="N66" s="170"/>
      <c r="O66" s="170"/>
      <c r="Q66" s="170"/>
      <c r="R66" s="170"/>
      <c r="S66" s="170"/>
      <c r="T66" s="170"/>
      <c r="U66" s="170"/>
      <c r="V66" s="170"/>
      <c r="W66" s="170"/>
      <c r="Y66" s="170"/>
      <c r="AZ66" s="170"/>
    </row>
    <row r="67" spans="6:52" x14ac:dyDescent="0.25">
      <c r="F67" s="170"/>
      <c r="J67" s="170"/>
      <c r="K67" s="170"/>
      <c r="L67" s="170"/>
      <c r="M67" s="170"/>
      <c r="N67" s="170"/>
      <c r="O67" s="170"/>
      <c r="Q67" s="170"/>
      <c r="R67" s="170"/>
      <c r="S67" s="170"/>
      <c r="T67" s="170"/>
      <c r="U67" s="170"/>
      <c r="V67" s="170"/>
      <c r="W67" s="170"/>
      <c r="Y67" s="170"/>
      <c r="AZ67" s="170"/>
    </row>
    <row r="68" spans="6:52" x14ac:dyDescent="0.25">
      <c r="F68" s="170"/>
      <c r="J68" s="170"/>
      <c r="K68" s="170"/>
      <c r="L68" s="170"/>
      <c r="M68" s="170"/>
      <c r="N68" s="170"/>
      <c r="O68" s="170"/>
      <c r="Q68" s="170"/>
      <c r="R68" s="170"/>
      <c r="S68" s="170"/>
      <c r="T68" s="170"/>
      <c r="U68" s="170"/>
      <c r="V68" s="170"/>
      <c r="W68" s="170"/>
      <c r="Y68" s="170"/>
      <c r="AZ68" s="170"/>
    </row>
    <row r="69" spans="6:52" x14ac:dyDescent="0.25">
      <c r="F69" s="170"/>
      <c r="K69" s="170"/>
      <c r="L69" s="170"/>
      <c r="M69" s="170"/>
      <c r="N69" s="170"/>
      <c r="O69" s="170"/>
      <c r="Q69" s="170"/>
      <c r="R69" s="170"/>
      <c r="S69" s="170"/>
      <c r="T69" s="170"/>
      <c r="U69" s="170"/>
      <c r="V69" s="170"/>
      <c r="W69" s="170"/>
      <c r="Y69" s="170"/>
      <c r="AZ69" s="170"/>
    </row>
    <row r="70" spans="6:52" x14ac:dyDescent="0.25">
      <c r="K70" s="170"/>
      <c r="L70" s="170"/>
      <c r="M70" s="170"/>
      <c r="N70" s="170"/>
      <c r="O70" s="170"/>
      <c r="Q70" s="170"/>
      <c r="R70" s="170"/>
      <c r="S70" s="170"/>
      <c r="T70" s="170"/>
      <c r="U70" s="170"/>
      <c r="V70" s="170"/>
      <c r="W70" s="170"/>
      <c r="Y70" s="170"/>
      <c r="AZ70" s="170"/>
    </row>
    <row r="71" spans="6:52" x14ac:dyDescent="0.25">
      <c r="K71" s="170"/>
      <c r="L71" s="170"/>
      <c r="M71" s="170"/>
      <c r="N71" s="170"/>
      <c r="O71" s="170"/>
      <c r="Q71" s="170"/>
      <c r="R71" s="170"/>
      <c r="S71" s="170"/>
      <c r="T71" s="170"/>
      <c r="U71" s="170"/>
      <c r="V71" s="170"/>
      <c r="W71" s="170"/>
      <c r="Y71" s="170"/>
      <c r="AZ71" s="170"/>
    </row>
    <row r="72" spans="6:52" x14ac:dyDescent="0.25">
      <c r="K72" s="170"/>
      <c r="L72" s="170"/>
      <c r="M72" s="170"/>
      <c r="N72" s="170"/>
      <c r="O72" s="170"/>
      <c r="Q72" s="170"/>
      <c r="R72" s="170"/>
      <c r="S72" s="170"/>
      <c r="T72" s="170"/>
      <c r="U72" s="170"/>
      <c r="V72" s="170"/>
      <c r="W72" s="170"/>
      <c r="Y72" s="170"/>
      <c r="AZ72" s="170"/>
    </row>
    <row r="73" spans="6:52" x14ac:dyDescent="0.25">
      <c r="K73" s="170"/>
      <c r="L73" s="170"/>
      <c r="M73" s="170"/>
      <c r="N73" s="170"/>
      <c r="O73" s="170"/>
      <c r="Q73" s="170"/>
      <c r="R73" s="170"/>
      <c r="S73" s="170"/>
      <c r="T73" s="170"/>
      <c r="U73" s="170"/>
      <c r="V73" s="170"/>
      <c r="W73" s="170"/>
      <c r="Y73" s="170"/>
      <c r="AZ73" s="170"/>
    </row>
    <row r="74" spans="6:52" x14ac:dyDescent="0.25">
      <c r="K74" s="170"/>
      <c r="L74" s="170"/>
      <c r="M74" s="170"/>
      <c r="N74" s="170"/>
      <c r="O74" s="170"/>
      <c r="Q74" s="170"/>
      <c r="R74" s="170"/>
      <c r="S74" s="170"/>
      <c r="T74" s="170"/>
      <c r="U74" s="170"/>
      <c r="V74" s="170"/>
      <c r="W74" s="170"/>
      <c r="Y74" s="170"/>
      <c r="AZ74" s="170"/>
    </row>
    <row r="75" spans="6:52" x14ac:dyDescent="0.25">
      <c r="K75" s="170"/>
      <c r="L75" s="170"/>
      <c r="M75" s="170"/>
      <c r="N75" s="170"/>
      <c r="O75" s="170"/>
      <c r="Q75" s="170"/>
      <c r="R75" s="170"/>
      <c r="S75" s="170"/>
      <c r="T75" s="170"/>
      <c r="U75" s="170"/>
      <c r="V75" s="170"/>
      <c r="W75" s="170"/>
      <c r="Y75" s="170"/>
      <c r="AZ75" s="170"/>
    </row>
    <row r="76" spans="6:52" x14ac:dyDescent="0.25">
      <c r="K76" s="170"/>
      <c r="N76" s="170"/>
      <c r="O76" s="170"/>
      <c r="Q76" s="170"/>
      <c r="R76" s="170"/>
      <c r="S76" s="170"/>
      <c r="T76" s="170"/>
      <c r="U76" s="170"/>
      <c r="V76" s="170"/>
      <c r="W76" s="170"/>
      <c r="Y76" s="170"/>
      <c r="AZ76" s="170"/>
    </row>
    <row r="77" spans="6:52" x14ac:dyDescent="0.25">
      <c r="K77" s="170"/>
      <c r="N77" s="170"/>
      <c r="O77" s="170"/>
      <c r="Q77" s="170"/>
      <c r="R77" s="170"/>
      <c r="S77" s="170"/>
      <c r="T77" s="170"/>
      <c r="U77" s="170"/>
      <c r="V77" s="170"/>
      <c r="W77" s="170"/>
      <c r="Y77" s="170"/>
      <c r="AZ77" s="170"/>
    </row>
    <row r="78" spans="6:52" x14ac:dyDescent="0.25">
      <c r="Q78" s="170"/>
      <c r="R78" s="170"/>
      <c r="S78" s="170"/>
      <c r="T78" s="170"/>
      <c r="U78" s="170"/>
      <c r="V78" s="170"/>
      <c r="W78" s="170"/>
      <c r="Y78" s="170"/>
      <c r="AZ78" s="170"/>
    </row>
  </sheetData>
  <mergeCells count="19">
    <mergeCell ref="B10:C10"/>
    <mergeCell ref="B11:C11"/>
    <mergeCell ref="F11:G11"/>
    <mergeCell ref="B1:C1"/>
    <mergeCell ref="C3:C5"/>
    <mergeCell ref="E4:E5"/>
    <mergeCell ref="G8:H8"/>
    <mergeCell ref="B9:C9"/>
    <mergeCell ref="G9:H9"/>
    <mergeCell ref="I11:K11"/>
    <mergeCell ref="J12:K12"/>
    <mergeCell ref="G32:H32"/>
    <mergeCell ref="A15:C15"/>
    <mergeCell ref="A23:B23"/>
    <mergeCell ref="C23:D23"/>
    <mergeCell ref="A32:B32"/>
    <mergeCell ref="C32:D32"/>
    <mergeCell ref="E32:F32"/>
    <mergeCell ref="B13:C13"/>
  </mergeCells>
  <conditionalFormatting sqref="O31 P50:P1048576 P40:P48">
    <cfRule type="containsText" dxfId="29" priority="14" operator="containsText" text="Précompte">
      <formula>NOT(ISERROR(SEARCH("Précompte",O31)))</formula>
    </cfRule>
    <cfRule type="containsText" dxfId="28" priority="15" operator="containsText" text="Linéaire">
      <formula>NOT(ISERROR(SEARCH("Linéaire",O31)))</formula>
    </cfRule>
  </conditionalFormatting>
  <conditionalFormatting sqref="F7:N7 K14:K22">
    <cfRule type="containsErrors" dxfId="27" priority="13">
      <formula>ISERROR(F7)</formula>
    </cfRule>
  </conditionalFormatting>
  <conditionalFormatting sqref="F8 F6:N6 I8:N8 I22:I24 J14:K24">
    <cfRule type="cellIs" dxfId="26" priority="12" operator="equal">
      <formula>0</formula>
    </cfRule>
  </conditionalFormatting>
  <conditionalFormatting sqref="K23">
    <cfRule type="containsErrors" dxfId="25" priority="11">
      <formula>ISERROR(K23)</formula>
    </cfRule>
  </conditionalFormatting>
  <conditionalFormatting sqref="K24">
    <cfRule type="containsErrors" dxfId="24" priority="10">
      <formula>ISERROR(K24)</formula>
    </cfRule>
  </conditionalFormatting>
  <conditionalFormatting sqref="K22:K24">
    <cfRule type="containsText" dxfId="23" priority="8" operator="containsText" text="Précompte">
      <formula>NOT(ISERROR(SEARCH("Précompte",K22)))</formula>
    </cfRule>
    <cfRule type="containsText" dxfId="22" priority="9" operator="containsText" text="Linéaire">
      <formula>NOT(ISERROR(SEARCH("Linéaire",K22)))</formula>
    </cfRule>
  </conditionalFormatting>
  <conditionalFormatting sqref="F9 I9:N9">
    <cfRule type="containsErrors" dxfId="21" priority="7">
      <formula>ISERROR(F9)</formula>
    </cfRule>
  </conditionalFormatting>
  <conditionalFormatting sqref="G9">
    <cfRule type="containsErrors" dxfId="20" priority="6">
      <formula>ISERROR(G9)</formula>
    </cfRule>
  </conditionalFormatting>
  <conditionalFormatting sqref="G8">
    <cfRule type="cellIs" dxfId="19" priority="5" stopIfTrue="1" operator="equal">
      <formula>0</formula>
    </cfRule>
  </conditionalFormatting>
  <conditionalFormatting sqref="J7 J9">
    <cfRule type="expression" dxfId="18" priority="16">
      <formula>$J6=0</formula>
    </cfRule>
  </conditionalFormatting>
  <conditionalFormatting sqref="I7 I9:N9">
    <cfRule type="expression" dxfId="17" priority="17">
      <formula>$I6=0</formula>
    </cfRule>
  </conditionalFormatting>
  <conditionalFormatting sqref="H7">
    <cfRule type="expression" dxfId="16" priority="18">
      <formula>$H6=0</formula>
    </cfRule>
  </conditionalFormatting>
  <conditionalFormatting sqref="G7 G9">
    <cfRule type="expression" dxfId="15" priority="19">
      <formula>$G6=0</formula>
    </cfRule>
  </conditionalFormatting>
  <conditionalFormatting sqref="F7 F9">
    <cfRule type="expression" dxfId="14" priority="20">
      <formula>$F6=0</formula>
    </cfRule>
  </conditionalFormatting>
  <conditionalFormatting sqref="J25">
    <cfRule type="cellIs" dxfId="13" priority="4" operator="equal">
      <formula>0</formula>
    </cfRule>
  </conditionalFormatting>
  <conditionalFormatting sqref="K25">
    <cfRule type="containsErrors" dxfId="12" priority="21">
      <formula>ISERROR(K25)</formula>
    </cfRule>
  </conditionalFormatting>
  <conditionalFormatting sqref="K25">
    <cfRule type="cellIs" dxfId="11" priority="3" operator="equal">
      <formula>0</formula>
    </cfRule>
  </conditionalFormatting>
  <conditionalFormatting sqref="P2">
    <cfRule type="containsText" dxfId="10" priority="1" operator="containsText" text="Précompte">
      <formula>NOT(ISERROR(SEARCH("Précompte",P2)))</formula>
    </cfRule>
    <cfRule type="containsText" dxfId="9" priority="2" operator="containsText" text="Linéaire">
      <formula>NOT(ISERROR(SEARCH("Linéaire",P2)))</formula>
    </cfRule>
  </conditionalFormatting>
  <conditionalFormatting sqref="N7 N9">
    <cfRule type="expression" dxfId="8" priority="22">
      <formula>$N6=0</formula>
    </cfRule>
  </conditionalFormatting>
  <conditionalFormatting sqref="M7 M9">
    <cfRule type="expression" dxfId="7" priority="23">
      <formula>$M6=0</formula>
    </cfRule>
  </conditionalFormatting>
  <conditionalFormatting sqref="L7 L9">
    <cfRule type="expression" dxfId="6" priority="24">
      <formula>$L6=0</formula>
    </cfRule>
  </conditionalFormatting>
  <conditionalFormatting sqref="K7 K9">
    <cfRule type="expression" dxfId="5" priority="25">
      <formula>$K6=0</formula>
    </cfRule>
  </conditionalFormatting>
  <dataValidations count="1">
    <dataValidation type="list" allowBlank="1" showInputMessage="1" showErrorMessage="1" sqref="H34:H39 D34:D39">
      <formula1>$B$41:$O$41</formula1>
    </dataValidation>
  </dataValidations>
  <pageMargins left="0" right="0" top="0" bottom="0" header="0" footer="0"/>
  <pageSetup paperSize="9" orientation="landscape" verticalDpi="360" r:id="rId1"/>
  <ignoredErrors>
    <ignoredError sqref="C18 C20" formula="1"/>
    <ignoredError sqref="K14:K24 F7:N7 F9:N9" evalError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Matrice!$B$15:$CR$15</xm:f>
          </x14:formula1>
          <xm:sqref>A1</xm:sqref>
        </x14:dataValidation>
        <x14:dataValidation type="list" allowBlank="1" showInputMessage="1" showErrorMessage="1">
          <x14:formula1>
            <xm:f>Matrice!$B$2:$Q$2</xm:f>
          </x14:formula1>
          <xm:sqref>B25:B30 F34:F39 B34:B39</xm:sqref>
        </x14:dataValidation>
        <x14:dataValidation type="list" allowBlank="1" showInputMessage="1" showErrorMessage="1">
          <x14:formula1>
            <xm:f>Matrice!$B$41:$O$41</xm:f>
          </x14:formula1>
          <xm:sqref>D25:D30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OQ52"/>
  <sheetViews>
    <sheetView topLeftCell="J1" zoomScale="85" zoomScaleNormal="85" workbookViewId="0">
      <selection activeCell="Q3" sqref="Q3"/>
    </sheetView>
  </sheetViews>
  <sheetFormatPr baseColWidth="10" defaultColWidth="11.42578125" defaultRowHeight="15.75" x14ac:dyDescent="0.25"/>
  <cols>
    <col min="1" max="1" width="17" style="1" bestFit="1" customWidth="1"/>
    <col min="2" max="2" width="2.140625" style="1" bestFit="1" customWidth="1"/>
    <col min="3" max="3" width="22.140625" style="1" bestFit="1" customWidth="1"/>
    <col min="4" max="4" width="20.140625" style="1" bestFit="1" customWidth="1"/>
    <col min="5" max="5" width="23.28515625" style="1" bestFit="1" customWidth="1"/>
    <col min="6" max="6" width="25.7109375" style="1" bestFit="1" customWidth="1"/>
    <col min="7" max="7" width="25" style="1" bestFit="1" customWidth="1"/>
    <col min="8" max="8" width="19.5703125" style="1" bestFit="1" customWidth="1"/>
    <col min="9" max="9" width="17.42578125" style="1" bestFit="1" customWidth="1"/>
    <col min="10" max="10" width="22" style="1" bestFit="1" customWidth="1"/>
    <col min="11" max="11" width="26.5703125" style="1" bestFit="1" customWidth="1"/>
    <col min="12" max="20" width="16.140625" style="1" bestFit="1" customWidth="1"/>
    <col min="21" max="56" width="17.42578125" style="1" bestFit="1" customWidth="1"/>
    <col min="57" max="58" width="18.85546875" style="1" bestFit="1" customWidth="1"/>
    <col min="59" max="59" width="24.7109375" style="1" bestFit="1" customWidth="1"/>
    <col min="60" max="60" width="18.85546875" style="1" bestFit="1" customWidth="1"/>
    <col min="61" max="61" width="24.7109375" style="1" bestFit="1" customWidth="1"/>
    <col min="62" max="62" width="18.85546875" style="1" bestFit="1" customWidth="1"/>
    <col min="63" max="63" width="24.7109375" style="1" bestFit="1" customWidth="1"/>
    <col min="64" max="65" width="18.85546875" style="1" bestFit="1" customWidth="1"/>
    <col min="66" max="72" width="19.28515625" style="1" bestFit="1" customWidth="1"/>
    <col min="73" max="78" width="21.42578125" style="1" bestFit="1" customWidth="1"/>
    <col min="79" max="106" width="19.42578125" style="1" bestFit="1" customWidth="1"/>
    <col min="107" max="151" width="16.42578125" style="1" bestFit="1" customWidth="1"/>
    <col min="152" max="157" width="21" style="1" bestFit="1" customWidth="1"/>
    <col min="158" max="158" width="19.5703125" style="1" bestFit="1" customWidth="1"/>
    <col min="159" max="198" width="17.42578125" style="1" bestFit="1" customWidth="1"/>
    <col min="199" max="208" width="12.5703125" style="1" bestFit="1" customWidth="1"/>
    <col min="209" max="212" width="21.140625" style="1" bestFit="1" customWidth="1"/>
    <col min="213" max="230" width="23" style="1" bestFit="1" customWidth="1"/>
    <col min="231" max="250" width="22" style="1" bestFit="1" customWidth="1"/>
    <col min="251" max="254" width="21.7109375" style="1" bestFit="1" customWidth="1"/>
    <col min="255" max="261" width="22.7109375" style="1" bestFit="1" customWidth="1"/>
    <col min="262" max="262" width="16.5703125" style="1" bestFit="1" customWidth="1"/>
    <col min="263" max="268" width="21.42578125" style="1" bestFit="1" customWidth="1"/>
    <col min="269" max="284" width="14.42578125" style="1" bestFit="1" customWidth="1"/>
    <col min="285" max="291" width="23.28515625" style="1" bestFit="1" customWidth="1"/>
    <col min="292" max="297" width="19" style="1" bestFit="1" customWidth="1"/>
    <col min="298" max="301" width="32.28515625" style="1" bestFit="1" customWidth="1"/>
    <col min="302" max="309" width="20.7109375" style="1" bestFit="1" customWidth="1"/>
    <col min="310" max="310" width="24.7109375" style="1" bestFit="1" customWidth="1"/>
    <col min="311" max="311" width="23" style="1" bestFit="1" customWidth="1"/>
    <col min="312" max="312" width="22.28515625" style="1" bestFit="1" customWidth="1"/>
    <col min="313" max="313" width="24.5703125" style="1" bestFit="1" customWidth="1"/>
    <col min="314" max="320" width="14.140625" style="1" bestFit="1" customWidth="1"/>
    <col min="321" max="321" width="13.85546875" style="1" bestFit="1" customWidth="1"/>
    <col min="322" max="322" width="18" style="1" bestFit="1" customWidth="1"/>
    <col min="323" max="323" width="17.28515625" style="1" bestFit="1" customWidth="1"/>
    <col min="324" max="324" width="17.42578125" style="1" bestFit="1" customWidth="1"/>
    <col min="325" max="325" width="19.140625" style="1" bestFit="1" customWidth="1"/>
    <col min="326" max="326" width="22.7109375" style="1" bestFit="1" customWidth="1"/>
    <col min="327" max="327" width="21.7109375" style="1" bestFit="1" customWidth="1"/>
    <col min="328" max="328" width="20.85546875" style="1" bestFit="1" customWidth="1"/>
    <col min="329" max="329" width="23.85546875" style="1" bestFit="1" customWidth="1"/>
    <col min="330" max="330" width="27" style="1" bestFit="1" customWidth="1"/>
    <col min="331" max="331" width="26.42578125" style="1" bestFit="1" customWidth="1"/>
    <col min="332" max="332" width="25.7109375" style="1" bestFit="1" customWidth="1"/>
    <col min="333" max="333" width="28.7109375" style="1" bestFit="1" customWidth="1"/>
    <col min="334" max="342" width="20" style="1" bestFit="1" customWidth="1"/>
    <col min="343" max="345" width="21.140625" style="1" bestFit="1" customWidth="1"/>
    <col min="346" max="350" width="28" style="1" bestFit="1" customWidth="1"/>
    <col min="351" max="351" width="11.85546875" style="1" bestFit="1" customWidth="1"/>
    <col min="352" max="352" width="13.5703125" style="1" bestFit="1" customWidth="1"/>
    <col min="353" max="357" width="21.7109375" style="1" bestFit="1" customWidth="1"/>
    <col min="358" max="362" width="13.5703125" style="1" bestFit="1" customWidth="1"/>
    <col min="363" max="367" width="21.7109375" style="1" bestFit="1" customWidth="1"/>
    <col min="368" max="368" width="21.140625" style="1" bestFit="1" customWidth="1"/>
    <col min="369" max="369" width="21.5703125" style="1" bestFit="1" customWidth="1"/>
    <col min="370" max="370" width="20.85546875" style="1" bestFit="1" customWidth="1"/>
    <col min="371" max="371" width="20.140625" style="1" bestFit="1" customWidth="1"/>
    <col min="372" max="372" width="23.140625" style="1" bestFit="1" customWidth="1"/>
    <col min="373" max="373" width="22.42578125" style="1" bestFit="1" customWidth="1"/>
    <col min="374" max="374" width="22.7109375" style="1" bestFit="1" customWidth="1"/>
    <col min="375" max="375" width="22.140625" style="1" bestFit="1" customWidth="1"/>
    <col min="376" max="376" width="21.28515625" style="1" bestFit="1" customWidth="1"/>
    <col min="377" max="377" width="24.28515625" style="1" bestFit="1" customWidth="1"/>
    <col min="378" max="378" width="27" style="1" bestFit="1" customWidth="1"/>
    <col min="379" max="379" width="26.140625" style="1" bestFit="1" customWidth="1"/>
    <col min="380" max="380" width="25.5703125" style="1" bestFit="1" customWidth="1"/>
    <col min="381" max="381" width="28.5703125" style="1" bestFit="1" customWidth="1"/>
    <col min="382" max="382" width="26" style="1" bestFit="1" customWidth="1"/>
    <col min="383" max="383" width="25" style="1" bestFit="1" customWidth="1"/>
    <col min="384" max="384" width="28" style="1" bestFit="1" customWidth="1"/>
    <col min="385" max="385" width="24.85546875" style="1" bestFit="1" customWidth="1"/>
    <col min="386" max="386" width="27.42578125" style="1" bestFit="1" customWidth="1"/>
    <col min="387" max="387" width="28.42578125" style="1" bestFit="1" customWidth="1"/>
    <col min="388" max="388" width="21.140625" style="1" bestFit="1" customWidth="1"/>
    <col min="389" max="390" width="20" style="1" bestFit="1" customWidth="1"/>
    <col min="391" max="400" width="17.5703125" style="1" bestFit="1" customWidth="1"/>
    <col min="401" max="401" width="22.28515625" style="1" bestFit="1" customWidth="1"/>
    <col min="402" max="404" width="22.85546875" style="1" bestFit="1" customWidth="1"/>
    <col min="405" max="407" width="22" style="1" bestFit="1" customWidth="1"/>
    <col min="408" max="16384" width="11.42578125" style="1"/>
  </cols>
  <sheetData>
    <row r="1" spans="1:96" x14ac:dyDescent="0.25">
      <c r="A1" s="4" t="s">
        <v>1</v>
      </c>
      <c r="B1" s="3"/>
      <c r="C1" s="1" t="s">
        <v>20</v>
      </c>
      <c r="D1" s="1" t="s">
        <v>16</v>
      </c>
      <c r="E1" s="1" t="s">
        <v>85</v>
      </c>
      <c r="F1" s="1" t="s">
        <v>11</v>
      </c>
      <c r="G1" s="1" t="s">
        <v>82</v>
      </c>
      <c r="H1" s="1" t="s">
        <v>83</v>
      </c>
      <c r="I1" s="1" t="s">
        <v>84</v>
      </c>
      <c r="J1" s="1" t="s">
        <v>77</v>
      </c>
    </row>
    <row r="2" spans="1:96" x14ac:dyDescent="0.25">
      <c r="A2" s="4" t="s">
        <v>2</v>
      </c>
      <c r="B2" s="3"/>
      <c r="C2" s="1" t="s">
        <v>33</v>
      </c>
      <c r="D2" s="1" t="s">
        <v>21</v>
      </c>
      <c r="E2" s="1" t="s">
        <v>123</v>
      </c>
      <c r="F2" s="1" t="s">
        <v>43</v>
      </c>
      <c r="G2" s="1" t="s">
        <v>12</v>
      </c>
      <c r="H2" s="1" t="s">
        <v>17</v>
      </c>
      <c r="I2" s="1" t="s">
        <v>65</v>
      </c>
      <c r="J2" s="1" t="s">
        <v>66</v>
      </c>
      <c r="K2" s="1" t="s">
        <v>67</v>
      </c>
      <c r="L2" s="1" t="s">
        <v>68</v>
      </c>
      <c r="M2" s="1" t="s">
        <v>64</v>
      </c>
      <c r="N2" s="1" t="s">
        <v>22</v>
      </c>
      <c r="O2" s="1" t="s">
        <v>69</v>
      </c>
    </row>
    <row r="3" spans="1:96" x14ac:dyDescent="0.25">
      <c r="A3" s="5" t="s">
        <v>37</v>
      </c>
      <c r="B3" s="3"/>
      <c r="C3" s="6" t="s">
        <v>93</v>
      </c>
      <c r="D3" s="6" t="s">
        <v>57</v>
      </c>
      <c r="E3" s="6" t="s">
        <v>86</v>
      </c>
      <c r="F3" s="6" t="s">
        <v>94</v>
      </c>
      <c r="G3" s="6" t="s">
        <v>175</v>
      </c>
      <c r="H3" s="7" t="s">
        <v>87</v>
      </c>
      <c r="I3" s="7" t="s">
        <v>90</v>
      </c>
      <c r="J3" s="6" t="s">
        <v>92</v>
      </c>
      <c r="K3" s="6" t="s">
        <v>88</v>
      </c>
      <c r="L3" s="6" t="s">
        <v>95</v>
      </c>
      <c r="M3" s="6" t="s">
        <v>89</v>
      </c>
      <c r="N3" s="6" t="s">
        <v>91</v>
      </c>
      <c r="O3" s="7" t="s">
        <v>48</v>
      </c>
      <c r="P3" s="1" t="s">
        <v>268</v>
      </c>
      <c r="Q3" s="1" t="s">
        <v>1393</v>
      </c>
      <c r="R3" s="1" t="s">
        <v>1394</v>
      </c>
      <c r="S3" s="1" t="s">
        <v>263</v>
      </c>
      <c r="T3" s="1" t="s">
        <v>264</v>
      </c>
      <c r="U3" s="1" t="s">
        <v>267</v>
      </c>
      <c r="V3" s="1" t="s">
        <v>265</v>
      </c>
      <c r="W3" s="1" t="s">
        <v>266</v>
      </c>
      <c r="X3" s="3"/>
      <c r="Y3" s="3"/>
    </row>
    <row r="4" spans="1:96" x14ac:dyDescent="0.25">
      <c r="A4" s="4" t="s">
        <v>8</v>
      </c>
      <c r="B4" s="3"/>
      <c r="C4" s="1" t="s">
        <v>14</v>
      </c>
      <c r="D4" s="1" t="s">
        <v>18</v>
      </c>
      <c r="E4" s="1" t="s">
        <v>115</v>
      </c>
      <c r="F4" s="1" t="s">
        <v>116</v>
      </c>
      <c r="G4" s="1" t="s">
        <v>176</v>
      </c>
      <c r="H4" s="1" t="s">
        <v>96</v>
      </c>
    </row>
    <row r="5" spans="1:96" x14ac:dyDescent="0.25">
      <c r="A5" s="8" t="s">
        <v>29</v>
      </c>
      <c r="B5" s="3"/>
      <c r="C5" s="3"/>
    </row>
    <row r="6" spans="1:96" x14ac:dyDescent="0.25">
      <c r="A6" s="9" t="s">
        <v>9</v>
      </c>
      <c r="B6" s="3"/>
      <c r="C6" s="3"/>
    </row>
    <row r="7" spans="1:96" x14ac:dyDescent="0.25">
      <c r="A7" s="4" t="s">
        <v>30</v>
      </c>
      <c r="B7" s="3"/>
      <c r="C7" s="1" t="s">
        <v>13</v>
      </c>
      <c r="D7" s="1" t="s">
        <v>35</v>
      </c>
      <c r="E7" s="1" t="s">
        <v>70</v>
      </c>
      <c r="F7" s="1" t="s">
        <v>71</v>
      </c>
      <c r="G7" s="1" t="s">
        <v>72</v>
      </c>
      <c r="H7" s="1" t="s">
        <v>73</v>
      </c>
      <c r="I7" s="1" t="s">
        <v>74</v>
      </c>
      <c r="J7" s="1" t="s">
        <v>75</v>
      </c>
      <c r="K7" s="1" t="s">
        <v>76</v>
      </c>
      <c r="L7" s="1" t="s">
        <v>77</v>
      </c>
    </row>
    <row r="8" spans="1:96" x14ac:dyDescent="0.25">
      <c r="A8" s="5" t="s">
        <v>177</v>
      </c>
      <c r="B8" s="7"/>
      <c r="C8" s="1" t="s">
        <v>78</v>
      </c>
      <c r="D8" s="1" t="s">
        <v>79</v>
      </c>
      <c r="E8" s="1" t="s">
        <v>98</v>
      </c>
      <c r="F8" s="1" t="s">
        <v>80</v>
      </c>
      <c r="G8" s="1" t="s">
        <v>97</v>
      </c>
      <c r="H8" s="1" t="s">
        <v>90</v>
      </c>
      <c r="I8" s="1" t="s">
        <v>99</v>
      </c>
      <c r="J8" s="1" t="s">
        <v>81</v>
      </c>
      <c r="K8" s="1" t="s">
        <v>77</v>
      </c>
    </row>
    <row r="9" spans="1:96" x14ac:dyDescent="0.25">
      <c r="A9" s="5" t="s">
        <v>165</v>
      </c>
      <c r="B9" s="7"/>
      <c r="C9" s="1" t="s">
        <v>170</v>
      </c>
      <c r="D9" s="1" t="s">
        <v>172</v>
      </c>
      <c r="E9" s="1" t="s">
        <v>166</v>
      </c>
      <c r="F9" s="1" t="s">
        <v>167</v>
      </c>
      <c r="G9" s="1" t="s">
        <v>174</v>
      </c>
      <c r="H9" s="1" t="s">
        <v>171</v>
      </c>
      <c r="I9" s="1" t="s">
        <v>169</v>
      </c>
      <c r="J9" s="1" t="s">
        <v>169</v>
      </c>
      <c r="K9" s="1" t="s">
        <v>173</v>
      </c>
      <c r="L9" s="1" t="s">
        <v>168</v>
      </c>
      <c r="M9" s="1" t="s">
        <v>260</v>
      </c>
      <c r="N9" s="1" t="s">
        <v>262</v>
      </c>
      <c r="O9" s="1" t="s">
        <v>261</v>
      </c>
    </row>
    <row r="11" spans="1:96" x14ac:dyDescent="0.25">
      <c r="A11" s="5" t="s">
        <v>199</v>
      </c>
      <c r="B11" s="7"/>
      <c r="C11" s="1" t="s">
        <v>200</v>
      </c>
      <c r="D11" s="1" t="s">
        <v>201</v>
      </c>
      <c r="E11" s="1" t="s">
        <v>202</v>
      </c>
      <c r="F11" s="1" t="s">
        <v>203</v>
      </c>
      <c r="G11" s="1" t="s">
        <v>204</v>
      </c>
      <c r="H11" s="1" t="s">
        <v>205</v>
      </c>
      <c r="I11" s="1" t="s">
        <v>206</v>
      </c>
      <c r="J11" s="1" t="s">
        <v>516</v>
      </c>
    </row>
    <row r="12" spans="1:96" x14ac:dyDescent="0.25">
      <c r="A12" s="5" t="s">
        <v>207</v>
      </c>
      <c r="B12" s="7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M12" s="1">
        <v>10</v>
      </c>
    </row>
    <row r="14" spans="1:96" x14ac:dyDescent="0.25">
      <c r="A14" s="5" t="s">
        <v>270</v>
      </c>
      <c r="B14" s="7"/>
      <c r="C14" s="1">
        <v>1</v>
      </c>
      <c r="D14" s="1">
        <v>2</v>
      </c>
      <c r="E14" s="1">
        <v>3</v>
      </c>
      <c r="F14" s="1">
        <v>4</v>
      </c>
      <c r="G14" s="1">
        <v>5</v>
      </c>
      <c r="H14" s="1">
        <v>6</v>
      </c>
      <c r="I14" s="1">
        <v>7</v>
      </c>
      <c r="J14" s="1">
        <v>8</v>
      </c>
      <c r="K14" s="1">
        <v>9</v>
      </c>
      <c r="L14" s="1">
        <v>10</v>
      </c>
      <c r="M14" s="1">
        <v>11</v>
      </c>
      <c r="N14" s="1">
        <v>12</v>
      </c>
      <c r="O14" s="1">
        <v>13</v>
      </c>
      <c r="P14" s="1">
        <v>14</v>
      </c>
      <c r="Q14" s="1">
        <v>15</v>
      </c>
      <c r="R14" s="1">
        <v>16</v>
      </c>
      <c r="S14" s="1">
        <v>17</v>
      </c>
      <c r="T14" s="1">
        <v>18</v>
      </c>
      <c r="U14" s="1">
        <v>19</v>
      </c>
      <c r="V14" s="1">
        <v>20</v>
      </c>
      <c r="W14" s="1">
        <v>21</v>
      </c>
      <c r="X14" s="1">
        <v>22</v>
      </c>
      <c r="Y14" s="1">
        <v>23</v>
      </c>
      <c r="Z14" s="1">
        <v>24</v>
      </c>
      <c r="AA14" s="1">
        <v>25</v>
      </c>
      <c r="AB14" s="1">
        <v>26</v>
      </c>
      <c r="AC14" s="1">
        <v>27</v>
      </c>
      <c r="AD14" s="1">
        <v>28</v>
      </c>
      <c r="AE14" s="1">
        <v>29</v>
      </c>
      <c r="AF14" s="1">
        <v>30</v>
      </c>
      <c r="AG14" s="1">
        <v>31</v>
      </c>
      <c r="AH14" s="1">
        <v>32</v>
      </c>
      <c r="AI14" s="1">
        <v>33</v>
      </c>
      <c r="AJ14" s="1">
        <v>34</v>
      </c>
      <c r="AK14" s="1">
        <v>35</v>
      </c>
      <c r="AL14" s="1">
        <v>36</v>
      </c>
      <c r="AM14" s="1">
        <v>37</v>
      </c>
      <c r="AN14" s="1">
        <v>38</v>
      </c>
      <c r="AO14" s="1">
        <v>39</v>
      </c>
      <c r="AP14" s="1">
        <v>40</v>
      </c>
      <c r="AQ14" s="1">
        <v>41</v>
      </c>
      <c r="AR14" s="1">
        <v>42</v>
      </c>
      <c r="AS14" s="1">
        <v>43</v>
      </c>
      <c r="AT14" s="1">
        <v>44</v>
      </c>
      <c r="AU14" s="1">
        <v>45</v>
      </c>
      <c r="AV14" s="1">
        <v>46</v>
      </c>
      <c r="AW14" s="1">
        <v>47</v>
      </c>
      <c r="AX14" s="1">
        <v>48</v>
      </c>
      <c r="AY14" s="1">
        <v>49</v>
      </c>
      <c r="AZ14" s="1">
        <v>50</v>
      </c>
      <c r="BA14" s="1">
        <v>51</v>
      </c>
      <c r="BB14" s="1">
        <v>52</v>
      </c>
      <c r="BC14" s="1">
        <v>53</v>
      </c>
      <c r="BD14" s="1">
        <v>54</v>
      </c>
      <c r="BE14" s="1">
        <v>55</v>
      </c>
      <c r="BF14" s="1">
        <v>56</v>
      </c>
      <c r="BG14" s="1">
        <v>57</v>
      </c>
      <c r="BH14" s="1">
        <v>58</v>
      </c>
      <c r="BI14" s="1">
        <v>59</v>
      </c>
      <c r="BJ14" s="1">
        <v>60</v>
      </c>
      <c r="BK14" s="1">
        <v>61</v>
      </c>
      <c r="BL14" s="1">
        <v>62</v>
      </c>
      <c r="BM14" s="1">
        <v>63</v>
      </c>
      <c r="BN14" s="1">
        <v>64</v>
      </c>
      <c r="BO14" s="1">
        <v>65</v>
      </c>
      <c r="BP14" s="1">
        <v>66</v>
      </c>
      <c r="BQ14" s="1">
        <v>67</v>
      </c>
      <c r="BR14" s="1">
        <v>68</v>
      </c>
      <c r="BS14" s="1">
        <v>69</v>
      </c>
      <c r="BT14" s="1">
        <v>70</v>
      </c>
      <c r="BU14" s="1">
        <v>71</v>
      </c>
      <c r="BV14" s="1">
        <v>72</v>
      </c>
      <c r="BW14" s="1">
        <v>73</v>
      </c>
      <c r="BX14" s="1">
        <v>74</v>
      </c>
      <c r="BY14" s="1">
        <v>75</v>
      </c>
      <c r="BZ14" s="1">
        <v>76</v>
      </c>
      <c r="CA14" s="1">
        <v>77</v>
      </c>
      <c r="CB14" s="1">
        <v>78</v>
      </c>
      <c r="CC14" s="1">
        <v>79</v>
      </c>
      <c r="CD14" s="1">
        <v>80</v>
      </c>
      <c r="CE14" s="1">
        <v>81</v>
      </c>
      <c r="CF14" s="1">
        <v>82</v>
      </c>
      <c r="CG14" s="1">
        <v>83</v>
      </c>
      <c r="CH14" s="1">
        <v>84</v>
      </c>
      <c r="CI14" s="1">
        <v>85</v>
      </c>
      <c r="CJ14" s="1">
        <v>86</v>
      </c>
      <c r="CK14" s="1">
        <v>87</v>
      </c>
      <c r="CL14" s="1">
        <v>88</v>
      </c>
      <c r="CM14" s="1">
        <v>89</v>
      </c>
      <c r="CN14" s="1">
        <v>90</v>
      </c>
      <c r="CO14" s="1">
        <v>91</v>
      </c>
      <c r="CP14" s="1">
        <v>92</v>
      </c>
      <c r="CQ14" s="1">
        <v>93</v>
      </c>
      <c r="CR14" s="1">
        <v>94</v>
      </c>
    </row>
    <row r="15" spans="1:96" x14ac:dyDescent="0.25">
      <c r="A15" s="5" t="s">
        <v>272</v>
      </c>
      <c r="C15" s="2">
        <v>42370</v>
      </c>
      <c r="D15" s="2">
        <v>42401</v>
      </c>
      <c r="E15" s="2">
        <v>42430</v>
      </c>
      <c r="F15" s="2">
        <v>42461</v>
      </c>
      <c r="G15" s="2">
        <v>42491</v>
      </c>
      <c r="H15" s="2">
        <v>42522</v>
      </c>
      <c r="I15" s="2">
        <v>42552</v>
      </c>
      <c r="J15" s="2">
        <v>42583</v>
      </c>
      <c r="K15" s="2">
        <v>42614</v>
      </c>
      <c r="L15" s="2">
        <v>42644</v>
      </c>
      <c r="M15" s="2">
        <v>42675</v>
      </c>
      <c r="N15" s="2">
        <v>42705</v>
      </c>
      <c r="O15" s="2">
        <v>42736</v>
      </c>
      <c r="P15" s="2">
        <v>42767</v>
      </c>
      <c r="Q15" s="2">
        <v>42795</v>
      </c>
      <c r="R15" s="2">
        <v>42826</v>
      </c>
      <c r="S15" s="2">
        <v>42856</v>
      </c>
      <c r="T15" s="2">
        <v>42887</v>
      </c>
      <c r="U15" s="2">
        <v>42917</v>
      </c>
      <c r="V15" s="2">
        <v>42948</v>
      </c>
      <c r="W15" s="2">
        <v>42979</v>
      </c>
      <c r="X15" s="2">
        <v>43009</v>
      </c>
      <c r="Y15" s="2">
        <v>43040</v>
      </c>
      <c r="Z15" s="2">
        <v>43070</v>
      </c>
      <c r="AA15" s="2">
        <v>43101</v>
      </c>
      <c r="AB15" s="2">
        <v>43132</v>
      </c>
      <c r="AC15" s="2">
        <v>43160</v>
      </c>
      <c r="AD15" s="2">
        <v>43191</v>
      </c>
      <c r="AE15" s="2">
        <v>43221</v>
      </c>
      <c r="AF15" s="2">
        <v>43252</v>
      </c>
      <c r="AG15" s="2">
        <v>43282</v>
      </c>
      <c r="AH15" s="2">
        <v>43313</v>
      </c>
      <c r="AI15" s="2">
        <v>43344</v>
      </c>
      <c r="AJ15" s="2">
        <v>43374</v>
      </c>
      <c r="AK15" s="2">
        <v>43405</v>
      </c>
      <c r="AL15" s="2">
        <v>43435</v>
      </c>
      <c r="AM15" s="2">
        <v>43466</v>
      </c>
      <c r="AN15" s="2">
        <v>43497</v>
      </c>
      <c r="AO15" s="2">
        <v>43525</v>
      </c>
      <c r="AP15" s="2">
        <v>43556</v>
      </c>
      <c r="AQ15" s="2">
        <v>43586</v>
      </c>
      <c r="AR15" s="2">
        <v>43617</v>
      </c>
      <c r="AS15" s="2">
        <v>43647</v>
      </c>
      <c r="AT15" s="2">
        <v>43678</v>
      </c>
      <c r="AU15" s="2">
        <v>43709</v>
      </c>
      <c r="AV15" s="2">
        <v>43739</v>
      </c>
      <c r="AW15" s="2">
        <v>43770</v>
      </c>
      <c r="AX15" s="2">
        <v>43800</v>
      </c>
      <c r="AY15" s="2">
        <v>43831</v>
      </c>
      <c r="AZ15" s="2">
        <v>43862</v>
      </c>
      <c r="BA15" s="2">
        <v>43891</v>
      </c>
      <c r="BB15" s="2">
        <v>43922</v>
      </c>
      <c r="BC15" s="2">
        <v>43952</v>
      </c>
      <c r="BD15" s="2">
        <v>43983</v>
      </c>
      <c r="BE15" s="2">
        <v>44013</v>
      </c>
      <c r="BF15" s="2">
        <v>44044</v>
      </c>
      <c r="BG15" s="2">
        <v>44075</v>
      </c>
      <c r="BH15" s="2">
        <v>44105</v>
      </c>
      <c r="BI15" s="2">
        <v>44136</v>
      </c>
      <c r="BJ15" s="2">
        <v>44166</v>
      </c>
      <c r="BK15" s="2">
        <v>44197</v>
      </c>
      <c r="BL15" s="2">
        <v>44228</v>
      </c>
      <c r="BM15" s="2">
        <v>44256</v>
      </c>
      <c r="BN15" s="2">
        <v>44287</v>
      </c>
      <c r="BO15" s="2">
        <v>44317</v>
      </c>
      <c r="BP15" s="2">
        <v>44348</v>
      </c>
      <c r="BQ15" s="2">
        <v>44378</v>
      </c>
      <c r="BR15" s="2">
        <v>44409</v>
      </c>
      <c r="BS15" s="2">
        <v>44440</v>
      </c>
      <c r="BT15" s="2">
        <v>44470</v>
      </c>
      <c r="BU15" s="2">
        <v>44501</v>
      </c>
      <c r="BV15" s="2">
        <v>44531</v>
      </c>
      <c r="BW15" s="2">
        <v>44562</v>
      </c>
      <c r="BX15" s="2">
        <v>44593</v>
      </c>
      <c r="BY15" s="2">
        <v>44621</v>
      </c>
      <c r="BZ15" s="2">
        <v>44652</v>
      </c>
      <c r="CA15" s="2">
        <v>44682</v>
      </c>
      <c r="CB15" s="2">
        <v>44713</v>
      </c>
      <c r="CC15" s="2">
        <v>44743</v>
      </c>
      <c r="CD15" s="2">
        <v>44774</v>
      </c>
      <c r="CE15" s="2">
        <v>44805</v>
      </c>
      <c r="CF15" s="2">
        <v>44835</v>
      </c>
      <c r="CG15" s="2">
        <v>44866</v>
      </c>
      <c r="CH15" s="2">
        <v>44896</v>
      </c>
      <c r="CI15" s="2">
        <v>44927</v>
      </c>
      <c r="CJ15" s="2">
        <v>44958</v>
      </c>
      <c r="CK15" s="2">
        <v>44986</v>
      </c>
      <c r="CL15" s="2">
        <v>45017</v>
      </c>
      <c r="CM15" s="2">
        <v>45047</v>
      </c>
      <c r="CN15" s="2">
        <v>45078</v>
      </c>
      <c r="CO15" s="2">
        <v>45108</v>
      </c>
      <c r="CP15" s="2">
        <v>45139</v>
      </c>
      <c r="CQ15" s="2">
        <v>45170</v>
      </c>
      <c r="CR15" s="2"/>
    </row>
    <row r="16" spans="1:96" x14ac:dyDescent="0.25">
      <c r="A16" s="5" t="s">
        <v>512</v>
      </c>
      <c r="C16" s="13">
        <v>2016</v>
      </c>
      <c r="D16" s="13">
        <v>2017</v>
      </c>
      <c r="E16" s="13">
        <v>2018</v>
      </c>
      <c r="F16" s="13">
        <v>2019</v>
      </c>
      <c r="G16" s="13">
        <v>2020</v>
      </c>
      <c r="H16" s="13">
        <v>2021</v>
      </c>
      <c r="I16" s="13">
        <v>2022</v>
      </c>
      <c r="J16" s="13">
        <v>2023</v>
      </c>
      <c r="K16" s="13">
        <v>2024</v>
      </c>
      <c r="L16" s="13">
        <v>2025</v>
      </c>
      <c r="M16" s="13">
        <v>2026</v>
      </c>
      <c r="N16" s="13">
        <v>2027</v>
      </c>
      <c r="O16" s="13">
        <v>2028</v>
      </c>
      <c r="P16" s="13">
        <v>2029</v>
      </c>
      <c r="Q16" s="13">
        <v>2030</v>
      </c>
      <c r="R16" s="13">
        <v>2031</v>
      </c>
      <c r="S16" s="13">
        <v>2032</v>
      </c>
      <c r="T16" s="13">
        <v>2033</v>
      </c>
      <c r="U16" s="13">
        <v>2034</v>
      </c>
      <c r="V16" s="13">
        <v>2035</v>
      </c>
      <c r="W16" s="13">
        <v>2036</v>
      </c>
      <c r="X16" s="13">
        <v>2037</v>
      </c>
      <c r="Y16" s="13">
        <v>2038</v>
      </c>
      <c r="Z16" s="13">
        <v>2039</v>
      </c>
      <c r="AA16" s="13">
        <v>2040</v>
      </c>
      <c r="AB16" s="13">
        <v>2041</v>
      </c>
      <c r="AC16" s="13">
        <v>2042</v>
      </c>
      <c r="AD16" s="13">
        <v>2043</v>
      </c>
      <c r="AE16" s="13">
        <v>2044</v>
      </c>
      <c r="AF16" s="13">
        <v>2045</v>
      </c>
      <c r="AG16" s="13">
        <v>2046</v>
      </c>
      <c r="AH16" s="13">
        <v>2047</v>
      </c>
      <c r="AI16" s="13">
        <v>2048</v>
      </c>
      <c r="AJ16" s="13">
        <v>2049</v>
      </c>
      <c r="AK16" s="13">
        <v>2050</v>
      </c>
      <c r="AL16" s="13">
        <v>2051</v>
      </c>
      <c r="AM16" s="13">
        <v>2052</v>
      </c>
      <c r="AN16" s="13">
        <v>2053</v>
      </c>
      <c r="AO16" s="13">
        <v>2054</v>
      </c>
      <c r="AP16" s="13">
        <v>2055</v>
      </c>
      <c r="AQ16" s="13">
        <v>2056</v>
      </c>
      <c r="AR16" s="13">
        <v>2057</v>
      </c>
      <c r="AS16" s="13">
        <v>2058</v>
      </c>
      <c r="AT16" s="13">
        <v>2059</v>
      </c>
      <c r="AU16" s="13">
        <v>2060</v>
      </c>
      <c r="AV16" s="13">
        <v>2061</v>
      </c>
      <c r="AW16" s="13">
        <v>2062</v>
      </c>
      <c r="AX16" s="13">
        <v>2063</v>
      </c>
      <c r="AY16" s="13">
        <v>2064</v>
      </c>
      <c r="AZ16" s="13">
        <v>2065</v>
      </c>
      <c r="BA16" s="13">
        <v>2066</v>
      </c>
      <c r="BB16" s="13">
        <v>2067</v>
      </c>
      <c r="BC16" s="13">
        <v>2068</v>
      </c>
      <c r="BD16" s="13">
        <v>2069</v>
      </c>
      <c r="BE16" s="13">
        <v>2070</v>
      </c>
      <c r="BF16" s="13">
        <v>2071</v>
      </c>
      <c r="BG16" s="13">
        <v>2072</v>
      </c>
      <c r="BH16" s="13">
        <v>2073</v>
      </c>
      <c r="BI16" s="13">
        <v>2074</v>
      </c>
      <c r="BJ16" s="13">
        <v>2075</v>
      </c>
      <c r="BK16" s="13">
        <v>2076</v>
      </c>
      <c r="BL16" s="13">
        <v>2077</v>
      </c>
      <c r="BM16" s="13">
        <v>2078</v>
      </c>
      <c r="BN16" s="13">
        <v>2079</v>
      </c>
      <c r="BO16" s="13">
        <v>2080</v>
      </c>
      <c r="BP16" s="13">
        <v>2081</v>
      </c>
      <c r="BQ16" s="13">
        <v>2082</v>
      </c>
      <c r="BR16" s="13">
        <v>2083</v>
      </c>
      <c r="BS16" s="13">
        <v>2084</v>
      </c>
      <c r="BT16" s="13">
        <v>2085</v>
      </c>
      <c r="BU16" s="13">
        <v>2086</v>
      </c>
      <c r="BV16" s="13">
        <v>2087</v>
      </c>
      <c r="BW16" s="13">
        <v>2088</v>
      </c>
      <c r="BX16" s="13">
        <v>2089</v>
      </c>
      <c r="BY16" s="13">
        <v>2090</v>
      </c>
      <c r="BZ16" s="13">
        <v>2091</v>
      </c>
      <c r="CA16" s="13">
        <v>2092</v>
      </c>
      <c r="CB16" s="13">
        <v>2093</v>
      </c>
      <c r="CC16" s="13">
        <v>2094</v>
      </c>
      <c r="CD16" s="13">
        <v>2095</v>
      </c>
      <c r="CE16" s="13">
        <v>2096</v>
      </c>
      <c r="CF16" s="13">
        <v>2097</v>
      </c>
      <c r="CG16" s="13">
        <v>2098</v>
      </c>
      <c r="CH16" s="13">
        <v>2099</v>
      </c>
      <c r="CI16" s="13">
        <v>2100</v>
      </c>
      <c r="CJ16" s="13">
        <v>2101</v>
      </c>
      <c r="CK16" s="13">
        <v>2102</v>
      </c>
      <c r="CL16" s="13">
        <v>2103</v>
      </c>
      <c r="CM16" s="13">
        <v>2104</v>
      </c>
      <c r="CN16" s="13">
        <v>2105</v>
      </c>
      <c r="CO16" s="13">
        <v>2106</v>
      </c>
      <c r="CP16" s="13">
        <v>2107</v>
      </c>
      <c r="CQ16" s="13">
        <v>2108</v>
      </c>
      <c r="CR16" s="2"/>
    </row>
    <row r="17" spans="1:95" x14ac:dyDescent="0.25">
      <c r="A17" s="5" t="s">
        <v>271</v>
      </c>
      <c r="C17" s="13">
        <f t="shared" ref="C17:BN17" si="0">SUM(C15)</f>
        <v>42370</v>
      </c>
      <c r="D17" s="13">
        <f t="shared" si="0"/>
        <v>42401</v>
      </c>
      <c r="E17" s="13">
        <f t="shared" si="0"/>
        <v>42430</v>
      </c>
      <c r="F17" s="13">
        <f t="shared" si="0"/>
        <v>42461</v>
      </c>
      <c r="G17" s="13">
        <f t="shared" si="0"/>
        <v>42491</v>
      </c>
      <c r="H17" s="13">
        <f t="shared" si="0"/>
        <v>42522</v>
      </c>
      <c r="I17" s="13">
        <f t="shared" si="0"/>
        <v>42552</v>
      </c>
      <c r="J17" s="13">
        <f t="shared" si="0"/>
        <v>42583</v>
      </c>
      <c r="K17" s="13">
        <f t="shared" si="0"/>
        <v>42614</v>
      </c>
      <c r="L17" s="13">
        <f t="shared" si="0"/>
        <v>42644</v>
      </c>
      <c r="M17" s="13">
        <f t="shared" si="0"/>
        <v>42675</v>
      </c>
      <c r="N17" s="13">
        <f t="shared" si="0"/>
        <v>42705</v>
      </c>
      <c r="O17" s="13">
        <f t="shared" si="0"/>
        <v>42736</v>
      </c>
      <c r="P17" s="13">
        <f t="shared" si="0"/>
        <v>42767</v>
      </c>
      <c r="Q17" s="13">
        <f t="shared" si="0"/>
        <v>42795</v>
      </c>
      <c r="R17" s="13">
        <f t="shared" si="0"/>
        <v>42826</v>
      </c>
      <c r="S17" s="13">
        <f t="shared" si="0"/>
        <v>42856</v>
      </c>
      <c r="T17" s="13">
        <f t="shared" si="0"/>
        <v>42887</v>
      </c>
      <c r="U17" s="13">
        <f t="shared" si="0"/>
        <v>42917</v>
      </c>
      <c r="V17" s="13">
        <f t="shared" si="0"/>
        <v>42948</v>
      </c>
      <c r="W17" s="13">
        <f t="shared" si="0"/>
        <v>42979</v>
      </c>
      <c r="X17" s="13">
        <f t="shared" si="0"/>
        <v>43009</v>
      </c>
      <c r="Y17" s="13">
        <f t="shared" si="0"/>
        <v>43040</v>
      </c>
      <c r="Z17" s="13">
        <f t="shared" si="0"/>
        <v>43070</v>
      </c>
      <c r="AA17" s="13">
        <f t="shared" si="0"/>
        <v>43101</v>
      </c>
      <c r="AB17" s="13">
        <f t="shared" si="0"/>
        <v>43132</v>
      </c>
      <c r="AC17" s="13">
        <f t="shared" si="0"/>
        <v>43160</v>
      </c>
      <c r="AD17" s="13">
        <f t="shared" si="0"/>
        <v>43191</v>
      </c>
      <c r="AE17" s="13">
        <f t="shared" si="0"/>
        <v>43221</v>
      </c>
      <c r="AF17" s="13">
        <f t="shared" si="0"/>
        <v>43252</v>
      </c>
      <c r="AG17" s="13">
        <f t="shared" si="0"/>
        <v>43282</v>
      </c>
      <c r="AH17" s="13">
        <f t="shared" si="0"/>
        <v>43313</v>
      </c>
      <c r="AI17" s="13">
        <f t="shared" si="0"/>
        <v>43344</v>
      </c>
      <c r="AJ17" s="13">
        <f t="shared" si="0"/>
        <v>43374</v>
      </c>
      <c r="AK17" s="13">
        <f t="shared" si="0"/>
        <v>43405</v>
      </c>
      <c r="AL17" s="13">
        <f t="shared" si="0"/>
        <v>43435</v>
      </c>
      <c r="AM17" s="13">
        <f t="shared" si="0"/>
        <v>43466</v>
      </c>
      <c r="AN17" s="13">
        <f t="shared" si="0"/>
        <v>43497</v>
      </c>
      <c r="AO17" s="13">
        <f t="shared" si="0"/>
        <v>43525</v>
      </c>
      <c r="AP17" s="13">
        <f t="shared" si="0"/>
        <v>43556</v>
      </c>
      <c r="AQ17" s="13">
        <f t="shared" si="0"/>
        <v>43586</v>
      </c>
      <c r="AR17" s="13">
        <f t="shared" si="0"/>
        <v>43617</v>
      </c>
      <c r="AS17" s="13">
        <f t="shared" si="0"/>
        <v>43647</v>
      </c>
      <c r="AT17" s="13">
        <f t="shared" si="0"/>
        <v>43678</v>
      </c>
      <c r="AU17" s="13">
        <f t="shared" si="0"/>
        <v>43709</v>
      </c>
      <c r="AV17" s="13">
        <f t="shared" si="0"/>
        <v>43739</v>
      </c>
      <c r="AW17" s="13">
        <f t="shared" si="0"/>
        <v>43770</v>
      </c>
      <c r="AX17" s="13">
        <f t="shared" si="0"/>
        <v>43800</v>
      </c>
      <c r="AY17" s="13">
        <f t="shared" si="0"/>
        <v>43831</v>
      </c>
      <c r="AZ17" s="13">
        <f t="shared" si="0"/>
        <v>43862</v>
      </c>
      <c r="BA17" s="13">
        <f t="shared" si="0"/>
        <v>43891</v>
      </c>
      <c r="BB17" s="13">
        <f t="shared" si="0"/>
        <v>43922</v>
      </c>
      <c r="BC17" s="13">
        <f t="shared" si="0"/>
        <v>43952</v>
      </c>
      <c r="BD17" s="13">
        <f t="shared" si="0"/>
        <v>43983</v>
      </c>
      <c r="BE17" s="13">
        <f t="shared" si="0"/>
        <v>44013</v>
      </c>
      <c r="BF17" s="13">
        <f t="shared" si="0"/>
        <v>44044</v>
      </c>
      <c r="BG17" s="13">
        <f t="shared" si="0"/>
        <v>44075</v>
      </c>
      <c r="BH17" s="13">
        <f t="shared" si="0"/>
        <v>44105</v>
      </c>
      <c r="BI17" s="13">
        <f t="shared" si="0"/>
        <v>44136</v>
      </c>
      <c r="BJ17" s="13">
        <f t="shared" si="0"/>
        <v>44166</v>
      </c>
      <c r="BK17" s="13">
        <f t="shared" si="0"/>
        <v>44197</v>
      </c>
      <c r="BL17" s="13">
        <f t="shared" si="0"/>
        <v>44228</v>
      </c>
      <c r="BM17" s="13">
        <f t="shared" si="0"/>
        <v>44256</v>
      </c>
      <c r="BN17" s="13">
        <f t="shared" si="0"/>
        <v>44287</v>
      </c>
      <c r="BO17" s="13">
        <f t="shared" ref="BO17:CQ17" si="1">SUM(BO15)</f>
        <v>44317</v>
      </c>
      <c r="BP17" s="13">
        <f t="shared" si="1"/>
        <v>44348</v>
      </c>
      <c r="BQ17" s="13">
        <f t="shared" si="1"/>
        <v>44378</v>
      </c>
      <c r="BR17" s="13">
        <f t="shared" si="1"/>
        <v>44409</v>
      </c>
      <c r="BS17" s="13">
        <f t="shared" si="1"/>
        <v>44440</v>
      </c>
      <c r="BT17" s="13">
        <f t="shared" si="1"/>
        <v>44470</v>
      </c>
      <c r="BU17" s="13">
        <f t="shared" si="1"/>
        <v>44501</v>
      </c>
      <c r="BV17" s="13">
        <f t="shared" si="1"/>
        <v>44531</v>
      </c>
      <c r="BW17" s="13">
        <f t="shared" si="1"/>
        <v>44562</v>
      </c>
      <c r="BX17" s="13">
        <f t="shared" si="1"/>
        <v>44593</v>
      </c>
      <c r="BY17" s="13">
        <f t="shared" si="1"/>
        <v>44621</v>
      </c>
      <c r="BZ17" s="13">
        <f t="shared" si="1"/>
        <v>44652</v>
      </c>
      <c r="CA17" s="13">
        <f t="shared" si="1"/>
        <v>44682</v>
      </c>
      <c r="CB17" s="13">
        <f t="shared" si="1"/>
        <v>44713</v>
      </c>
      <c r="CC17" s="13">
        <f t="shared" si="1"/>
        <v>44743</v>
      </c>
      <c r="CD17" s="13">
        <f t="shared" si="1"/>
        <v>44774</v>
      </c>
      <c r="CE17" s="13">
        <f t="shared" si="1"/>
        <v>44805</v>
      </c>
      <c r="CF17" s="13">
        <f t="shared" si="1"/>
        <v>44835</v>
      </c>
      <c r="CG17" s="13">
        <f t="shared" si="1"/>
        <v>44866</v>
      </c>
      <c r="CH17" s="13">
        <f t="shared" si="1"/>
        <v>44896</v>
      </c>
      <c r="CI17" s="13">
        <f t="shared" si="1"/>
        <v>44927</v>
      </c>
      <c r="CJ17" s="13">
        <f t="shared" si="1"/>
        <v>44958</v>
      </c>
      <c r="CK17" s="13">
        <f t="shared" si="1"/>
        <v>44986</v>
      </c>
      <c r="CL17" s="13">
        <f t="shared" si="1"/>
        <v>45017</v>
      </c>
      <c r="CM17" s="13">
        <f t="shared" si="1"/>
        <v>45047</v>
      </c>
      <c r="CN17" s="13">
        <f t="shared" si="1"/>
        <v>45078</v>
      </c>
      <c r="CO17" s="13">
        <f t="shared" si="1"/>
        <v>45108</v>
      </c>
      <c r="CP17" s="13">
        <f t="shared" si="1"/>
        <v>45139</v>
      </c>
      <c r="CQ17" s="13">
        <f t="shared" si="1"/>
        <v>45170</v>
      </c>
    </row>
    <row r="18" spans="1:95" s="12" customFormat="1" x14ac:dyDescent="0.25">
      <c r="A18" s="11" t="s">
        <v>272</v>
      </c>
      <c r="C18" s="12">
        <v>42793</v>
      </c>
      <c r="D18" s="12">
        <v>42794</v>
      </c>
      <c r="E18" s="12">
        <v>42825</v>
      </c>
      <c r="F18" s="12">
        <v>42855</v>
      </c>
      <c r="G18" s="12">
        <v>42886</v>
      </c>
      <c r="H18" s="12">
        <v>42916</v>
      </c>
      <c r="I18" s="12">
        <v>42947</v>
      </c>
      <c r="J18" s="12">
        <v>42978</v>
      </c>
      <c r="K18" s="12">
        <v>43008</v>
      </c>
      <c r="L18" s="12">
        <v>43039</v>
      </c>
      <c r="M18" s="12">
        <v>43069</v>
      </c>
      <c r="N18" s="12">
        <v>43100</v>
      </c>
      <c r="O18" s="12">
        <v>43131</v>
      </c>
      <c r="P18" s="12">
        <v>43159</v>
      </c>
      <c r="Q18" s="12">
        <v>43190</v>
      </c>
      <c r="R18" s="12">
        <v>43220</v>
      </c>
      <c r="S18" s="12">
        <v>43251</v>
      </c>
      <c r="T18" s="12">
        <v>43281</v>
      </c>
      <c r="U18" s="12">
        <v>43312</v>
      </c>
      <c r="V18" s="12">
        <v>43343</v>
      </c>
      <c r="W18" s="12">
        <v>43373</v>
      </c>
      <c r="X18" s="12">
        <v>43404</v>
      </c>
      <c r="Y18" s="12">
        <v>43434</v>
      </c>
      <c r="Z18" s="12">
        <v>43465</v>
      </c>
      <c r="AA18" s="12">
        <v>43496</v>
      </c>
      <c r="AB18" s="12">
        <v>43524</v>
      </c>
      <c r="AC18" s="12">
        <v>43555</v>
      </c>
      <c r="AD18" s="12">
        <v>43585</v>
      </c>
      <c r="AE18" s="12">
        <v>43616</v>
      </c>
      <c r="AF18" s="12">
        <v>43646</v>
      </c>
      <c r="AG18" s="12">
        <v>43677</v>
      </c>
      <c r="AH18" s="12">
        <v>43708</v>
      </c>
      <c r="AI18" s="12">
        <v>43738</v>
      </c>
      <c r="AJ18" s="12">
        <v>43769</v>
      </c>
      <c r="AK18" s="12">
        <v>43799</v>
      </c>
      <c r="AL18" s="12">
        <v>43830</v>
      </c>
      <c r="AM18" s="12">
        <v>43861</v>
      </c>
      <c r="AN18" s="12">
        <v>43890</v>
      </c>
      <c r="AO18" s="12">
        <v>43921</v>
      </c>
      <c r="AP18" s="12">
        <v>43951</v>
      </c>
      <c r="AQ18" s="12">
        <v>43982</v>
      </c>
      <c r="AR18" s="12">
        <v>44012</v>
      </c>
      <c r="AS18" s="12">
        <v>44043</v>
      </c>
      <c r="AT18" s="12">
        <v>44074</v>
      </c>
      <c r="AU18" s="12">
        <v>44104</v>
      </c>
      <c r="AV18" s="12">
        <v>44135</v>
      </c>
      <c r="AW18" s="12">
        <v>44165</v>
      </c>
      <c r="AX18" s="12">
        <v>44196</v>
      </c>
      <c r="AY18" s="12">
        <v>44227</v>
      </c>
      <c r="AZ18" s="12">
        <v>44255</v>
      </c>
      <c r="BA18" s="12">
        <v>44286</v>
      </c>
      <c r="BB18" s="12">
        <v>44316</v>
      </c>
      <c r="BC18" s="12">
        <v>44347</v>
      </c>
      <c r="BD18" s="12">
        <v>44377</v>
      </c>
      <c r="BE18" s="12">
        <v>44408</v>
      </c>
      <c r="BF18" s="12">
        <v>44439</v>
      </c>
      <c r="BG18" s="12">
        <v>44469</v>
      </c>
      <c r="BH18" s="12">
        <v>44500</v>
      </c>
      <c r="BI18" s="12">
        <v>44530</v>
      </c>
      <c r="BJ18" s="12">
        <v>44561</v>
      </c>
      <c r="BK18" s="12">
        <v>44592</v>
      </c>
      <c r="BL18" s="12">
        <v>44620</v>
      </c>
      <c r="BM18" s="12">
        <v>44651</v>
      </c>
      <c r="BN18" s="12">
        <v>44681</v>
      </c>
      <c r="BO18" s="12">
        <v>44712</v>
      </c>
      <c r="BP18" s="12">
        <v>44742</v>
      </c>
      <c r="BQ18" s="12">
        <v>44773</v>
      </c>
      <c r="BR18" s="12">
        <v>44804</v>
      </c>
      <c r="BS18" s="12">
        <v>44834</v>
      </c>
      <c r="BT18" s="12">
        <v>44865</v>
      </c>
      <c r="BU18" s="12">
        <v>44895</v>
      </c>
      <c r="BV18" s="12">
        <v>44926</v>
      </c>
      <c r="BW18" s="12">
        <v>44957</v>
      </c>
      <c r="BX18" s="12">
        <v>44985</v>
      </c>
      <c r="BY18" s="12">
        <v>45016</v>
      </c>
      <c r="BZ18" s="12">
        <v>45046</v>
      </c>
      <c r="CA18" s="12">
        <v>45077</v>
      </c>
      <c r="CB18" s="12">
        <v>45107</v>
      </c>
      <c r="CC18" s="12">
        <v>45138</v>
      </c>
      <c r="CD18" s="12">
        <v>45169</v>
      </c>
      <c r="CE18" s="12">
        <v>45199</v>
      </c>
      <c r="CF18" s="12">
        <v>45230</v>
      </c>
      <c r="CG18" s="12">
        <v>45260</v>
      </c>
      <c r="CH18" s="12">
        <v>45291</v>
      </c>
      <c r="CI18" s="12">
        <v>45322</v>
      </c>
      <c r="CJ18" s="12">
        <v>45351</v>
      </c>
      <c r="CK18" s="12">
        <v>45382</v>
      </c>
      <c r="CL18" s="12">
        <v>45412</v>
      </c>
      <c r="CM18" s="12">
        <v>45443</v>
      </c>
      <c r="CN18" s="12">
        <v>45473</v>
      </c>
      <c r="CO18" s="12">
        <v>45504</v>
      </c>
      <c r="CP18" s="12">
        <v>45535</v>
      </c>
      <c r="CQ18" s="12">
        <v>45565</v>
      </c>
    </row>
    <row r="19" spans="1:95" x14ac:dyDescent="0.25">
      <c r="A19" s="5" t="s">
        <v>271</v>
      </c>
      <c r="C19" s="14">
        <f t="shared" ref="C19:AH19" si="2">C18</f>
        <v>42793</v>
      </c>
      <c r="D19" s="14">
        <f t="shared" si="2"/>
        <v>42794</v>
      </c>
      <c r="E19" s="14">
        <f t="shared" si="2"/>
        <v>42825</v>
      </c>
      <c r="F19" s="14">
        <f t="shared" si="2"/>
        <v>42855</v>
      </c>
      <c r="G19" s="14">
        <f t="shared" si="2"/>
        <v>42886</v>
      </c>
      <c r="H19" s="14">
        <f t="shared" si="2"/>
        <v>42916</v>
      </c>
      <c r="I19" s="14">
        <f t="shared" si="2"/>
        <v>42947</v>
      </c>
      <c r="J19" s="14">
        <f t="shared" si="2"/>
        <v>42978</v>
      </c>
      <c r="K19" s="14">
        <f t="shared" si="2"/>
        <v>43008</v>
      </c>
      <c r="L19" s="14">
        <f t="shared" si="2"/>
        <v>43039</v>
      </c>
      <c r="M19" s="14">
        <f t="shared" si="2"/>
        <v>43069</v>
      </c>
      <c r="N19" s="14">
        <f t="shared" si="2"/>
        <v>43100</v>
      </c>
      <c r="O19" s="14">
        <f t="shared" si="2"/>
        <v>43131</v>
      </c>
      <c r="P19" s="14">
        <f t="shared" si="2"/>
        <v>43159</v>
      </c>
      <c r="Q19" s="14">
        <f t="shared" si="2"/>
        <v>43190</v>
      </c>
      <c r="R19" s="14">
        <f t="shared" si="2"/>
        <v>43220</v>
      </c>
      <c r="S19" s="14">
        <f t="shared" si="2"/>
        <v>43251</v>
      </c>
      <c r="T19" s="14">
        <f t="shared" si="2"/>
        <v>43281</v>
      </c>
      <c r="U19" s="14">
        <f t="shared" si="2"/>
        <v>43312</v>
      </c>
      <c r="V19" s="14">
        <f t="shared" si="2"/>
        <v>43343</v>
      </c>
      <c r="W19" s="14">
        <f t="shared" si="2"/>
        <v>43373</v>
      </c>
      <c r="X19" s="14">
        <f t="shared" si="2"/>
        <v>43404</v>
      </c>
      <c r="Y19" s="14">
        <f t="shared" si="2"/>
        <v>43434</v>
      </c>
      <c r="Z19" s="14">
        <f t="shared" si="2"/>
        <v>43465</v>
      </c>
      <c r="AA19" s="14">
        <f t="shared" si="2"/>
        <v>43496</v>
      </c>
      <c r="AB19" s="14">
        <f t="shared" si="2"/>
        <v>43524</v>
      </c>
      <c r="AC19" s="14">
        <f t="shared" si="2"/>
        <v>43555</v>
      </c>
      <c r="AD19" s="14">
        <f t="shared" si="2"/>
        <v>43585</v>
      </c>
      <c r="AE19" s="14">
        <f t="shared" si="2"/>
        <v>43616</v>
      </c>
      <c r="AF19" s="14">
        <f t="shared" si="2"/>
        <v>43646</v>
      </c>
      <c r="AG19" s="14">
        <f t="shared" si="2"/>
        <v>43677</v>
      </c>
      <c r="AH19" s="14">
        <f t="shared" si="2"/>
        <v>43708</v>
      </c>
      <c r="AI19" s="14">
        <f t="shared" ref="AI19:BN19" si="3">AI18</f>
        <v>43738</v>
      </c>
      <c r="AJ19" s="14">
        <f t="shared" si="3"/>
        <v>43769</v>
      </c>
      <c r="AK19" s="14">
        <f t="shared" si="3"/>
        <v>43799</v>
      </c>
      <c r="AL19" s="14">
        <f t="shared" si="3"/>
        <v>43830</v>
      </c>
      <c r="AM19" s="14">
        <f t="shared" si="3"/>
        <v>43861</v>
      </c>
      <c r="AN19" s="14">
        <f t="shared" si="3"/>
        <v>43890</v>
      </c>
      <c r="AO19" s="14">
        <f t="shared" si="3"/>
        <v>43921</v>
      </c>
      <c r="AP19" s="14">
        <f t="shared" si="3"/>
        <v>43951</v>
      </c>
      <c r="AQ19" s="14">
        <f t="shared" si="3"/>
        <v>43982</v>
      </c>
      <c r="AR19" s="14">
        <f t="shared" si="3"/>
        <v>44012</v>
      </c>
      <c r="AS19" s="14">
        <f t="shared" si="3"/>
        <v>44043</v>
      </c>
      <c r="AT19" s="14">
        <f t="shared" si="3"/>
        <v>44074</v>
      </c>
      <c r="AU19" s="14">
        <f t="shared" si="3"/>
        <v>44104</v>
      </c>
      <c r="AV19" s="14">
        <f t="shared" si="3"/>
        <v>44135</v>
      </c>
      <c r="AW19" s="14">
        <f t="shared" si="3"/>
        <v>44165</v>
      </c>
      <c r="AX19" s="14">
        <f t="shared" si="3"/>
        <v>44196</v>
      </c>
      <c r="AY19" s="14">
        <f t="shared" si="3"/>
        <v>44227</v>
      </c>
      <c r="AZ19" s="14">
        <f t="shared" si="3"/>
        <v>44255</v>
      </c>
      <c r="BA19" s="14">
        <f t="shared" si="3"/>
        <v>44286</v>
      </c>
      <c r="BB19" s="14">
        <f t="shared" si="3"/>
        <v>44316</v>
      </c>
      <c r="BC19" s="14">
        <f t="shared" si="3"/>
        <v>44347</v>
      </c>
      <c r="BD19" s="14">
        <f t="shared" si="3"/>
        <v>44377</v>
      </c>
      <c r="BE19" s="14">
        <f t="shared" si="3"/>
        <v>44408</v>
      </c>
      <c r="BF19" s="14">
        <f t="shared" si="3"/>
        <v>44439</v>
      </c>
      <c r="BG19" s="14">
        <f t="shared" si="3"/>
        <v>44469</v>
      </c>
      <c r="BH19" s="14">
        <f t="shared" si="3"/>
        <v>44500</v>
      </c>
      <c r="BI19" s="14">
        <f t="shared" si="3"/>
        <v>44530</v>
      </c>
      <c r="BJ19" s="14">
        <f t="shared" si="3"/>
        <v>44561</v>
      </c>
      <c r="BK19" s="14">
        <f t="shared" si="3"/>
        <v>44592</v>
      </c>
      <c r="BL19" s="14">
        <f t="shared" si="3"/>
        <v>44620</v>
      </c>
      <c r="BM19" s="14">
        <f t="shared" si="3"/>
        <v>44651</v>
      </c>
      <c r="BN19" s="14">
        <f t="shared" si="3"/>
        <v>44681</v>
      </c>
      <c r="BO19" s="14">
        <f t="shared" ref="BO19:CQ19" si="4">BO18</f>
        <v>44712</v>
      </c>
      <c r="BP19" s="14">
        <f t="shared" si="4"/>
        <v>44742</v>
      </c>
      <c r="BQ19" s="14">
        <f t="shared" si="4"/>
        <v>44773</v>
      </c>
      <c r="BR19" s="14">
        <f t="shared" si="4"/>
        <v>44804</v>
      </c>
      <c r="BS19" s="14">
        <f t="shared" si="4"/>
        <v>44834</v>
      </c>
      <c r="BT19" s="14">
        <f t="shared" si="4"/>
        <v>44865</v>
      </c>
      <c r="BU19" s="14">
        <f t="shared" si="4"/>
        <v>44895</v>
      </c>
      <c r="BV19" s="14">
        <f t="shared" si="4"/>
        <v>44926</v>
      </c>
      <c r="BW19" s="14">
        <f t="shared" si="4"/>
        <v>44957</v>
      </c>
      <c r="BX19" s="14">
        <f t="shared" si="4"/>
        <v>44985</v>
      </c>
      <c r="BY19" s="14">
        <f t="shared" si="4"/>
        <v>45016</v>
      </c>
      <c r="BZ19" s="14">
        <f t="shared" si="4"/>
        <v>45046</v>
      </c>
      <c r="CA19" s="14">
        <f t="shared" si="4"/>
        <v>45077</v>
      </c>
      <c r="CB19" s="14">
        <f t="shared" si="4"/>
        <v>45107</v>
      </c>
      <c r="CC19" s="14">
        <f t="shared" si="4"/>
        <v>45138</v>
      </c>
      <c r="CD19" s="14">
        <f t="shared" si="4"/>
        <v>45169</v>
      </c>
      <c r="CE19" s="14">
        <f t="shared" si="4"/>
        <v>45199</v>
      </c>
      <c r="CF19" s="14">
        <f t="shared" si="4"/>
        <v>45230</v>
      </c>
      <c r="CG19" s="14">
        <f t="shared" si="4"/>
        <v>45260</v>
      </c>
      <c r="CH19" s="14">
        <f t="shared" si="4"/>
        <v>45291</v>
      </c>
      <c r="CI19" s="14">
        <f t="shared" si="4"/>
        <v>45322</v>
      </c>
      <c r="CJ19" s="14">
        <f t="shared" si="4"/>
        <v>45351</v>
      </c>
      <c r="CK19" s="14">
        <f t="shared" si="4"/>
        <v>45382</v>
      </c>
      <c r="CL19" s="14">
        <f t="shared" si="4"/>
        <v>45412</v>
      </c>
      <c r="CM19" s="14">
        <f t="shared" si="4"/>
        <v>45443</v>
      </c>
      <c r="CN19" s="14">
        <f t="shared" si="4"/>
        <v>45473</v>
      </c>
      <c r="CO19" s="14">
        <f t="shared" si="4"/>
        <v>45504</v>
      </c>
      <c r="CP19" s="14">
        <f t="shared" si="4"/>
        <v>45535</v>
      </c>
      <c r="CQ19" s="14">
        <f t="shared" si="4"/>
        <v>45565</v>
      </c>
    </row>
    <row r="20" spans="1:95" s="16" customFormat="1" ht="21" x14ac:dyDescent="0.25">
      <c r="A20" s="15"/>
      <c r="C20" s="17"/>
      <c r="D20" s="17">
        <v>42401</v>
      </c>
      <c r="E20" s="17">
        <v>42461</v>
      </c>
      <c r="F20" s="17">
        <v>42491</v>
      </c>
      <c r="G20" s="17">
        <v>42522</v>
      </c>
      <c r="H20" s="17">
        <v>42552</v>
      </c>
      <c r="I20" s="17">
        <v>42583</v>
      </c>
      <c r="J20" s="17">
        <v>42614</v>
      </c>
      <c r="K20" s="17">
        <v>42644</v>
      </c>
      <c r="L20" s="17">
        <v>42675</v>
      </c>
      <c r="M20" s="17">
        <v>42705</v>
      </c>
      <c r="N20" s="17">
        <v>42736</v>
      </c>
      <c r="O20" s="17">
        <v>42767</v>
      </c>
      <c r="P20" s="17">
        <v>42795</v>
      </c>
      <c r="Q20" s="17">
        <v>42826</v>
      </c>
      <c r="R20" s="17">
        <v>42856</v>
      </c>
      <c r="S20" s="17">
        <v>42887</v>
      </c>
      <c r="T20" s="17">
        <v>42917</v>
      </c>
      <c r="U20" s="17">
        <v>42948</v>
      </c>
      <c r="V20" s="17">
        <v>42979</v>
      </c>
      <c r="W20" s="17">
        <v>43009</v>
      </c>
      <c r="X20" s="17">
        <v>43040</v>
      </c>
      <c r="Y20" s="17">
        <v>43070</v>
      </c>
      <c r="Z20" s="17">
        <v>43101</v>
      </c>
      <c r="AA20" s="17">
        <v>43132</v>
      </c>
      <c r="AB20" s="17">
        <v>43160</v>
      </c>
      <c r="AC20" s="17">
        <v>43191</v>
      </c>
      <c r="AD20" s="17">
        <v>43221</v>
      </c>
      <c r="AE20" s="17">
        <v>43252</v>
      </c>
      <c r="AF20" s="17">
        <v>43282</v>
      </c>
      <c r="AG20" s="17">
        <v>43313</v>
      </c>
      <c r="AH20" s="17">
        <v>43344</v>
      </c>
      <c r="AI20" s="17">
        <v>43374</v>
      </c>
      <c r="AJ20" s="17">
        <v>43405</v>
      </c>
      <c r="AK20" s="17">
        <v>43435</v>
      </c>
      <c r="AL20" s="17">
        <v>43466</v>
      </c>
      <c r="AM20" s="17">
        <v>43497</v>
      </c>
      <c r="AN20" s="17">
        <v>43525</v>
      </c>
      <c r="AO20" s="17">
        <v>43556</v>
      </c>
      <c r="AP20" s="17">
        <v>43586</v>
      </c>
      <c r="AQ20" s="17">
        <v>43617</v>
      </c>
      <c r="AR20" s="17">
        <v>43647</v>
      </c>
      <c r="AS20" s="17">
        <v>43678</v>
      </c>
      <c r="AT20" s="17">
        <v>43709</v>
      </c>
      <c r="AU20" s="17">
        <v>43739</v>
      </c>
      <c r="AV20" s="17">
        <v>43770</v>
      </c>
      <c r="AW20" s="17">
        <v>43800</v>
      </c>
      <c r="AX20" s="17">
        <v>43831</v>
      </c>
      <c r="AY20" s="17">
        <v>43862</v>
      </c>
      <c r="AZ20" s="17">
        <v>43891</v>
      </c>
      <c r="BA20" s="17">
        <v>43922</v>
      </c>
      <c r="BB20" s="17">
        <v>43952</v>
      </c>
      <c r="BC20" s="17">
        <v>43983</v>
      </c>
      <c r="BD20" s="17">
        <v>44013</v>
      </c>
      <c r="BE20" s="17">
        <v>44044</v>
      </c>
      <c r="BF20" s="17">
        <v>44075</v>
      </c>
      <c r="BG20" s="17">
        <v>44105</v>
      </c>
      <c r="BH20" s="17">
        <v>44136</v>
      </c>
      <c r="BI20" s="17">
        <v>44166</v>
      </c>
      <c r="BJ20" s="17">
        <v>44197</v>
      </c>
      <c r="BK20" s="17">
        <v>44228</v>
      </c>
      <c r="BL20" s="17">
        <v>44256</v>
      </c>
      <c r="BM20" s="17">
        <v>44287</v>
      </c>
      <c r="BN20" s="17">
        <v>44317</v>
      </c>
      <c r="BO20" s="17">
        <v>44348</v>
      </c>
      <c r="BP20" s="17">
        <v>44378</v>
      </c>
      <c r="BQ20" s="17">
        <v>44409</v>
      </c>
      <c r="BR20" s="17">
        <v>44440</v>
      </c>
      <c r="BS20" s="17">
        <v>44470</v>
      </c>
      <c r="BT20" s="17">
        <v>44501</v>
      </c>
      <c r="BU20" s="17">
        <v>44531</v>
      </c>
      <c r="BV20" s="17">
        <v>44562</v>
      </c>
      <c r="BW20" s="17">
        <v>44593</v>
      </c>
      <c r="BX20" s="17">
        <v>44621</v>
      </c>
      <c r="BY20" s="17">
        <v>44652</v>
      </c>
      <c r="BZ20" s="17">
        <v>44682</v>
      </c>
      <c r="CA20" s="17">
        <v>44713</v>
      </c>
      <c r="CB20" s="17">
        <v>44743</v>
      </c>
      <c r="CC20" s="17">
        <v>44774</v>
      </c>
      <c r="CD20" s="17">
        <v>44805</v>
      </c>
      <c r="CE20" s="17">
        <v>44835</v>
      </c>
      <c r="CF20" s="17">
        <v>44866</v>
      </c>
      <c r="CG20" s="17">
        <v>44896</v>
      </c>
      <c r="CH20" s="17">
        <v>44927</v>
      </c>
      <c r="CI20" s="17">
        <v>44958</v>
      </c>
      <c r="CJ20" s="17">
        <v>44986</v>
      </c>
      <c r="CK20" s="17">
        <v>45017</v>
      </c>
      <c r="CL20" s="17">
        <v>45047</v>
      </c>
      <c r="CM20" s="17">
        <v>45078</v>
      </c>
      <c r="CN20" s="17">
        <v>45108</v>
      </c>
      <c r="CO20" s="17">
        <v>45139</v>
      </c>
      <c r="CP20" s="17">
        <v>45170</v>
      </c>
      <c r="CQ20" s="17">
        <v>45200</v>
      </c>
    </row>
    <row r="21" spans="1:95" x14ac:dyDescent="0.25">
      <c r="A21" s="5"/>
      <c r="C21" s="1" t="s">
        <v>390</v>
      </c>
      <c r="D21" s="1" t="s">
        <v>391</v>
      </c>
      <c r="E21" s="1" t="s">
        <v>392</v>
      </c>
      <c r="F21" s="1" t="s">
        <v>393</v>
      </c>
      <c r="G21" s="1" t="s">
        <v>394</v>
      </c>
      <c r="H21" s="1" t="s">
        <v>395</v>
      </c>
      <c r="I21" s="1" t="s">
        <v>396</v>
      </c>
      <c r="J21" s="1" t="s">
        <v>397</v>
      </c>
      <c r="K21" s="1" t="s">
        <v>398</v>
      </c>
      <c r="L21" s="1" t="s">
        <v>399</v>
      </c>
      <c r="M21" s="1" t="s">
        <v>400</v>
      </c>
      <c r="N21" s="1" t="s">
        <v>401</v>
      </c>
      <c r="O21" s="1" t="s">
        <v>402</v>
      </c>
      <c r="P21" s="1" t="s">
        <v>403</v>
      </c>
      <c r="Q21" s="1" t="s">
        <v>404</v>
      </c>
      <c r="R21" s="1" t="s">
        <v>405</v>
      </c>
      <c r="S21" s="1" t="s">
        <v>406</v>
      </c>
      <c r="T21" s="1" t="s">
        <v>407</v>
      </c>
      <c r="U21" s="1" t="s">
        <v>408</v>
      </c>
      <c r="V21" s="1" t="s">
        <v>409</v>
      </c>
      <c r="W21" s="1" t="s">
        <v>410</v>
      </c>
      <c r="X21" s="1" t="s">
        <v>411</v>
      </c>
      <c r="Y21" s="1" t="s">
        <v>412</v>
      </c>
      <c r="Z21" s="1" t="s">
        <v>413</v>
      </c>
      <c r="AA21" s="1" t="s">
        <v>414</v>
      </c>
      <c r="AB21" s="1" t="s">
        <v>415</v>
      </c>
      <c r="AC21" s="1" t="s">
        <v>416</v>
      </c>
      <c r="AD21" s="1" t="s">
        <v>417</v>
      </c>
      <c r="AE21" s="1" t="s">
        <v>418</v>
      </c>
      <c r="AF21" s="1" t="s">
        <v>419</v>
      </c>
      <c r="AG21" s="1" t="s">
        <v>420</v>
      </c>
      <c r="AH21" s="1" t="s">
        <v>421</v>
      </c>
      <c r="AI21" s="1" t="s">
        <v>422</v>
      </c>
      <c r="AJ21" s="1" t="s">
        <v>423</v>
      </c>
      <c r="AK21" s="1" t="s">
        <v>424</v>
      </c>
      <c r="AL21" s="1" t="s">
        <v>425</v>
      </c>
      <c r="AM21" s="1" t="s">
        <v>426</v>
      </c>
      <c r="AN21" s="1" t="s">
        <v>427</v>
      </c>
      <c r="AO21" s="1" t="s">
        <v>428</v>
      </c>
      <c r="AP21" s="1" t="s">
        <v>429</v>
      </c>
      <c r="AQ21" s="1" t="s">
        <v>430</v>
      </c>
      <c r="AR21" s="1" t="s">
        <v>431</v>
      </c>
      <c r="AS21" s="1" t="s">
        <v>432</v>
      </c>
      <c r="AT21" s="1" t="s">
        <v>433</v>
      </c>
      <c r="AU21" s="1" t="s">
        <v>434</v>
      </c>
      <c r="AV21" s="1" t="s">
        <v>435</v>
      </c>
      <c r="AW21" s="1" t="s">
        <v>436</v>
      </c>
      <c r="AX21" s="1" t="s">
        <v>437</v>
      </c>
      <c r="AY21" s="1" t="s">
        <v>438</v>
      </c>
      <c r="AZ21" s="1" t="s">
        <v>439</v>
      </c>
      <c r="BA21" s="1" t="s">
        <v>440</v>
      </c>
      <c r="BB21" s="1" t="s">
        <v>441</v>
      </c>
      <c r="BC21" s="1" t="s">
        <v>442</v>
      </c>
      <c r="BD21" s="1" t="s">
        <v>443</v>
      </c>
      <c r="BE21" s="1" t="s">
        <v>444</v>
      </c>
      <c r="BF21" s="1" t="s">
        <v>445</v>
      </c>
      <c r="BG21" s="1" t="s">
        <v>446</v>
      </c>
      <c r="BH21" s="1" t="s">
        <v>447</v>
      </c>
      <c r="BI21" s="1" t="s">
        <v>448</v>
      </c>
      <c r="BJ21" s="1" t="s">
        <v>449</v>
      </c>
      <c r="BK21" s="1" t="s">
        <v>450</v>
      </c>
      <c r="BL21" s="1" t="s">
        <v>451</v>
      </c>
      <c r="BM21" s="1" t="s">
        <v>452</v>
      </c>
      <c r="BN21" s="1" t="s">
        <v>453</v>
      </c>
      <c r="BO21" s="1" t="s">
        <v>454</v>
      </c>
      <c r="BP21" s="1" t="s">
        <v>455</v>
      </c>
      <c r="BQ21" s="1" t="s">
        <v>456</v>
      </c>
      <c r="BR21" s="1" t="s">
        <v>457</v>
      </c>
      <c r="BS21" s="1" t="s">
        <v>458</v>
      </c>
      <c r="BT21" s="1" t="s">
        <v>459</v>
      </c>
      <c r="BU21" s="1" t="s">
        <v>460</v>
      </c>
      <c r="BV21" s="1" t="s">
        <v>461</v>
      </c>
      <c r="BW21" s="1" t="s">
        <v>462</v>
      </c>
      <c r="BX21" s="1" t="s">
        <v>463</v>
      </c>
      <c r="BY21" s="1" t="s">
        <v>464</v>
      </c>
      <c r="BZ21" s="1" t="s">
        <v>465</v>
      </c>
      <c r="CA21" s="1" t="s">
        <v>466</v>
      </c>
      <c r="CB21" s="1" t="s">
        <v>467</v>
      </c>
      <c r="CC21" s="1" t="s">
        <v>468</v>
      </c>
      <c r="CD21" s="1" t="s">
        <v>469</v>
      </c>
      <c r="CE21" s="1" t="s">
        <v>470</v>
      </c>
      <c r="CF21" s="1" t="s">
        <v>471</v>
      </c>
      <c r="CG21" s="1" t="s">
        <v>472</v>
      </c>
      <c r="CH21" s="1" t="s">
        <v>473</v>
      </c>
      <c r="CI21" s="1" t="s">
        <v>474</v>
      </c>
      <c r="CJ21" s="1" t="s">
        <v>475</v>
      </c>
      <c r="CK21" s="1" t="s">
        <v>476</v>
      </c>
      <c r="CL21" s="1" t="s">
        <v>477</v>
      </c>
      <c r="CM21" s="1" t="s">
        <v>478</v>
      </c>
      <c r="CN21" s="1" t="s">
        <v>479</v>
      </c>
      <c r="CO21" s="1" t="s">
        <v>480</v>
      </c>
      <c r="CP21" s="1" t="s">
        <v>481</v>
      </c>
      <c r="CQ21" s="1" t="s">
        <v>482</v>
      </c>
    </row>
    <row r="23" spans="1:95" s="224" customFormat="1" x14ac:dyDescent="0.25">
      <c r="A23" s="225" t="s">
        <v>279</v>
      </c>
      <c r="C23" s="224" t="s">
        <v>273</v>
      </c>
      <c r="D23" s="224" t="s">
        <v>274</v>
      </c>
      <c r="E23" s="224" t="s">
        <v>275</v>
      </c>
      <c r="F23" s="224" t="s">
        <v>276</v>
      </c>
      <c r="G23" s="224" t="s">
        <v>277</v>
      </c>
      <c r="H23" s="224" t="s">
        <v>278</v>
      </c>
      <c r="I23" s="224" t="s">
        <v>349</v>
      </c>
    </row>
    <row r="25" spans="1:95" x14ac:dyDescent="0.25">
      <c r="A25" s="5" t="s">
        <v>302</v>
      </c>
      <c r="B25" s="7"/>
      <c r="C25" s="1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>
        <v>10</v>
      </c>
      <c r="N25" s="1" t="s">
        <v>307</v>
      </c>
    </row>
    <row r="27" spans="1:95" x14ac:dyDescent="0.25">
      <c r="A27" s="5" t="s">
        <v>303</v>
      </c>
      <c r="C27" s="1" t="s">
        <v>285</v>
      </c>
      <c r="D27" s="1" t="s">
        <v>286</v>
      </c>
      <c r="E27" s="1" t="s">
        <v>287</v>
      </c>
      <c r="F27" s="1" t="s">
        <v>288</v>
      </c>
      <c r="G27" s="1" t="s">
        <v>289</v>
      </c>
      <c r="H27" s="1" t="s">
        <v>290</v>
      </c>
      <c r="I27" s="1" t="s">
        <v>291</v>
      </c>
      <c r="J27" s="1" t="s">
        <v>292</v>
      </c>
      <c r="K27" s="1" t="s">
        <v>293</v>
      </c>
      <c r="L27" s="1" t="s">
        <v>294</v>
      </c>
      <c r="M27" s="1" t="s">
        <v>295</v>
      </c>
      <c r="N27" s="1" t="s">
        <v>296</v>
      </c>
      <c r="O27" s="1" t="s">
        <v>297</v>
      </c>
    </row>
    <row r="28" spans="1:95" x14ac:dyDescent="0.25">
      <c r="A28" s="5"/>
      <c r="C28" s="1" t="s">
        <v>361</v>
      </c>
      <c r="D28" s="1" t="s">
        <v>362</v>
      </c>
      <c r="E28" s="1" t="s">
        <v>363</v>
      </c>
      <c r="F28" s="1" t="s">
        <v>364</v>
      </c>
      <c r="G28" s="1" t="s">
        <v>307</v>
      </c>
      <c r="H28" s="1" t="s">
        <v>349</v>
      </c>
    </row>
    <row r="29" spans="1:95" x14ac:dyDescent="0.25">
      <c r="A29" s="5" t="s">
        <v>301</v>
      </c>
      <c r="C29" s="1" t="s">
        <v>298</v>
      </c>
      <c r="D29" s="1" t="s">
        <v>34</v>
      </c>
      <c r="E29" s="1" t="s">
        <v>26</v>
      </c>
      <c r="F29" s="1" t="s">
        <v>24</v>
      </c>
      <c r="G29" s="1" t="s">
        <v>299</v>
      </c>
      <c r="H29" s="1" t="s">
        <v>300</v>
      </c>
      <c r="I29" s="1" t="s">
        <v>77</v>
      </c>
    </row>
    <row r="30" spans="1:95" x14ac:dyDescent="0.25">
      <c r="A30" s="5" t="s">
        <v>328</v>
      </c>
      <c r="C30" s="1" t="s">
        <v>304</v>
      </c>
      <c r="D30" s="1" t="s">
        <v>305</v>
      </c>
      <c r="E30" s="1" t="s">
        <v>306</v>
      </c>
      <c r="F30" s="1" t="s">
        <v>330</v>
      </c>
      <c r="G30" s="1" t="s">
        <v>334</v>
      </c>
      <c r="H30" s="1" t="s">
        <v>331</v>
      </c>
      <c r="I30" s="1" t="s">
        <v>333</v>
      </c>
      <c r="J30" s="1" t="s">
        <v>332</v>
      </c>
      <c r="K30" s="1" t="s">
        <v>337</v>
      </c>
      <c r="L30" s="1" t="s">
        <v>335</v>
      </c>
      <c r="M30" s="1" t="s">
        <v>336</v>
      </c>
      <c r="N30" s="1" t="s">
        <v>329</v>
      </c>
    </row>
    <row r="31" spans="1:95" x14ac:dyDescent="0.25">
      <c r="A31" s="5" t="s">
        <v>313</v>
      </c>
      <c r="C31" s="1" t="s">
        <v>108</v>
      </c>
      <c r="D31" s="1" t="s">
        <v>308</v>
      </c>
      <c r="E31" s="1" t="s">
        <v>314</v>
      </c>
      <c r="F31" s="1" t="s">
        <v>315</v>
      </c>
      <c r="G31" s="1" t="s">
        <v>316</v>
      </c>
      <c r="H31" s="1" t="s">
        <v>317</v>
      </c>
      <c r="I31" s="1" t="s">
        <v>318</v>
      </c>
      <c r="J31" s="1" t="s">
        <v>319</v>
      </c>
      <c r="K31" s="1" t="s">
        <v>320</v>
      </c>
      <c r="L31" s="1" t="s">
        <v>321</v>
      </c>
      <c r="M31" s="1" t="s">
        <v>322</v>
      </c>
      <c r="N31" s="1" t="s">
        <v>323</v>
      </c>
      <c r="O31" s="1" t="s">
        <v>326</v>
      </c>
      <c r="P31" s="1" t="s">
        <v>324</v>
      </c>
      <c r="Q31" s="1" t="s">
        <v>325</v>
      </c>
      <c r="R31" s="1" t="s">
        <v>327</v>
      </c>
      <c r="S31" s="1" t="s">
        <v>330</v>
      </c>
      <c r="T31" s="1" t="s">
        <v>309</v>
      </c>
      <c r="U31" s="1" t="s">
        <v>307</v>
      </c>
      <c r="V31" s="1" t="s">
        <v>349</v>
      </c>
    </row>
    <row r="32" spans="1:95" x14ac:dyDescent="0.25">
      <c r="A32" s="5"/>
      <c r="C32" s="1" t="s">
        <v>343</v>
      </c>
      <c r="D32" s="1" t="s">
        <v>365</v>
      </c>
      <c r="E32" s="1" t="s">
        <v>307</v>
      </c>
      <c r="F32" s="1" t="s">
        <v>349</v>
      </c>
    </row>
    <row r="33" spans="1:37" x14ac:dyDescent="0.25">
      <c r="A33" s="5" t="s">
        <v>341</v>
      </c>
      <c r="C33" s="1" t="s">
        <v>350</v>
      </c>
      <c r="D33" s="1" t="s">
        <v>351</v>
      </c>
      <c r="E33" s="1" t="s">
        <v>307</v>
      </c>
    </row>
    <row r="34" spans="1:37" x14ac:dyDescent="0.25">
      <c r="A34" s="5" t="s">
        <v>342</v>
      </c>
      <c r="C34" s="1" t="s">
        <v>483</v>
      </c>
      <c r="D34" s="1" t="s">
        <v>350</v>
      </c>
      <c r="E34" s="1" t="s">
        <v>376</v>
      </c>
      <c r="F34" s="1" t="s">
        <v>1373</v>
      </c>
      <c r="G34" s="1" t="s">
        <v>377</v>
      </c>
      <c r="H34" s="1" t="s">
        <v>351</v>
      </c>
      <c r="I34" s="1" t="s">
        <v>307</v>
      </c>
    </row>
    <row r="35" spans="1:37" x14ac:dyDescent="0.25">
      <c r="A35" s="5" t="s">
        <v>172</v>
      </c>
      <c r="C35" s="1" t="s">
        <v>356</v>
      </c>
      <c r="D35" s="1" t="s">
        <v>359</v>
      </c>
      <c r="E35" s="1" t="s">
        <v>357</v>
      </c>
      <c r="F35" s="1" t="s">
        <v>358</v>
      </c>
      <c r="G35" s="1" t="s">
        <v>355</v>
      </c>
      <c r="H35" s="1" t="s">
        <v>1374</v>
      </c>
      <c r="I35" s="1" t="s">
        <v>360</v>
      </c>
      <c r="J35" s="1" t="s">
        <v>353</v>
      </c>
      <c r="K35" s="1" t="s">
        <v>354</v>
      </c>
      <c r="L35" s="1" t="s">
        <v>307</v>
      </c>
      <c r="M35" s="1" t="s">
        <v>349</v>
      </c>
    </row>
    <row r="36" spans="1:37" ht="31.5" x14ac:dyDescent="0.25">
      <c r="A36" s="5" t="s">
        <v>366</v>
      </c>
      <c r="C36" s="1" t="s">
        <v>35</v>
      </c>
      <c r="D36" s="1" t="s">
        <v>367</v>
      </c>
      <c r="E36" s="1" t="s">
        <v>374</v>
      </c>
      <c r="F36" s="1" t="s">
        <v>368</v>
      </c>
      <c r="G36" s="1" t="s">
        <v>369</v>
      </c>
      <c r="H36" s="1" t="s">
        <v>370</v>
      </c>
      <c r="I36" s="1" t="s">
        <v>371</v>
      </c>
      <c r="J36" s="10" t="s">
        <v>372</v>
      </c>
      <c r="K36" s="10" t="s">
        <v>375</v>
      </c>
      <c r="L36" s="1" t="s">
        <v>373</v>
      </c>
      <c r="M36" s="1" t="s">
        <v>365</v>
      </c>
      <c r="N36" s="1" t="s">
        <v>307</v>
      </c>
      <c r="O36" s="1" t="s">
        <v>349</v>
      </c>
    </row>
    <row r="37" spans="1:37" x14ac:dyDescent="0.25">
      <c r="A37" s="5" t="s">
        <v>347</v>
      </c>
      <c r="C37" s="1" t="s">
        <v>350</v>
      </c>
      <c r="D37" s="1" t="s">
        <v>351</v>
      </c>
      <c r="E37" s="1" t="s">
        <v>380</v>
      </c>
      <c r="F37" s="1" t="s">
        <v>379</v>
      </c>
      <c r="G37" s="1" t="s">
        <v>381</v>
      </c>
      <c r="H37" s="1" t="s">
        <v>307</v>
      </c>
      <c r="I37" s="1" t="s">
        <v>349</v>
      </c>
    </row>
    <row r="38" spans="1:37" x14ac:dyDescent="0.25">
      <c r="A38" s="5" t="s">
        <v>348</v>
      </c>
      <c r="C38" s="1" t="s">
        <v>350</v>
      </c>
      <c r="D38" s="1" t="s">
        <v>351</v>
      </c>
      <c r="E38" s="1" t="s">
        <v>380</v>
      </c>
      <c r="F38" s="1" t="s">
        <v>379</v>
      </c>
      <c r="G38" s="1" t="s">
        <v>381</v>
      </c>
      <c r="H38" s="1" t="s">
        <v>307</v>
      </c>
      <c r="I38" s="1" t="s">
        <v>349</v>
      </c>
    </row>
    <row r="39" spans="1:37" x14ac:dyDescent="0.25">
      <c r="A39" s="5" t="s">
        <v>383</v>
      </c>
      <c r="C39" s="1" t="s">
        <v>351</v>
      </c>
      <c r="D39" s="1" t="s">
        <v>384</v>
      </c>
      <c r="E39" s="1" t="s">
        <v>386</v>
      </c>
      <c r="F39" s="1" t="s">
        <v>387</v>
      </c>
      <c r="G39" s="1" t="s">
        <v>388</v>
      </c>
      <c r="H39" s="1" t="s">
        <v>385</v>
      </c>
      <c r="I39" s="1" t="s">
        <v>307</v>
      </c>
      <c r="J39" s="1" t="s">
        <v>349</v>
      </c>
    </row>
    <row r="41" spans="1:37" x14ac:dyDescent="0.25">
      <c r="A41" s="5" t="s">
        <v>495</v>
      </c>
      <c r="B41" s="7"/>
      <c r="C41" s="1">
        <v>0</v>
      </c>
      <c r="D41" s="1">
        <v>1</v>
      </c>
      <c r="E41" s="1">
        <v>2</v>
      </c>
      <c r="F41" s="1">
        <v>3</v>
      </c>
      <c r="G41" s="1">
        <v>4</v>
      </c>
      <c r="H41" s="1">
        <v>5</v>
      </c>
      <c r="I41" s="1">
        <v>6</v>
      </c>
      <c r="J41" s="1">
        <v>7</v>
      </c>
      <c r="K41" s="1">
        <v>8</v>
      </c>
      <c r="L41" s="1">
        <v>9</v>
      </c>
      <c r="M41" s="1">
        <v>10</v>
      </c>
      <c r="N41" s="1">
        <v>11</v>
      </c>
      <c r="O41" s="1">
        <v>12</v>
      </c>
    </row>
    <row r="43" spans="1:37" x14ac:dyDescent="0.25">
      <c r="A43" s="5" t="s">
        <v>504</v>
      </c>
      <c r="C43" s="1" t="s">
        <v>513</v>
      </c>
      <c r="D43" s="1" t="s">
        <v>515</v>
      </c>
      <c r="E43" s="1" t="s">
        <v>514</v>
      </c>
      <c r="F43" s="1" t="s">
        <v>506</v>
      </c>
    </row>
    <row r="45" spans="1:37" x14ac:dyDescent="0.25">
      <c r="A45" s="5" t="s">
        <v>512</v>
      </c>
      <c r="B45" s="7"/>
      <c r="C45" s="1">
        <v>2016</v>
      </c>
      <c r="D45" s="1">
        <v>2017</v>
      </c>
      <c r="E45" s="1">
        <v>2018</v>
      </c>
      <c r="F45" s="1">
        <v>2019</v>
      </c>
      <c r="G45" s="1">
        <v>2020</v>
      </c>
      <c r="H45" s="1">
        <v>2021</v>
      </c>
      <c r="I45" s="1">
        <v>2022</v>
      </c>
      <c r="J45" s="1">
        <v>2023</v>
      </c>
      <c r="K45" s="1">
        <v>2024</v>
      </c>
      <c r="L45" s="1">
        <v>2025</v>
      </c>
      <c r="Q45" s="1">
        <v>2032</v>
      </c>
      <c r="R45" s="1">
        <v>2033</v>
      </c>
      <c r="S45" s="1">
        <v>2034</v>
      </c>
      <c r="T45" s="1">
        <v>2014</v>
      </c>
      <c r="U45" s="1">
        <v>2015</v>
      </c>
      <c r="AF45" s="1">
        <v>2026</v>
      </c>
      <c r="AG45" s="1">
        <v>2027</v>
      </c>
      <c r="AH45" s="1">
        <v>2028</v>
      </c>
      <c r="AI45" s="1">
        <v>2029</v>
      </c>
      <c r="AJ45" s="1">
        <v>2030</v>
      </c>
      <c r="AK45" s="1">
        <v>2031</v>
      </c>
    </row>
    <row r="46" spans="1:37" x14ac:dyDescent="0.25">
      <c r="C46" s="18">
        <v>41640</v>
      </c>
      <c r="D46" s="18">
        <v>42005</v>
      </c>
      <c r="E46" s="18">
        <v>42370</v>
      </c>
      <c r="F46" s="18">
        <v>42736</v>
      </c>
      <c r="G46" s="18">
        <v>43101</v>
      </c>
      <c r="H46" s="18">
        <v>43466</v>
      </c>
      <c r="I46" s="18">
        <v>43831</v>
      </c>
      <c r="J46" s="18">
        <v>44197</v>
      </c>
      <c r="K46" s="18">
        <v>44562</v>
      </c>
      <c r="L46" s="18">
        <v>44927</v>
      </c>
      <c r="T46" s="18">
        <v>40909</v>
      </c>
      <c r="U46" s="18">
        <v>41275</v>
      </c>
      <c r="AF46" s="18">
        <v>45292</v>
      </c>
      <c r="AG46" s="18">
        <v>45658</v>
      </c>
      <c r="AH46" s="18">
        <v>46023</v>
      </c>
      <c r="AI46" s="18">
        <v>46388</v>
      </c>
    </row>
    <row r="47" spans="1:37" x14ac:dyDescent="0.25">
      <c r="C47" s="13">
        <v>41639.933333333298</v>
      </c>
      <c r="D47" s="13">
        <v>42005.166666666701</v>
      </c>
      <c r="E47" s="13">
        <v>42370</v>
      </c>
      <c r="F47" s="13">
        <v>42736</v>
      </c>
      <c r="G47" s="13">
        <v>43101</v>
      </c>
      <c r="H47" s="13">
        <v>43466</v>
      </c>
      <c r="I47" s="13">
        <v>43831</v>
      </c>
      <c r="J47" s="13">
        <v>44197</v>
      </c>
      <c r="K47" s="13">
        <v>44562</v>
      </c>
      <c r="L47" s="13">
        <v>44927</v>
      </c>
      <c r="T47" s="13">
        <v>40909.466666666704</v>
      </c>
      <c r="U47" s="13">
        <v>41274.699999999997</v>
      </c>
      <c r="AF47" s="13">
        <v>45292</v>
      </c>
      <c r="AG47" s="13">
        <v>45658</v>
      </c>
      <c r="AH47" s="13">
        <v>46023</v>
      </c>
      <c r="AI47" s="13">
        <v>46388</v>
      </c>
    </row>
    <row r="49" spans="1:407" x14ac:dyDescent="0.25">
      <c r="A49" s="5" t="s">
        <v>545</v>
      </c>
      <c r="B49" s="7"/>
      <c r="C49" s="1" t="s">
        <v>547</v>
      </c>
      <c r="D49" s="1" t="s">
        <v>546</v>
      </c>
    </row>
    <row r="51" spans="1:407" x14ac:dyDescent="0.25">
      <c r="A51" s="5" t="s">
        <v>907</v>
      </c>
      <c r="B51" s="7"/>
      <c r="C51" s="1" t="s">
        <v>548</v>
      </c>
      <c r="D51" s="1" t="s">
        <v>238</v>
      </c>
      <c r="E51" s="1" t="s">
        <v>549</v>
      </c>
      <c r="F51" s="1" t="s">
        <v>550</v>
      </c>
      <c r="G51" s="1" t="s">
        <v>551</v>
      </c>
      <c r="H51" s="1" t="s">
        <v>552</v>
      </c>
      <c r="I51" s="1" t="s">
        <v>553</v>
      </c>
      <c r="J51" s="1" t="s">
        <v>554</v>
      </c>
      <c r="K51" s="1" t="s">
        <v>555</v>
      </c>
      <c r="L51" s="1" t="s">
        <v>556</v>
      </c>
      <c r="M51" s="1" t="s">
        <v>557</v>
      </c>
      <c r="N51" s="1" t="s">
        <v>527</v>
      </c>
      <c r="O51" s="1" t="s">
        <v>558</v>
      </c>
      <c r="P51" s="1" t="s">
        <v>559</v>
      </c>
      <c r="Q51" s="1" t="s">
        <v>560</v>
      </c>
      <c r="R51" s="1" t="s">
        <v>561</v>
      </c>
      <c r="S51" s="1" t="s">
        <v>528</v>
      </c>
      <c r="T51" s="1" t="s">
        <v>562</v>
      </c>
      <c r="U51" s="1" t="s">
        <v>563</v>
      </c>
      <c r="V51" s="1" t="s">
        <v>240</v>
      </c>
      <c r="W51" s="1" t="s">
        <v>564</v>
      </c>
      <c r="X51" s="1" t="s">
        <v>531</v>
      </c>
      <c r="Y51" s="1" t="s">
        <v>565</v>
      </c>
      <c r="Z51" s="1" t="s">
        <v>566</v>
      </c>
      <c r="AA51" s="1" t="s">
        <v>567</v>
      </c>
      <c r="AB51" s="1" t="s">
        <v>568</v>
      </c>
      <c r="AC51" s="1" t="s">
        <v>569</v>
      </c>
      <c r="AD51" s="1" t="s">
        <v>570</v>
      </c>
      <c r="AE51" s="1" t="s">
        <v>248</v>
      </c>
      <c r="AF51" s="1" t="s">
        <v>571</v>
      </c>
      <c r="AG51" s="1" t="s">
        <v>572</v>
      </c>
      <c r="AH51" s="1" t="s">
        <v>573</v>
      </c>
      <c r="AI51" s="1" t="s">
        <v>574</v>
      </c>
      <c r="AJ51" s="1" t="s">
        <v>575</v>
      </c>
      <c r="AK51" s="1" t="s">
        <v>576</v>
      </c>
      <c r="AL51" s="1" t="s">
        <v>577</v>
      </c>
      <c r="AM51" s="1" t="s">
        <v>578</v>
      </c>
      <c r="AN51" s="1" t="s">
        <v>579</v>
      </c>
      <c r="AO51" s="1" t="s">
        <v>580</v>
      </c>
      <c r="AP51" s="1" t="s">
        <v>581</v>
      </c>
      <c r="AQ51" s="1" t="s">
        <v>582</v>
      </c>
      <c r="AR51" s="1" t="s">
        <v>583</v>
      </c>
      <c r="AS51" s="1" t="s">
        <v>584</v>
      </c>
      <c r="AT51" s="1" t="s">
        <v>585</v>
      </c>
      <c r="AU51" s="1" t="s">
        <v>586</v>
      </c>
      <c r="AV51" s="1" t="s">
        <v>587</v>
      </c>
      <c r="AW51" s="1" t="s">
        <v>588</v>
      </c>
      <c r="AX51" s="1" t="s">
        <v>589</v>
      </c>
      <c r="AY51" s="1" t="s">
        <v>590</v>
      </c>
      <c r="AZ51" s="1" t="s">
        <v>243</v>
      </c>
      <c r="BA51" s="1" t="s">
        <v>591</v>
      </c>
      <c r="BB51" s="1" t="s">
        <v>592</v>
      </c>
      <c r="BC51" s="1" t="s">
        <v>593</v>
      </c>
      <c r="BD51" s="1" t="s">
        <v>594</v>
      </c>
      <c r="BE51" s="1" t="s">
        <v>595</v>
      </c>
      <c r="BF51" s="1" t="s">
        <v>596</v>
      </c>
      <c r="BG51" s="1" t="s">
        <v>597</v>
      </c>
      <c r="BH51" s="1" t="s">
        <v>529</v>
      </c>
      <c r="BI51" s="1" t="s">
        <v>598</v>
      </c>
      <c r="BJ51" s="1" t="s">
        <v>599</v>
      </c>
      <c r="BK51" s="1" t="s">
        <v>600</v>
      </c>
      <c r="BL51" s="1" t="s">
        <v>237</v>
      </c>
      <c r="BM51" s="1" t="s">
        <v>128</v>
      </c>
      <c r="BN51" s="1" t="s">
        <v>114</v>
      </c>
      <c r="BO51" s="1" t="s">
        <v>520</v>
      </c>
      <c r="BP51" s="1" t="s">
        <v>109</v>
      </c>
      <c r="BQ51" s="1" t="s">
        <v>127</v>
      </c>
      <c r="BR51" s="1" t="s">
        <v>601</v>
      </c>
      <c r="BS51" s="1" t="s">
        <v>602</v>
      </c>
      <c r="BT51" s="1" t="s">
        <v>603</v>
      </c>
      <c r="BU51" s="1" t="s">
        <v>604</v>
      </c>
      <c r="BV51" s="1" t="s">
        <v>239</v>
      </c>
      <c r="BW51" s="1" t="s">
        <v>605</v>
      </c>
      <c r="BX51" s="1" t="s">
        <v>606</v>
      </c>
      <c r="BY51" s="1" t="s">
        <v>607</v>
      </c>
      <c r="BZ51" s="1" t="s">
        <v>608</v>
      </c>
      <c r="CA51" s="1" t="s">
        <v>609</v>
      </c>
      <c r="CB51" s="1" t="s">
        <v>610</v>
      </c>
      <c r="CC51" s="1" t="s">
        <v>611</v>
      </c>
      <c r="CD51" s="1" t="s">
        <v>612</v>
      </c>
      <c r="CE51" s="1" t="s">
        <v>613</v>
      </c>
      <c r="CF51" s="1" t="s">
        <v>614</v>
      </c>
      <c r="CG51" s="1" t="s">
        <v>615</v>
      </c>
      <c r="CH51" s="1" t="s">
        <v>616</v>
      </c>
      <c r="CI51" s="1" t="s">
        <v>617</v>
      </c>
      <c r="CJ51" s="1" t="s">
        <v>618</v>
      </c>
      <c r="CK51" s="1" t="s">
        <v>619</v>
      </c>
      <c r="CL51" s="1" t="s">
        <v>620</v>
      </c>
      <c r="CM51" s="1" t="s">
        <v>621</v>
      </c>
      <c r="CN51" s="1" t="s">
        <v>159</v>
      </c>
      <c r="CO51" s="1" t="s">
        <v>622</v>
      </c>
      <c r="CP51" s="1" t="s">
        <v>623</v>
      </c>
      <c r="CQ51" s="1" t="s">
        <v>541</v>
      </c>
      <c r="CR51" s="1" t="s">
        <v>624</v>
      </c>
      <c r="CS51" s="1" t="s">
        <v>625</v>
      </c>
      <c r="CT51" s="1" t="s">
        <v>626</v>
      </c>
      <c r="CU51" s="1" t="s">
        <v>627</v>
      </c>
      <c r="CV51" s="1" t="s">
        <v>628</v>
      </c>
      <c r="CW51" s="1" t="s">
        <v>629</v>
      </c>
      <c r="CX51" s="1" t="s">
        <v>630</v>
      </c>
      <c r="CY51" s="1" t="s">
        <v>631</v>
      </c>
      <c r="CZ51" s="1" t="s">
        <v>632</v>
      </c>
      <c r="DA51" s="1" t="s">
        <v>633</v>
      </c>
      <c r="DB51" s="1" t="s">
        <v>634</v>
      </c>
      <c r="DC51" s="1" t="s">
        <v>45</v>
      </c>
      <c r="DD51" s="1" t="s">
        <v>635</v>
      </c>
      <c r="DE51" s="1" t="s">
        <v>130</v>
      </c>
      <c r="DF51" s="1" t="s">
        <v>636</v>
      </c>
      <c r="DG51" s="1" t="s">
        <v>637</v>
      </c>
      <c r="DH51" s="1" t="s">
        <v>638</v>
      </c>
      <c r="DI51" s="1" t="s">
        <v>639</v>
      </c>
      <c r="DJ51" s="1" t="s">
        <v>640</v>
      </c>
      <c r="DK51" s="1" t="s">
        <v>641</v>
      </c>
      <c r="DL51" s="1" t="s">
        <v>642</v>
      </c>
      <c r="DM51" s="1" t="s">
        <v>643</v>
      </c>
      <c r="DN51" s="1" t="s">
        <v>644</v>
      </c>
      <c r="DO51" s="1" t="s">
        <v>645</v>
      </c>
      <c r="DP51" s="1" t="s">
        <v>646</v>
      </c>
      <c r="DQ51" s="1" t="s">
        <v>539</v>
      </c>
      <c r="DR51" s="1" t="s">
        <v>540</v>
      </c>
      <c r="DS51" s="1" t="s">
        <v>537</v>
      </c>
      <c r="DT51" s="1" t="s">
        <v>647</v>
      </c>
      <c r="DU51" s="1" t="s">
        <v>648</v>
      </c>
      <c r="DV51" s="1" t="s">
        <v>649</v>
      </c>
      <c r="DW51" s="1" t="s">
        <v>650</v>
      </c>
      <c r="DX51" s="1" t="s">
        <v>651</v>
      </c>
      <c r="DY51" s="1" t="s">
        <v>652</v>
      </c>
      <c r="DZ51" s="1" t="s">
        <v>653</v>
      </c>
      <c r="EA51" s="1" t="s">
        <v>154</v>
      </c>
      <c r="EB51" s="1" t="s">
        <v>654</v>
      </c>
      <c r="EC51" s="1" t="s">
        <v>655</v>
      </c>
      <c r="ED51" s="1" t="s">
        <v>656</v>
      </c>
      <c r="EE51" s="1" t="s">
        <v>657</v>
      </c>
      <c r="EF51" s="1" t="s">
        <v>658</v>
      </c>
      <c r="EG51" s="1" t="s">
        <v>659</v>
      </c>
      <c r="EH51" s="1" t="s">
        <v>660</v>
      </c>
      <c r="EI51" s="1" t="s">
        <v>661</v>
      </c>
      <c r="EJ51" s="1" t="s">
        <v>662</v>
      </c>
      <c r="EK51" s="1" t="s">
        <v>663</v>
      </c>
      <c r="EL51" s="1" t="s">
        <v>664</v>
      </c>
      <c r="EM51" s="1" t="s">
        <v>665</v>
      </c>
      <c r="EN51" s="1" t="s">
        <v>666</v>
      </c>
      <c r="EO51" s="1" t="s">
        <v>667</v>
      </c>
      <c r="EP51" s="1" t="s">
        <v>668</v>
      </c>
      <c r="EQ51" s="1" t="s">
        <v>669</v>
      </c>
      <c r="ER51" s="1" t="s">
        <v>670</v>
      </c>
      <c r="ES51" s="1" t="s">
        <v>671</v>
      </c>
      <c r="ET51" s="1" t="s">
        <v>672</v>
      </c>
      <c r="EU51" s="1" t="s">
        <v>673</v>
      </c>
      <c r="EV51" s="1" t="s">
        <v>674</v>
      </c>
      <c r="EW51" s="1" t="s">
        <v>675</v>
      </c>
      <c r="EX51" s="1" t="s">
        <v>676</v>
      </c>
      <c r="EY51" s="1" t="s">
        <v>677</v>
      </c>
      <c r="EZ51" s="1" t="s">
        <v>678</v>
      </c>
      <c r="FA51" s="1" t="s">
        <v>679</v>
      </c>
      <c r="FB51" s="1" t="s">
        <v>536</v>
      </c>
      <c r="FC51" s="1" t="s">
        <v>147</v>
      </c>
      <c r="FD51" s="1" t="s">
        <v>680</v>
      </c>
      <c r="FE51" s="1" t="s">
        <v>42</v>
      </c>
      <c r="FF51" s="1" t="s">
        <v>681</v>
      </c>
      <c r="FG51" s="1" t="s">
        <v>682</v>
      </c>
      <c r="FH51" s="1" t="s">
        <v>683</v>
      </c>
      <c r="FI51" s="1" t="s">
        <v>684</v>
      </c>
      <c r="FJ51" s="1" t="s">
        <v>685</v>
      </c>
      <c r="FK51" s="1" t="s">
        <v>535</v>
      </c>
      <c r="FL51" s="1" t="s">
        <v>686</v>
      </c>
      <c r="FM51" s="1" t="s">
        <v>687</v>
      </c>
      <c r="FN51" s="1" t="s">
        <v>688</v>
      </c>
      <c r="FO51" s="1" t="s">
        <v>689</v>
      </c>
      <c r="FP51" s="1" t="s">
        <v>690</v>
      </c>
      <c r="FQ51" s="1" t="s">
        <v>691</v>
      </c>
      <c r="FR51" s="1" t="s">
        <v>692</v>
      </c>
      <c r="FS51" s="1" t="s">
        <v>693</v>
      </c>
      <c r="FT51" s="1" t="s">
        <v>694</v>
      </c>
      <c r="FU51" s="1" t="s">
        <v>695</v>
      </c>
      <c r="FV51" s="1" t="s">
        <v>696</v>
      </c>
      <c r="FW51" s="1" t="s">
        <v>697</v>
      </c>
      <c r="FX51" s="1" t="s">
        <v>698</v>
      </c>
      <c r="FY51" s="1" t="s">
        <v>699</v>
      </c>
      <c r="FZ51" s="1" t="s">
        <v>700</v>
      </c>
      <c r="GA51" s="1" t="s">
        <v>701</v>
      </c>
      <c r="GB51" s="1" t="s">
        <v>702</v>
      </c>
      <c r="GC51" s="1" t="s">
        <v>703</v>
      </c>
      <c r="GD51" s="1" t="s">
        <v>704</v>
      </c>
      <c r="GE51" s="1" t="s">
        <v>705</v>
      </c>
      <c r="GF51" s="1" t="s">
        <v>706</v>
      </c>
      <c r="GG51" s="1" t="s">
        <v>707</v>
      </c>
      <c r="GH51" s="1" t="s">
        <v>708</v>
      </c>
      <c r="GI51" s="1" t="s">
        <v>709</v>
      </c>
      <c r="GJ51" s="1" t="s">
        <v>710</v>
      </c>
      <c r="GK51" s="1" t="s">
        <v>59</v>
      </c>
      <c r="GL51" s="1" t="s">
        <v>711</v>
      </c>
      <c r="GM51" s="1" t="s">
        <v>712</v>
      </c>
      <c r="GN51" s="1" t="s">
        <v>713</v>
      </c>
      <c r="GO51" s="1" t="s">
        <v>714</v>
      </c>
      <c r="GP51" s="1" t="s">
        <v>715</v>
      </c>
      <c r="GQ51" s="1" t="s">
        <v>716</v>
      </c>
      <c r="GR51" s="1" t="s">
        <v>717</v>
      </c>
      <c r="GS51" s="1" t="s">
        <v>718</v>
      </c>
      <c r="GT51" s="1" t="s">
        <v>719</v>
      </c>
      <c r="GU51" s="1" t="s">
        <v>720</v>
      </c>
      <c r="GV51" s="1" t="s">
        <v>721</v>
      </c>
      <c r="GW51" s="1" t="s">
        <v>722</v>
      </c>
      <c r="GX51" s="1" t="s">
        <v>723</v>
      </c>
      <c r="GY51" s="1" t="s">
        <v>132</v>
      </c>
      <c r="GZ51" s="1" t="s">
        <v>724</v>
      </c>
      <c r="HA51" s="1" t="s">
        <v>251</v>
      </c>
      <c r="HB51" s="1" t="s">
        <v>250</v>
      </c>
      <c r="HC51" s="1" t="s">
        <v>249</v>
      </c>
      <c r="HD51" s="1" t="s">
        <v>254</v>
      </c>
      <c r="HE51" s="1" t="s">
        <v>725</v>
      </c>
      <c r="HF51" s="1" t="s">
        <v>726</v>
      </c>
      <c r="HG51" s="1" t="s">
        <v>727</v>
      </c>
      <c r="HH51" s="1" t="s">
        <v>728</v>
      </c>
      <c r="HI51" s="1" t="s">
        <v>729</v>
      </c>
      <c r="HJ51" s="1" t="s">
        <v>730</v>
      </c>
      <c r="HK51" s="1" t="s">
        <v>731</v>
      </c>
      <c r="HL51" s="1" t="s">
        <v>732</v>
      </c>
      <c r="HM51" s="1" t="s">
        <v>733</v>
      </c>
      <c r="HN51" s="1" t="s">
        <v>40</v>
      </c>
      <c r="HO51" s="1" t="s">
        <v>734</v>
      </c>
      <c r="HP51" s="1" t="s">
        <v>735</v>
      </c>
      <c r="HQ51" s="1" t="s">
        <v>736</v>
      </c>
      <c r="HR51" s="1" t="s">
        <v>737</v>
      </c>
      <c r="HS51" s="1" t="s">
        <v>738</v>
      </c>
      <c r="HT51" s="1" t="s">
        <v>739</v>
      </c>
      <c r="HU51" s="1" t="s">
        <v>740</v>
      </c>
      <c r="HV51" s="1" t="s">
        <v>741</v>
      </c>
      <c r="HW51" s="1" t="s">
        <v>131</v>
      </c>
      <c r="HX51" s="1" t="s">
        <v>742</v>
      </c>
      <c r="HY51" s="1" t="s">
        <v>743</v>
      </c>
      <c r="HZ51" s="1" t="s">
        <v>744</v>
      </c>
      <c r="IA51" s="1" t="s">
        <v>745</v>
      </c>
      <c r="IB51" s="1" t="s">
        <v>746</v>
      </c>
      <c r="IC51" s="1" t="s">
        <v>747</v>
      </c>
      <c r="ID51" s="1" t="s">
        <v>748</v>
      </c>
      <c r="IE51" s="1" t="s">
        <v>749</v>
      </c>
      <c r="IF51" s="1" t="s">
        <v>750</v>
      </c>
      <c r="IG51" s="1" t="s">
        <v>751</v>
      </c>
      <c r="IH51" s="1" t="s">
        <v>752</v>
      </c>
      <c r="II51" s="1" t="s">
        <v>753</v>
      </c>
      <c r="IJ51" s="1" t="s">
        <v>754</v>
      </c>
      <c r="IK51" s="1" t="s">
        <v>755</v>
      </c>
      <c r="IL51" s="1" t="s">
        <v>756</v>
      </c>
      <c r="IM51" s="1" t="s">
        <v>757</v>
      </c>
      <c r="IN51" s="1" t="s">
        <v>758</v>
      </c>
      <c r="IO51" s="1" t="s">
        <v>759</v>
      </c>
      <c r="IP51" s="1" t="s">
        <v>760</v>
      </c>
      <c r="IQ51" s="1" t="s">
        <v>761</v>
      </c>
      <c r="IR51" s="1" t="s">
        <v>253</v>
      </c>
      <c r="IS51" s="1" t="s">
        <v>252</v>
      </c>
      <c r="IT51" s="1" t="s">
        <v>762</v>
      </c>
      <c r="IU51" s="1" t="s">
        <v>763</v>
      </c>
      <c r="IV51" s="1" t="s">
        <v>764</v>
      </c>
      <c r="IW51" s="1" t="s">
        <v>765</v>
      </c>
      <c r="IX51" s="1" t="s">
        <v>766</v>
      </c>
      <c r="IY51" s="1" t="s">
        <v>767</v>
      </c>
      <c r="IZ51" s="1" t="s">
        <v>255</v>
      </c>
      <c r="JA51" s="1" t="s">
        <v>768</v>
      </c>
      <c r="JB51" s="1" t="s">
        <v>769</v>
      </c>
      <c r="JC51" s="1" t="s">
        <v>544</v>
      </c>
      <c r="JD51" s="1" t="s">
        <v>770</v>
      </c>
      <c r="JE51" s="1" t="s">
        <v>771</v>
      </c>
      <c r="JF51" s="1" t="s">
        <v>772</v>
      </c>
      <c r="JG51" s="1" t="s">
        <v>773</v>
      </c>
      <c r="JH51" s="1" t="s">
        <v>774</v>
      </c>
      <c r="JI51" s="1" t="s">
        <v>775</v>
      </c>
      <c r="JJ51" s="1" t="s">
        <v>776</v>
      </c>
      <c r="JK51" s="1" t="s">
        <v>777</v>
      </c>
      <c r="JL51" s="1" t="s">
        <v>778</v>
      </c>
      <c r="JM51" s="1" t="s">
        <v>779</v>
      </c>
      <c r="JN51" s="1" t="s">
        <v>780</v>
      </c>
      <c r="JO51" s="1" t="s">
        <v>781</v>
      </c>
      <c r="JP51" s="1" t="s">
        <v>782</v>
      </c>
      <c r="JQ51" s="1" t="s">
        <v>783</v>
      </c>
      <c r="JR51" s="1" t="s">
        <v>784</v>
      </c>
      <c r="JS51" s="1" t="s">
        <v>785</v>
      </c>
      <c r="JT51" s="1" t="s">
        <v>786</v>
      </c>
      <c r="JU51" s="1" t="s">
        <v>787</v>
      </c>
      <c r="JV51" s="1" t="s">
        <v>788</v>
      </c>
      <c r="JW51" s="1" t="s">
        <v>789</v>
      </c>
      <c r="JX51" s="1" t="s">
        <v>790</v>
      </c>
      <c r="JY51" s="1" t="s">
        <v>791</v>
      </c>
      <c r="JZ51" s="1" t="s">
        <v>792</v>
      </c>
      <c r="KA51" s="1" t="s">
        <v>793</v>
      </c>
      <c r="KB51" s="1" t="s">
        <v>794</v>
      </c>
      <c r="KC51" s="1" t="s">
        <v>795</v>
      </c>
      <c r="KD51" s="1" t="s">
        <v>796</v>
      </c>
      <c r="KE51" s="1" t="s">
        <v>797</v>
      </c>
      <c r="KF51" s="1" t="s">
        <v>798</v>
      </c>
      <c r="KG51" s="1" t="s">
        <v>799</v>
      </c>
      <c r="KH51" s="1" t="s">
        <v>800</v>
      </c>
      <c r="KI51" s="1" t="s">
        <v>801</v>
      </c>
      <c r="KJ51" s="1" t="s">
        <v>802</v>
      </c>
      <c r="KK51" s="1" t="s">
        <v>803</v>
      </c>
      <c r="KL51" s="1" t="s">
        <v>804</v>
      </c>
      <c r="KM51" s="1" t="s">
        <v>805</v>
      </c>
      <c r="KN51" s="1" t="s">
        <v>806</v>
      </c>
      <c r="KO51" s="1" t="s">
        <v>807</v>
      </c>
      <c r="KP51" s="1" t="s">
        <v>808</v>
      </c>
      <c r="KQ51" s="1" t="s">
        <v>809</v>
      </c>
      <c r="KR51" s="1" t="s">
        <v>810</v>
      </c>
      <c r="KS51" s="1" t="s">
        <v>811</v>
      </c>
      <c r="KT51" s="1" t="s">
        <v>812</v>
      </c>
      <c r="KU51" s="1" t="s">
        <v>813</v>
      </c>
      <c r="KV51" s="1" t="s">
        <v>814</v>
      </c>
      <c r="KW51" s="1" t="s">
        <v>543</v>
      </c>
      <c r="KX51" s="1" t="s">
        <v>815</v>
      </c>
      <c r="KY51" s="1" t="s">
        <v>816</v>
      </c>
      <c r="KZ51" s="1" t="s">
        <v>817</v>
      </c>
      <c r="LA51" s="1" t="s">
        <v>818</v>
      </c>
      <c r="LB51" s="1" t="s">
        <v>819</v>
      </c>
      <c r="LC51" s="1" t="s">
        <v>542</v>
      </c>
      <c r="LD51" s="1" t="s">
        <v>820</v>
      </c>
      <c r="LE51" s="1" t="s">
        <v>821</v>
      </c>
      <c r="LF51" s="1" t="s">
        <v>822</v>
      </c>
      <c r="LG51" s="1" t="s">
        <v>823</v>
      </c>
      <c r="LH51" s="1" t="s">
        <v>824</v>
      </c>
      <c r="LI51" s="1" t="s">
        <v>825</v>
      </c>
      <c r="LJ51" s="1" t="s">
        <v>826</v>
      </c>
      <c r="LK51" s="1" t="s">
        <v>827</v>
      </c>
      <c r="LL51" s="1" t="s">
        <v>828</v>
      </c>
      <c r="LM51" s="1" t="s">
        <v>829</v>
      </c>
      <c r="LN51" s="1" t="s">
        <v>830</v>
      </c>
      <c r="LO51" s="1" t="s">
        <v>831</v>
      </c>
      <c r="LP51" s="1" t="s">
        <v>832</v>
      </c>
      <c r="LQ51" s="1" t="s">
        <v>833</v>
      </c>
      <c r="LR51" s="1" t="s">
        <v>834</v>
      </c>
      <c r="LS51" s="1" t="s">
        <v>835</v>
      </c>
      <c r="LT51" s="1" t="s">
        <v>836</v>
      </c>
      <c r="LU51" s="1" t="s">
        <v>837</v>
      </c>
      <c r="LV51" s="1" t="s">
        <v>838</v>
      </c>
      <c r="LW51" s="1" t="s">
        <v>839</v>
      </c>
      <c r="LX51" s="1" t="s">
        <v>840</v>
      </c>
      <c r="LY51" s="1" t="s">
        <v>841</v>
      </c>
      <c r="LZ51" s="1" t="s">
        <v>842</v>
      </c>
      <c r="MA51" s="1" t="s">
        <v>843</v>
      </c>
      <c r="MB51" s="1" t="s">
        <v>844</v>
      </c>
      <c r="MC51" s="1" t="s">
        <v>845</v>
      </c>
      <c r="MD51" s="1" t="s">
        <v>846</v>
      </c>
      <c r="ME51" s="1" t="s">
        <v>847</v>
      </c>
      <c r="MF51" s="1" t="s">
        <v>848</v>
      </c>
      <c r="MG51" s="1" t="s">
        <v>849</v>
      </c>
      <c r="MH51" s="1" t="s">
        <v>838</v>
      </c>
      <c r="MI51" s="1" t="s">
        <v>839</v>
      </c>
      <c r="MJ51" s="1" t="s">
        <v>840</v>
      </c>
      <c r="MK51" s="1" t="s">
        <v>841</v>
      </c>
      <c r="ML51" s="1" t="s">
        <v>842</v>
      </c>
      <c r="MM51" s="1" t="s">
        <v>850</v>
      </c>
      <c r="MN51" s="1" t="s">
        <v>851</v>
      </c>
      <c r="MO51" s="1" t="s">
        <v>852</v>
      </c>
      <c r="MP51" s="1" t="s">
        <v>853</v>
      </c>
      <c r="MQ51" s="1" t="s">
        <v>854</v>
      </c>
      <c r="MR51" s="1" t="s">
        <v>855</v>
      </c>
      <c r="MS51" s="1" t="s">
        <v>856</v>
      </c>
      <c r="MT51" s="1" t="s">
        <v>857</v>
      </c>
      <c r="MU51" s="1" t="s">
        <v>858</v>
      </c>
      <c r="MV51" s="1" t="s">
        <v>859</v>
      </c>
      <c r="MW51" s="1" t="s">
        <v>860</v>
      </c>
      <c r="MX51" s="1" t="s">
        <v>861</v>
      </c>
      <c r="MY51" s="1" t="s">
        <v>862</v>
      </c>
      <c r="MZ51" s="1" t="s">
        <v>863</v>
      </c>
      <c r="NA51" s="1" t="s">
        <v>864</v>
      </c>
      <c r="NB51" s="1" t="s">
        <v>865</v>
      </c>
      <c r="NC51" s="1" t="s">
        <v>866</v>
      </c>
      <c r="ND51" s="1" t="s">
        <v>867</v>
      </c>
      <c r="NE51" s="1" t="s">
        <v>868</v>
      </c>
      <c r="NF51" s="1" t="s">
        <v>869</v>
      </c>
      <c r="NG51" s="1" t="s">
        <v>870</v>
      </c>
      <c r="NH51" s="1" t="s">
        <v>871</v>
      </c>
      <c r="NI51" s="1" t="s">
        <v>872</v>
      </c>
      <c r="NJ51" s="1" t="s">
        <v>873</v>
      </c>
      <c r="NK51" s="1" t="s">
        <v>874</v>
      </c>
      <c r="NL51" s="1" t="s">
        <v>875</v>
      </c>
      <c r="NM51" s="1" t="s">
        <v>876</v>
      </c>
      <c r="NN51" s="1" t="s">
        <v>877</v>
      </c>
      <c r="NO51" s="1" t="s">
        <v>878</v>
      </c>
      <c r="NP51" s="1" t="s">
        <v>879</v>
      </c>
      <c r="NQ51" s="1" t="s">
        <v>880</v>
      </c>
      <c r="NR51" s="1" t="s">
        <v>881</v>
      </c>
      <c r="NS51" s="1" t="s">
        <v>882</v>
      </c>
      <c r="NT51" s="1" t="s">
        <v>883</v>
      </c>
      <c r="NU51" s="1" t="s">
        <v>884</v>
      </c>
      <c r="NV51" s="1" t="s">
        <v>885</v>
      </c>
      <c r="NW51" s="1" t="s">
        <v>886</v>
      </c>
      <c r="NX51" s="1" t="s">
        <v>887</v>
      </c>
      <c r="NY51" s="1" t="s">
        <v>888</v>
      </c>
      <c r="NZ51" s="1" t="s">
        <v>889</v>
      </c>
      <c r="OA51" s="1" t="s">
        <v>890</v>
      </c>
      <c r="OB51" s="1" t="s">
        <v>891</v>
      </c>
      <c r="OC51" s="1" t="s">
        <v>892</v>
      </c>
      <c r="OD51" s="1" t="s">
        <v>893</v>
      </c>
      <c r="OE51" s="1" t="s">
        <v>894</v>
      </c>
      <c r="OF51" s="1" t="s">
        <v>895</v>
      </c>
      <c r="OG51" s="1" t="s">
        <v>896</v>
      </c>
      <c r="OH51" s="1" t="s">
        <v>897</v>
      </c>
      <c r="OI51" s="1" t="s">
        <v>898</v>
      </c>
      <c r="OJ51" s="1" t="s">
        <v>899</v>
      </c>
      <c r="OK51" s="1" t="s">
        <v>900</v>
      </c>
      <c r="OL51" s="1" t="s">
        <v>901</v>
      </c>
      <c r="OM51" s="1" t="s">
        <v>902</v>
      </c>
      <c r="ON51" s="1" t="s">
        <v>903</v>
      </c>
      <c r="OO51" s="1" t="s">
        <v>904</v>
      </c>
      <c r="OP51" s="1" t="s">
        <v>905</v>
      </c>
      <c r="OQ51" s="1" t="s">
        <v>906</v>
      </c>
    </row>
    <row r="52" spans="1:407" x14ac:dyDescent="0.25">
      <c r="C52" s="1" t="s">
        <v>972</v>
      </c>
      <c r="D52" s="1" t="s">
        <v>973</v>
      </c>
      <c r="E52" s="1" t="s">
        <v>973</v>
      </c>
      <c r="F52" s="1" t="s">
        <v>973</v>
      </c>
      <c r="G52" s="1" t="s">
        <v>973</v>
      </c>
      <c r="H52" s="1" t="s">
        <v>974</v>
      </c>
      <c r="I52" s="1" t="s">
        <v>974</v>
      </c>
      <c r="J52" s="1" t="s">
        <v>974</v>
      </c>
      <c r="K52" s="1" t="s">
        <v>974</v>
      </c>
      <c r="L52" s="1" t="s">
        <v>908</v>
      </c>
      <c r="M52" s="1" t="s">
        <v>908</v>
      </c>
      <c r="N52" s="1" t="s">
        <v>908</v>
      </c>
      <c r="O52" s="1" t="s">
        <v>908</v>
      </c>
      <c r="P52" s="1" t="s">
        <v>908</v>
      </c>
      <c r="Q52" s="1" t="s">
        <v>908</v>
      </c>
      <c r="R52" s="1" t="s">
        <v>908</v>
      </c>
      <c r="S52" s="1" t="s">
        <v>908</v>
      </c>
      <c r="T52" s="1" t="s">
        <v>908</v>
      </c>
      <c r="U52" s="1" t="s">
        <v>975</v>
      </c>
      <c r="V52" s="1" t="s">
        <v>975</v>
      </c>
      <c r="W52" s="1" t="s">
        <v>975</v>
      </c>
      <c r="X52" s="1" t="s">
        <v>975</v>
      </c>
      <c r="Y52" s="1" t="s">
        <v>975</v>
      </c>
      <c r="Z52" s="1" t="s">
        <v>975</v>
      </c>
      <c r="AA52" s="1" t="s">
        <v>975</v>
      </c>
      <c r="AB52" s="1" t="s">
        <v>975</v>
      </c>
      <c r="AC52" s="1" t="s">
        <v>975</v>
      </c>
      <c r="AD52" s="1" t="s">
        <v>976</v>
      </c>
      <c r="AE52" s="1" t="s">
        <v>976</v>
      </c>
      <c r="AF52" s="1" t="s">
        <v>976</v>
      </c>
      <c r="AG52" s="1" t="s">
        <v>976</v>
      </c>
      <c r="AH52" s="1" t="s">
        <v>976</v>
      </c>
      <c r="AI52" s="1" t="s">
        <v>976</v>
      </c>
      <c r="AJ52" s="1" t="s">
        <v>976</v>
      </c>
      <c r="AK52" s="1" t="s">
        <v>976</v>
      </c>
      <c r="AL52" s="1" t="s">
        <v>976</v>
      </c>
      <c r="AM52" s="1" t="s">
        <v>977</v>
      </c>
      <c r="AN52" s="1" t="s">
        <v>977</v>
      </c>
      <c r="AO52" s="1" t="s">
        <v>977</v>
      </c>
      <c r="AP52" s="1" t="s">
        <v>977</v>
      </c>
      <c r="AQ52" s="1" t="s">
        <v>977</v>
      </c>
      <c r="AR52" s="1" t="s">
        <v>977</v>
      </c>
      <c r="AS52" s="1" t="s">
        <v>977</v>
      </c>
      <c r="AT52" s="1" t="s">
        <v>977</v>
      </c>
      <c r="AU52" s="1" t="s">
        <v>977</v>
      </c>
      <c r="AV52" s="1" t="s">
        <v>978</v>
      </c>
      <c r="AW52" s="1" t="s">
        <v>978</v>
      </c>
      <c r="AX52" s="1" t="s">
        <v>978</v>
      </c>
      <c r="AY52" s="1" t="s">
        <v>978</v>
      </c>
      <c r="AZ52" s="1" t="s">
        <v>978</v>
      </c>
      <c r="BA52" s="1" t="s">
        <v>978</v>
      </c>
      <c r="BB52" s="1" t="s">
        <v>978</v>
      </c>
      <c r="BC52" s="1" t="s">
        <v>978</v>
      </c>
      <c r="BD52" s="1" t="s">
        <v>978</v>
      </c>
      <c r="BE52" s="1" t="s">
        <v>979</v>
      </c>
      <c r="BF52" s="1" t="s">
        <v>980</v>
      </c>
      <c r="BG52" s="1" t="s">
        <v>981</v>
      </c>
      <c r="BH52" s="1" t="s">
        <v>982</v>
      </c>
      <c r="BI52" s="1" t="s">
        <v>983</v>
      </c>
      <c r="BJ52" s="1" t="s">
        <v>984</v>
      </c>
      <c r="BK52" s="1" t="s">
        <v>985</v>
      </c>
      <c r="BL52" s="1" t="s">
        <v>986</v>
      </c>
      <c r="BM52" s="1" t="s">
        <v>987</v>
      </c>
      <c r="BN52" s="1" t="s">
        <v>988</v>
      </c>
      <c r="BO52" s="1" t="s">
        <v>989</v>
      </c>
      <c r="BP52" s="1" t="s">
        <v>990</v>
      </c>
      <c r="BQ52" s="1" t="s">
        <v>991</v>
      </c>
      <c r="BR52" s="1" t="s">
        <v>992</v>
      </c>
      <c r="BS52" s="1" t="s">
        <v>993</v>
      </c>
      <c r="BT52" s="1" t="s">
        <v>994</v>
      </c>
      <c r="BU52" s="1" t="s">
        <v>995</v>
      </c>
      <c r="BV52" s="1" t="s">
        <v>996</v>
      </c>
      <c r="BW52" s="1" t="s">
        <v>997</v>
      </c>
      <c r="BX52" s="1" t="s">
        <v>998</v>
      </c>
      <c r="BY52" s="1" t="s">
        <v>999</v>
      </c>
      <c r="BZ52" s="1" t="s">
        <v>1000</v>
      </c>
      <c r="CA52" s="1" t="s">
        <v>909</v>
      </c>
      <c r="CB52" s="1" t="s">
        <v>910</v>
      </c>
      <c r="CC52" s="1" t="s">
        <v>910</v>
      </c>
      <c r="CD52" s="1" t="s">
        <v>911</v>
      </c>
      <c r="CE52" s="1" t="s">
        <v>911</v>
      </c>
      <c r="CF52" s="1" t="s">
        <v>912</v>
      </c>
      <c r="CG52" s="1" t="s">
        <v>912</v>
      </c>
      <c r="CH52" s="1" t="s">
        <v>913</v>
      </c>
      <c r="CI52" s="1" t="s">
        <v>913</v>
      </c>
      <c r="CJ52" s="1" t="s">
        <v>914</v>
      </c>
      <c r="CK52" s="1" t="s">
        <v>914</v>
      </c>
      <c r="CL52" s="1" t="s">
        <v>915</v>
      </c>
      <c r="CM52" s="1" t="s">
        <v>916</v>
      </c>
      <c r="CN52" s="1" t="s">
        <v>916</v>
      </c>
      <c r="CO52" s="1" t="s">
        <v>916</v>
      </c>
      <c r="CP52" s="1" t="s">
        <v>916</v>
      </c>
      <c r="CQ52" s="1" t="s">
        <v>917</v>
      </c>
      <c r="CR52" s="1" t="s">
        <v>917</v>
      </c>
      <c r="CS52" s="1" t="s">
        <v>917</v>
      </c>
      <c r="CT52" s="1" t="s">
        <v>917</v>
      </c>
      <c r="CU52" s="1" t="s">
        <v>918</v>
      </c>
      <c r="CV52" s="1" t="s">
        <v>918</v>
      </c>
      <c r="CW52" s="1" t="s">
        <v>918</v>
      </c>
      <c r="CX52" s="1" t="s">
        <v>918</v>
      </c>
      <c r="CY52" s="1" t="s">
        <v>919</v>
      </c>
      <c r="CZ52" s="1" t="s">
        <v>919</v>
      </c>
      <c r="DA52" s="1" t="s">
        <v>919</v>
      </c>
      <c r="DB52" s="1" t="s">
        <v>919</v>
      </c>
      <c r="DC52" s="1" t="s">
        <v>920</v>
      </c>
      <c r="DD52" s="1" t="s">
        <v>920</v>
      </c>
      <c r="DE52" s="1" t="s">
        <v>920</v>
      </c>
      <c r="DF52" s="1" t="s">
        <v>920</v>
      </c>
      <c r="DG52" s="1" t="s">
        <v>920</v>
      </c>
      <c r="DH52" s="1" t="s">
        <v>920</v>
      </c>
      <c r="DI52" s="1" t="s">
        <v>920</v>
      </c>
      <c r="DJ52" s="1" t="s">
        <v>920</v>
      </c>
      <c r="DK52" s="1" t="s">
        <v>920</v>
      </c>
      <c r="DL52" s="1" t="s">
        <v>921</v>
      </c>
      <c r="DM52" s="1" t="s">
        <v>921</v>
      </c>
      <c r="DN52" s="1" t="s">
        <v>921</v>
      </c>
      <c r="DO52" s="1" t="s">
        <v>921</v>
      </c>
      <c r="DP52" s="1" t="s">
        <v>921</v>
      </c>
      <c r="DQ52" s="1" t="s">
        <v>921</v>
      </c>
      <c r="DR52" s="1" t="s">
        <v>921</v>
      </c>
      <c r="DS52" s="1" t="s">
        <v>921</v>
      </c>
      <c r="DT52" s="1" t="s">
        <v>921</v>
      </c>
      <c r="DU52" s="1" t="s">
        <v>922</v>
      </c>
      <c r="DV52" s="1" t="s">
        <v>922</v>
      </c>
      <c r="DW52" s="1" t="s">
        <v>922</v>
      </c>
      <c r="DX52" s="1" t="s">
        <v>922</v>
      </c>
      <c r="DY52" s="1" t="s">
        <v>922</v>
      </c>
      <c r="DZ52" s="1" t="s">
        <v>922</v>
      </c>
      <c r="EA52" s="1" t="s">
        <v>922</v>
      </c>
      <c r="EB52" s="1" t="s">
        <v>922</v>
      </c>
      <c r="EC52" s="1" t="s">
        <v>922</v>
      </c>
      <c r="ED52" s="1" t="s">
        <v>923</v>
      </c>
      <c r="EE52" s="1" t="s">
        <v>923</v>
      </c>
      <c r="EF52" s="1" t="s">
        <v>923</v>
      </c>
      <c r="EG52" s="1" t="s">
        <v>923</v>
      </c>
      <c r="EH52" s="1" t="s">
        <v>923</v>
      </c>
      <c r="EI52" s="1" t="s">
        <v>923</v>
      </c>
      <c r="EJ52" s="1" t="s">
        <v>923</v>
      </c>
      <c r="EK52" s="1" t="s">
        <v>923</v>
      </c>
      <c r="EL52" s="1" t="s">
        <v>923</v>
      </c>
      <c r="EM52" s="1" t="s">
        <v>924</v>
      </c>
      <c r="EN52" s="1" t="s">
        <v>924</v>
      </c>
      <c r="EO52" s="1" t="s">
        <v>924</v>
      </c>
      <c r="EP52" s="1" t="s">
        <v>924</v>
      </c>
      <c r="EQ52" s="1" t="s">
        <v>924</v>
      </c>
      <c r="ER52" s="1" t="s">
        <v>924</v>
      </c>
      <c r="ES52" s="1" t="s">
        <v>924</v>
      </c>
      <c r="ET52" s="1" t="s">
        <v>924</v>
      </c>
      <c r="EU52" s="1" t="s">
        <v>924</v>
      </c>
      <c r="EV52" s="1" t="s">
        <v>925</v>
      </c>
      <c r="EW52" s="1" t="s">
        <v>925</v>
      </c>
      <c r="EX52" s="1" t="s">
        <v>926</v>
      </c>
      <c r="EY52" s="1" t="s">
        <v>926</v>
      </c>
      <c r="EZ52" s="1" t="s">
        <v>927</v>
      </c>
      <c r="FA52" s="1" t="s">
        <v>927</v>
      </c>
      <c r="FB52" s="1" t="s">
        <v>928</v>
      </c>
      <c r="FC52" s="1" t="s">
        <v>929</v>
      </c>
      <c r="FD52" s="1" t="s">
        <v>929</v>
      </c>
      <c r="FE52" s="1" t="s">
        <v>929</v>
      </c>
      <c r="FF52" s="1" t="s">
        <v>929</v>
      </c>
      <c r="FG52" s="1" t="s">
        <v>929</v>
      </c>
      <c r="FH52" s="1" t="s">
        <v>929</v>
      </c>
      <c r="FI52" s="1" t="s">
        <v>929</v>
      </c>
      <c r="FJ52" s="1" t="s">
        <v>929</v>
      </c>
      <c r="FK52" s="1" t="s">
        <v>930</v>
      </c>
      <c r="FL52" s="1" t="s">
        <v>930</v>
      </c>
      <c r="FM52" s="1" t="s">
        <v>930</v>
      </c>
      <c r="FN52" s="1" t="s">
        <v>930</v>
      </c>
      <c r="FO52" s="1" t="s">
        <v>930</v>
      </c>
      <c r="FP52" s="1" t="s">
        <v>930</v>
      </c>
      <c r="FQ52" s="1" t="s">
        <v>930</v>
      </c>
      <c r="FR52" s="1" t="s">
        <v>930</v>
      </c>
      <c r="FS52" s="1" t="s">
        <v>931</v>
      </c>
      <c r="FT52" s="1" t="s">
        <v>931</v>
      </c>
      <c r="FU52" s="1" t="s">
        <v>931</v>
      </c>
      <c r="FV52" s="1" t="s">
        <v>931</v>
      </c>
      <c r="FW52" s="1" t="s">
        <v>931</v>
      </c>
      <c r="FX52" s="1" t="s">
        <v>931</v>
      </c>
      <c r="FY52" s="1" t="s">
        <v>931</v>
      </c>
      <c r="FZ52" s="1" t="s">
        <v>931</v>
      </c>
      <c r="GA52" s="1" t="s">
        <v>932</v>
      </c>
      <c r="GB52" s="1" t="s">
        <v>932</v>
      </c>
      <c r="GC52" s="1" t="s">
        <v>932</v>
      </c>
      <c r="GD52" s="1" t="s">
        <v>932</v>
      </c>
      <c r="GE52" s="1" t="s">
        <v>932</v>
      </c>
      <c r="GF52" s="1" t="s">
        <v>932</v>
      </c>
      <c r="GG52" s="1" t="s">
        <v>932</v>
      </c>
      <c r="GH52" s="1" t="s">
        <v>932</v>
      </c>
      <c r="GI52" s="1" t="s">
        <v>933</v>
      </c>
      <c r="GJ52" s="1" t="s">
        <v>933</v>
      </c>
      <c r="GK52" s="1" t="s">
        <v>933</v>
      </c>
      <c r="GL52" s="1" t="s">
        <v>933</v>
      </c>
      <c r="GM52" s="1" t="s">
        <v>933</v>
      </c>
      <c r="GN52" s="1" t="s">
        <v>933</v>
      </c>
      <c r="GO52" s="1" t="s">
        <v>933</v>
      </c>
      <c r="GP52" s="1" t="s">
        <v>933</v>
      </c>
      <c r="GQ52" s="1" t="s">
        <v>934</v>
      </c>
      <c r="GR52" s="1" t="s">
        <v>934</v>
      </c>
      <c r="GS52" s="1" t="s">
        <v>935</v>
      </c>
      <c r="GT52" s="1" t="s">
        <v>935</v>
      </c>
      <c r="GU52" s="1" t="s">
        <v>936</v>
      </c>
      <c r="GV52" s="1" t="s">
        <v>936</v>
      </c>
      <c r="GW52" s="1" t="s">
        <v>937</v>
      </c>
      <c r="GX52" s="1" t="s">
        <v>937</v>
      </c>
      <c r="GY52" s="1" t="s">
        <v>938</v>
      </c>
      <c r="GZ52" s="1" t="s">
        <v>938</v>
      </c>
      <c r="HA52" s="1" t="s">
        <v>1001</v>
      </c>
      <c r="HB52" s="1" t="s">
        <v>1002</v>
      </c>
      <c r="HC52" s="1" t="s">
        <v>1003</v>
      </c>
      <c r="HD52" s="1" t="s">
        <v>1004</v>
      </c>
      <c r="HE52" s="1" t="s">
        <v>1005</v>
      </c>
      <c r="HF52" s="1" t="s">
        <v>1005</v>
      </c>
      <c r="HG52" s="1" t="s">
        <v>1005</v>
      </c>
      <c r="HH52" s="1" t="s">
        <v>1006</v>
      </c>
      <c r="HI52" s="1" t="s">
        <v>1006</v>
      </c>
      <c r="HJ52" s="1" t="s">
        <v>1006</v>
      </c>
      <c r="HK52" s="1" t="s">
        <v>1007</v>
      </c>
      <c r="HL52" s="1" t="s">
        <v>1007</v>
      </c>
      <c r="HM52" s="1" t="s">
        <v>1007</v>
      </c>
      <c r="HN52" s="1" t="s">
        <v>1008</v>
      </c>
      <c r="HO52" s="1" t="s">
        <v>1008</v>
      </c>
      <c r="HP52" s="1" t="s">
        <v>1008</v>
      </c>
      <c r="HQ52" s="1" t="s">
        <v>1009</v>
      </c>
      <c r="HR52" s="1" t="s">
        <v>1009</v>
      </c>
      <c r="HS52" s="1" t="s">
        <v>1009</v>
      </c>
      <c r="HT52" s="1" t="s">
        <v>1010</v>
      </c>
      <c r="HU52" s="1" t="s">
        <v>1010</v>
      </c>
      <c r="HV52" s="1" t="s">
        <v>1010</v>
      </c>
      <c r="HW52" s="1" t="s">
        <v>1011</v>
      </c>
      <c r="HX52" s="1" t="s">
        <v>1011</v>
      </c>
      <c r="HY52" s="1" t="s">
        <v>1011</v>
      </c>
      <c r="HZ52" s="1" t="s">
        <v>1011</v>
      </c>
      <c r="IA52" s="1" t="s">
        <v>1012</v>
      </c>
      <c r="IB52" s="1" t="s">
        <v>1012</v>
      </c>
      <c r="IC52" s="1" t="s">
        <v>1012</v>
      </c>
      <c r="ID52" s="1" t="s">
        <v>1012</v>
      </c>
      <c r="IE52" s="1" t="s">
        <v>1013</v>
      </c>
      <c r="IF52" s="1" t="s">
        <v>1013</v>
      </c>
      <c r="IG52" s="1" t="s">
        <v>1013</v>
      </c>
      <c r="IH52" s="1" t="s">
        <v>1013</v>
      </c>
      <c r="II52" s="1" t="s">
        <v>1014</v>
      </c>
      <c r="IJ52" s="1" t="s">
        <v>1014</v>
      </c>
      <c r="IK52" s="1" t="s">
        <v>1014</v>
      </c>
      <c r="IL52" s="1" t="s">
        <v>1014</v>
      </c>
      <c r="IM52" s="1" t="s">
        <v>1015</v>
      </c>
      <c r="IN52" s="1" t="s">
        <v>1015</v>
      </c>
      <c r="IO52" s="1" t="s">
        <v>1015</v>
      </c>
      <c r="IP52" s="1" t="s">
        <v>1015</v>
      </c>
      <c r="IQ52" s="1" t="s">
        <v>1016</v>
      </c>
      <c r="IR52" s="1" t="s">
        <v>1017</v>
      </c>
      <c r="IS52" s="1" t="s">
        <v>1018</v>
      </c>
      <c r="IT52" s="1" t="s">
        <v>1019</v>
      </c>
      <c r="IU52" s="1" t="s">
        <v>1020</v>
      </c>
      <c r="IV52" s="1" t="s">
        <v>1021</v>
      </c>
      <c r="IW52" s="1" t="s">
        <v>1022</v>
      </c>
      <c r="IX52" s="1" t="s">
        <v>1023</v>
      </c>
      <c r="IY52" s="1" t="s">
        <v>1024</v>
      </c>
      <c r="IZ52" s="1" t="s">
        <v>1025</v>
      </c>
      <c r="JA52" s="1" t="s">
        <v>1026</v>
      </c>
      <c r="JB52" s="1" t="s">
        <v>1027</v>
      </c>
      <c r="JC52" s="1" t="s">
        <v>1028</v>
      </c>
      <c r="JD52" s="1" t="s">
        <v>1028</v>
      </c>
      <c r="JE52" s="1" t="s">
        <v>1029</v>
      </c>
      <c r="JF52" s="1" t="s">
        <v>1029</v>
      </c>
      <c r="JG52" s="1" t="s">
        <v>1029</v>
      </c>
      <c r="JH52" s="1" t="s">
        <v>1029</v>
      </c>
      <c r="JI52" s="1" t="s">
        <v>1030</v>
      </c>
      <c r="JJ52" s="1" t="s">
        <v>1030</v>
      </c>
      <c r="JK52" s="1" t="s">
        <v>1030</v>
      </c>
      <c r="JL52" s="1" t="s">
        <v>1030</v>
      </c>
      <c r="JM52" s="1" t="s">
        <v>1031</v>
      </c>
      <c r="JN52" s="1" t="s">
        <v>1031</v>
      </c>
      <c r="JO52" s="1" t="s">
        <v>1031</v>
      </c>
      <c r="JP52" s="1" t="s">
        <v>1031</v>
      </c>
      <c r="JQ52" s="1" t="s">
        <v>1032</v>
      </c>
      <c r="JR52" s="1" t="s">
        <v>1032</v>
      </c>
      <c r="JS52" s="1" t="s">
        <v>1032</v>
      </c>
      <c r="JT52" s="1" t="s">
        <v>1032</v>
      </c>
      <c r="JU52" s="1" t="s">
        <v>1033</v>
      </c>
      <c r="JV52" s="1" t="s">
        <v>1033</v>
      </c>
      <c r="JW52" s="1" t="s">
        <v>1033</v>
      </c>
      <c r="JX52" s="1" t="s">
        <v>1033</v>
      </c>
      <c r="JY52" s="1" t="s">
        <v>939</v>
      </c>
      <c r="JZ52" s="1" t="s">
        <v>940</v>
      </c>
      <c r="KA52" s="1" t="s">
        <v>941</v>
      </c>
      <c r="KB52" s="1" t="s">
        <v>942</v>
      </c>
      <c r="KC52" s="1" t="s">
        <v>943</v>
      </c>
      <c r="KD52" s="1" t="s">
        <v>944</v>
      </c>
      <c r="KE52" s="1" t="s">
        <v>945</v>
      </c>
      <c r="KF52" s="1" t="s">
        <v>946</v>
      </c>
      <c r="KG52" s="1" t="s">
        <v>947</v>
      </c>
      <c r="KH52" s="1" t="s">
        <v>948</v>
      </c>
      <c r="KI52" s="1" t="s">
        <v>949</v>
      </c>
      <c r="KJ52" s="1" t="s">
        <v>950</v>
      </c>
      <c r="KK52" s="1" t="s">
        <v>951</v>
      </c>
      <c r="KL52" s="1" t="s">
        <v>952</v>
      </c>
      <c r="KM52" s="1" t="s">
        <v>953</v>
      </c>
      <c r="KN52" s="1" t="s">
        <v>954</v>
      </c>
      <c r="KO52" s="1" t="s">
        <v>955</v>
      </c>
      <c r="KP52" s="1" t="s">
        <v>956</v>
      </c>
      <c r="KQ52" s="1" t="s">
        <v>957</v>
      </c>
      <c r="KR52" s="1" t="s">
        <v>958</v>
      </c>
      <c r="KS52" s="1" t="s">
        <v>959</v>
      </c>
      <c r="KT52" s="1" t="s">
        <v>956</v>
      </c>
      <c r="KU52" s="1" t="s">
        <v>957</v>
      </c>
      <c r="KV52" s="1" t="s">
        <v>958</v>
      </c>
      <c r="KW52" s="1" t="s">
        <v>959</v>
      </c>
      <c r="KX52" s="1" t="s">
        <v>960</v>
      </c>
      <c r="KY52" s="1" t="s">
        <v>961</v>
      </c>
      <c r="KZ52" s="1" t="s">
        <v>962</v>
      </c>
      <c r="LA52" s="1" t="s">
        <v>963</v>
      </c>
      <c r="LB52" s="1" t="s">
        <v>964</v>
      </c>
      <c r="LC52" s="1" t="s">
        <v>965</v>
      </c>
      <c r="LD52" s="1" t="s">
        <v>966</v>
      </c>
      <c r="LE52" s="1" t="s">
        <v>967</v>
      </c>
      <c r="LF52" s="1" t="s">
        <v>968</v>
      </c>
      <c r="LG52" s="1" t="s">
        <v>969</v>
      </c>
      <c r="LH52" s="1" t="s">
        <v>970</v>
      </c>
      <c r="LI52" s="1" t="s">
        <v>971</v>
      </c>
      <c r="LJ52" s="1" t="s">
        <v>1034</v>
      </c>
      <c r="LK52" s="1" t="s">
        <v>1035</v>
      </c>
      <c r="LL52" s="1" t="s">
        <v>1036</v>
      </c>
      <c r="LM52" s="1" t="s">
        <v>1037</v>
      </c>
      <c r="LN52" s="1" t="s">
        <v>1038</v>
      </c>
      <c r="LO52" s="1" t="s">
        <v>1039</v>
      </c>
      <c r="LP52" s="1" t="s">
        <v>1040</v>
      </c>
      <c r="LQ52" s="1" t="s">
        <v>1041</v>
      </c>
      <c r="LR52" s="1" t="s">
        <v>1042</v>
      </c>
      <c r="LS52" s="1" t="s">
        <v>1043</v>
      </c>
      <c r="LT52" s="1" t="s">
        <v>1044</v>
      </c>
      <c r="LU52" s="1" t="s">
        <v>1045</v>
      </c>
      <c r="LV52" s="1" t="s">
        <v>1046</v>
      </c>
      <c r="LW52" s="1" t="s">
        <v>1047</v>
      </c>
      <c r="LX52" s="1" t="s">
        <v>1048</v>
      </c>
      <c r="LY52" s="1" t="s">
        <v>1049</v>
      </c>
      <c r="LZ52" s="1" t="s">
        <v>1050</v>
      </c>
      <c r="MA52" s="1" t="s">
        <v>1051</v>
      </c>
      <c r="MB52" s="1" t="s">
        <v>1052</v>
      </c>
      <c r="MC52" s="1" t="s">
        <v>1053</v>
      </c>
      <c r="MD52" s="1" t="s">
        <v>1054</v>
      </c>
      <c r="ME52" s="1" t="s">
        <v>1055</v>
      </c>
      <c r="MF52" s="1" t="s">
        <v>1056</v>
      </c>
      <c r="MG52" s="1" t="s">
        <v>1057</v>
      </c>
      <c r="MH52" s="1" t="s">
        <v>1058</v>
      </c>
      <c r="MI52" s="1" t="s">
        <v>1059</v>
      </c>
      <c r="MJ52" s="1" t="s">
        <v>1060</v>
      </c>
      <c r="MK52" s="1" t="s">
        <v>1061</v>
      </c>
      <c r="ML52" s="1" t="s">
        <v>1062</v>
      </c>
      <c r="MM52" s="1" t="s">
        <v>1063</v>
      </c>
      <c r="MN52" s="1" t="s">
        <v>1064</v>
      </c>
      <c r="MO52" s="1" t="s">
        <v>1065</v>
      </c>
      <c r="MP52" s="1" t="s">
        <v>1066</v>
      </c>
      <c r="MQ52" s="1" t="s">
        <v>1067</v>
      </c>
      <c r="MR52" s="1" t="s">
        <v>1068</v>
      </c>
      <c r="MS52" s="1" t="s">
        <v>1069</v>
      </c>
      <c r="MT52" s="1" t="s">
        <v>1070</v>
      </c>
      <c r="MU52" s="1" t="s">
        <v>1071</v>
      </c>
      <c r="MV52" s="1" t="s">
        <v>1072</v>
      </c>
      <c r="MW52" s="1" t="s">
        <v>1073</v>
      </c>
      <c r="MX52" s="1" t="s">
        <v>1074</v>
      </c>
      <c r="MY52" s="1" t="s">
        <v>1075</v>
      </c>
      <c r="MZ52" s="1" t="s">
        <v>1076</v>
      </c>
      <c r="NA52" s="1" t="s">
        <v>1077</v>
      </c>
      <c r="NB52" s="1" t="s">
        <v>1078</v>
      </c>
      <c r="NC52" s="1" t="s">
        <v>1079</v>
      </c>
      <c r="ND52" s="1" t="s">
        <v>1080</v>
      </c>
      <c r="NE52" s="1" t="s">
        <v>1081</v>
      </c>
      <c r="NF52" s="1" t="s">
        <v>1082</v>
      </c>
      <c r="NG52" s="1" t="s">
        <v>1083</v>
      </c>
      <c r="NH52" s="1" t="s">
        <v>1084</v>
      </c>
      <c r="NI52" s="1" t="s">
        <v>1085</v>
      </c>
      <c r="NJ52" s="1" t="s">
        <v>1086</v>
      </c>
      <c r="NK52" s="1" t="s">
        <v>1087</v>
      </c>
      <c r="NL52" s="1" t="s">
        <v>1088</v>
      </c>
      <c r="NM52" s="1" t="s">
        <v>1089</v>
      </c>
      <c r="NN52" s="1" t="s">
        <v>1090</v>
      </c>
      <c r="NO52" s="1" t="s">
        <v>1091</v>
      </c>
      <c r="NP52" s="1" t="s">
        <v>1092</v>
      </c>
      <c r="NQ52" s="1" t="s">
        <v>1093</v>
      </c>
      <c r="NR52" s="1" t="s">
        <v>1094</v>
      </c>
      <c r="NS52" s="1" t="s">
        <v>1095</v>
      </c>
      <c r="NT52" s="1" t="s">
        <v>1096</v>
      </c>
      <c r="NU52" s="1" t="s">
        <v>1097</v>
      </c>
      <c r="NV52" s="1" t="s">
        <v>1098</v>
      </c>
      <c r="NW52" s="1" t="s">
        <v>1099</v>
      </c>
      <c r="NX52" s="1" t="s">
        <v>1100</v>
      </c>
      <c r="NY52" s="1" t="s">
        <v>1101</v>
      </c>
      <c r="NZ52" s="1" t="s">
        <v>1101</v>
      </c>
      <c r="OA52" s="1" t="s">
        <v>1102</v>
      </c>
      <c r="OB52" s="1" t="s">
        <v>1102</v>
      </c>
      <c r="OC52" s="1" t="s">
        <v>1103</v>
      </c>
      <c r="OD52" s="1" t="s">
        <v>1103</v>
      </c>
      <c r="OE52" s="1" t="s">
        <v>1104</v>
      </c>
      <c r="OF52" s="1" t="s">
        <v>1104</v>
      </c>
      <c r="OG52" s="1" t="s">
        <v>1105</v>
      </c>
      <c r="OH52" s="1" t="s">
        <v>1105</v>
      </c>
      <c r="OI52" s="1" t="s">
        <v>1106</v>
      </c>
      <c r="OJ52" s="1" t="s">
        <v>1106</v>
      </c>
      <c r="OK52" s="1" t="s">
        <v>1107</v>
      </c>
      <c r="OL52" s="1" t="s">
        <v>1108</v>
      </c>
      <c r="OM52" s="1" t="s">
        <v>1109</v>
      </c>
      <c r="ON52" s="1" t="s">
        <v>1110</v>
      </c>
      <c r="OO52" s="1" t="s">
        <v>1111</v>
      </c>
      <c r="OP52" s="1" t="s">
        <v>1112</v>
      </c>
      <c r="OQ52" s="1" t="s">
        <v>1113</v>
      </c>
    </row>
  </sheetData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41"/>
  <sheetViews>
    <sheetView workbookViewId="0">
      <selection activeCell="I2" sqref="I2:J21"/>
    </sheetView>
  </sheetViews>
  <sheetFormatPr baseColWidth="10" defaultColWidth="9.140625" defaultRowHeight="15" x14ac:dyDescent="0.25"/>
  <cols>
    <col min="1" max="1" width="15.7109375" style="522" customWidth="1"/>
    <col min="2" max="2" width="10.7109375" style="522" customWidth="1"/>
    <col min="3" max="3" width="11.7109375" style="522" customWidth="1"/>
    <col min="4" max="4" width="18.7109375" style="554" customWidth="1"/>
    <col min="5" max="6" width="15.7109375" style="522" customWidth="1"/>
    <col min="7" max="7" width="10.7109375" style="522" customWidth="1"/>
    <col min="8" max="8" width="11.7109375" style="522" customWidth="1"/>
    <col min="9" max="9" width="18.7109375" style="522" customWidth="1"/>
    <col min="10" max="10" width="15.7109375" style="522" customWidth="1"/>
    <col min="11" max="13" width="9.140625" style="522"/>
    <col min="14" max="14" width="9" style="522" customWidth="1"/>
    <col min="18" max="16384" width="9.140625" style="522"/>
  </cols>
  <sheetData>
    <row r="1" spans="1:10" ht="24.75" customHeight="1" thickBot="1" x14ac:dyDescent="0.3">
      <c r="A1" s="777" t="s">
        <v>1431</v>
      </c>
      <c r="B1" s="778"/>
      <c r="C1" s="778"/>
      <c r="D1" s="778"/>
      <c r="E1" s="779"/>
      <c r="F1" s="780" t="s">
        <v>1432</v>
      </c>
      <c r="G1" s="781"/>
      <c r="H1" s="781"/>
      <c r="I1" s="778"/>
      <c r="J1" s="779"/>
    </row>
    <row r="2" spans="1:10" ht="15" customHeight="1" x14ac:dyDescent="0.25">
      <c r="A2" s="782" t="s">
        <v>33</v>
      </c>
      <c r="B2" s="785" t="s">
        <v>1433</v>
      </c>
      <c r="C2" s="788">
        <v>92658</v>
      </c>
      <c r="D2" s="523" t="s">
        <v>101</v>
      </c>
      <c r="E2" s="524" t="s">
        <v>1434</v>
      </c>
      <c r="F2" s="790" t="s">
        <v>17</v>
      </c>
      <c r="G2" s="793"/>
      <c r="H2" s="796">
        <v>68261</v>
      </c>
      <c r="I2" s="559" t="s">
        <v>101</v>
      </c>
      <c r="J2" s="560" t="s">
        <v>1435</v>
      </c>
    </row>
    <row r="3" spans="1:10" ht="15" customHeight="1" thickBot="1" x14ac:dyDescent="0.3">
      <c r="A3" s="783"/>
      <c r="B3" s="786"/>
      <c r="C3" s="789"/>
      <c r="D3" s="525" t="s">
        <v>1436</v>
      </c>
      <c r="E3" s="526" t="s">
        <v>1437</v>
      </c>
      <c r="F3" s="791"/>
      <c r="G3" s="794"/>
      <c r="H3" s="797"/>
      <c r="I3" s="561" t="s">
        <v>1438</v>
      </c>
      <c r="J3" s="562" t="s">
        <v>1439</v>
      </c>
    </row>
    <row r="4" spans="1:10" ht="15" customHeight="1" x14ac:dyDescent="0.25">
      <c r="A4" s="783"/>
      <c r="B4" s="786"/>
      <c r="C4" s="789"/>
      <c r="D4" s="525" t="s">
        <v>1440</v>
      </c>
      <c r="E4" s="526" t="s">
        <v>1441</v>
      </c>
      <c r="F4" s="791"/>
      <c r="G4" s="794"/>
      <c r="H4" s="797"/>
      <c r="I4" s="559" t="s">
        <v>1442</v>
      </c>
      <c r="J4" s="560" t="s">
        <v>1443</v>
      </c>
    </row>
    <row r="5" spans="1:10" ht="15" customHeight="1" thickBot="1" x14ac:dyDescent="0.3">
      <c r="A5" s="783"/>
      <c r="B5" s="786"/>
      <c r="C5" s="789"/>
      <c r="D5" s="525" t="s">
        <v>1444</v>
      </c>
      <c r="E5" s="526" t="s">
        <v>1445</v>
      </c>
      <c r="F5" s="792"/>
      <c r="G5" s="795"/>
      <c r="H5" s="798"/>
      <c r="I5" s="561"/>
      <c r="J5" s="562"/>
    </row>
    <row r="6" spans="1:10" ht="15" customHeight="1" thickBot="1" x14ac:dyDescent="0.3">
      <c r="A6" s="783"/>
      <c r="B6" s="786"/>
      <c r="C6" s="789"/>
      <c r="D6" s="527" t="s">
        <v>1446</v>
      </c>
      <c r="E6" s="528" t="s">
        <v>1447</v>
      </c>
      <c r="F6" s="799" t="s">
        <v>64</v>
      </c>
      <c r="G6" s="802"/>
      <c r="H6" s="805" t="s">
        <v>1448</v>
      </c>
      <c r="I6" s="567" t="s">
        <v>1519</v>
      </c>
      <c r="J6" s="568" t="s">
        <v>1518</v>
      </c>
    </row>
    <row r="7" spans="1:10" ht="15" customHeight="1" thickBot="1" x14ac:dyDescent="0.3">
      <c r="A7" s="783"/>
      <c r="B7" s="786"/>
      <c r="C7" s="808">
        <v>79170</v>
      </c>
      <c r="D7" s="529" t="s">
        <v>1451</v>
      </c>
      <c r="E7" s="530" t="s">
        <v>1452</v>
      </c>
      <c r="F7" s="800"/>
      <c r="G7" s="803"/>
      <c r="H7" s="806"/>
      <c r="I7" s="569"/>
      <c r="J7" s="570"/>
    </row>
    <row r="8" spans="1:10" ht="15" customHeight="1" thickBot="1" x14ac:dyDescent="0.3">
      <c r="A8" s="783"/>
      <c r="B8" s="786"/>
      <c r="C8" s="808"/>
      <c r="D8" s="527" t="s">
        <v>162</v>
      </c>
      <c r="E8" s="528" t="s">
        <v>1453</v>
      </c>
      <c r="F8" s="800"/>
      <c r="G8" s="803"/>
      <c r="H8" s="806"/>
      <c r="I8" s="567" t="s">
        <v>1449</v>
      </c>
      <c r="J8" s="568" t="s">
        <v>1450</v>
      </c>
    </row>
    <row r="9" spans="1:10" ht="15" customHeight="1" thickBot="1" x14ac:dyDescent="0.3">
      <c r="A9" s="783"/>
      <c r="B9" s="786"/>
      <c r="C9" s="808"/>
      <c r="D9" s="529" t="s">
        <v>1454</v>
      </c>
      <c r="E9" s="530" t="s">
        <v>1455</v>
      </c>
      <c r="F9" s="801"/>
      <c r="G9" s="804"/>
      <c r="H9" s="807"/>
      <c r="I9" s="569"/>
      <c r="J9" s="570"/>
    </row>
    <row r="10" spans="1:10" ht="15" customHeight="1" x14ac:dyDescent="0.25">
      <c r="A10" s="783"/>
      <c r="B10" s="786"/>
      <c r="C10" s="808"/>
      <c r="D10" s="525" t="s">
        <v>1456</v>
      </c>
      <c r="E10" s="526" t="s">
        <v>1457</v>
      </c>
      <c r="F10" s="810" t="s">
        <v>22</v>
      </c>
      <c r="G10" s="813"/>
      <c r="H10" s="816">
        <v>42634</v>
      </c>
      <c r="I10" s="563" t="s">
        <v>1458</v>
      </c>
      <c r="J10" s="564" t="s">
        <v>1459</v>
      </c>
    </row>
    <row r="11" spans="1:10" ht="15" customHeight="1" thickBot="1" x14ac:dyDescent="0.3">
      <c r="A11" s="784"/>
      <c r="B11" s="787"/>
      <c r="C11" s="809"/>
      <c r="D11" s="527" t="s">
        <v>119</v>
      </c>
      <c r="E11" s="528" t="s">
        <v>1460</v>
      </c>
      <c r="F11" s="811"/>
      <c r="G11" s="814"/>
      <c r="H11" s="817"/>
      <c r="I11" s="565" t="s">
        <v>1461</v>
      </c>
      <c r="J11" s="566" t="s">
        <v>1462</v>
      </c>
    </row>
    <row r="12" spans="1:10" ht="15" customHeight="1" thickBot="1" x14ac:dyDescent="0.3">
      <c r="A12" s="819" t="s">
        <v>21</v>
      </c>
      <c r="B12" s="843"/>
      <c r="C12" s="846" t="s">
        <v>1463</v>
      </c>
      <c r="D12" s="531" t="s">
        <v>101</v>
      </c>
      <c r="E12" s="532" t="s">
        <v>1464</v>
      </c>
      <c r="F12" s="811"/>
      <c r="G12" s="814"/>
      <c r="H12" s="817"/>
      <c r="I12" s="563" t="s">
        <v>1465</v>
      </c>
      <c r="J12" s="564" t="s">
        <v>1466</v>
      </c>
    </row>
    <row r="13" spans="1:10" ht="15" customHeight="1" thickBot="1" x14ac:dyDescent="0.3">
      <c r="A13" s="820"/>
      <c r="B13" s="844"/>
      <c r="C13" s="847"/>
      <c r="D13" s="533" t="s">
        <v>1467</v>
      </c>
      <c r="E13" s="534" t="s">
        <v>1468</v>
      </c>
      <c r="F13" s="812"/>
      <c r="G13" s="815"/>
      <c r="H13" s="818"/>
      <c r="I13" s="565"/>
      <c r="J13" s="566"/>
    </row>
    <row r="14" spans="1:10" ht="15" customHeight="1" x14ac:dyDescent="0.25">
      <c r="A14" s="820"/>
      <c r="B14" s="844"/>
      <c r="C14" s="847"/>
      <c r="D14" s="535" t="s">
        <v>1469</v>
      </c>
      <c r="E14" s="536" t="s">
        <v>1470</v>
      </c>
      <c r="F14" s="849" t="s">
        <v>1471</v>
      </c>
      <c r="G14" s="852"/>
      <c r="H14" s="840" t="s">
        <v>1472</v>
      </c>
      <c r="I14" s="571" t="s">
        <v>101</v>
      </c>
      <c r="J14" s="572" t="s">
        <v>1473</v>
      </c>
    </row>
    <row r="15" spans="1:10" ht="15" customHeight="1" x14ac:dyDescent="0.25">
      <c r="A15" s="820"/>
      <c r="B15" s="844"/>
      <c r="C15" s="847"/>
      <c r="D15" s="555" t="s">
        <v>1474</v>
      </c>
      <c r="E15" s="556" t="s">
        <v>1475</v>
      </c>
      <c r="F15" s="850"/>
      <c r="G15" s="853"/>
      <c r="H15" s="841"/>
      <c r="I15" s="573"/>
      <c r="J15" s="574"/>
    </row>
    <row r="16" spans="1:10" ht="15" customHeight="1" thickBot="1" x14ac:dyDescent="0.3">
      <c r="A16" s="821"/>
      <c r="B16" s="845"/>
      <c r="C16" s="848"/>
      <c r="D16" s="557"/>
      <c r="E16" s="558"/>
      <c r="F16" s="850"/>
      <c r="G16" s="853"/>
      <c r="H16" s="841"/>
      <c r="I16" s="573"/>
      <c r="J16" s="574"/>
    </row>
    <row r="17" spans="1:10" ht="15" customHeight="1" thickBot="1" x14ac:dyDescent="0.3">
      <c r="A17" s="828" t="s">
        <v>12</v>
      </c>
      <c r="B17" s="831"/>
      <c r="C17" s="834">
        <v>50524</v>
      </c>
      <c r="D17" s="537" t="s">
        <v>1476</v>
      </c>
      <c r="E17" s="538" t="s">
        <v>1477</v>
      </c>
      <c r="F17" s="851"/>
      <c r="G17" s="854"/>
      <c r="H17" s="842"/>
      <c r="I17" s="575"/>
      <c r="J17" s="576"/>
    </row>
    <row r="18" spans="1:10" ht="15" customHeight="1" x14ac:dyDescent="0.25">
      <c r="A18" s="829"/>
      <c r="B18" s="832"/>
      <c r="C18" s="835"/>
      <c r="D18" s="539" t="s">
        <v>1478</v>
      </c>
      <c r="E18" s="540" t="s">
        <v>1479</v>
      </c>
      <c r="F18" s="837" t="s">
        <v>1480</v>
      </c>
      <c r="G18" s="855"/>
      <c r="H18" s="822" t="s">
        <v>1481</v>
      </c>
      <c r="I18" s="577" t="s">
        <v>101</v>
      </c>
      <c r="J18" s="578" t="s">
        <v>1482</v>
      </c>
    </row>
    <row r="19" spans="1:10" ht="15" customHeight="1" x14ac:dyDescent="0.25">
      <c r="A19" s="829"/>
      <c r="B19" s="832"/>
      <c r="C19" s="835"/>
      <c r="D19" s="541" t="s">
        <v>134</v>
      </c>
      <c r="E19" s="542" t="s">
        <v>1483</v>
      </c>
      <c r="F19" s="838"/>
      <c r="G19" s="856"/>
      <c r="H19" s="823"/>
      <c r="I19" s="579"/>
      <c r="J19" s="580"/>
    </row>
    <row r="20" spans="1:10" ht="15" customHeight="1" thickBot="1" x14ac:dyDescent="0.3">
      <c r="A20" s="829"/>
      <c r="B20" s="832"/>
      <c r="C20" s="835"/>
      <c r="D20" s="543" t="s">
        <v>1484</v>
      </c>
      <c r="E20" s="544" t="s">
        <v>1485</v>
      </c>
      <c r="F20" s="838"/>
      <c r="G20" s="856"/>
      <c r="H20" s="823"/>
      <c r="I20" s="579"/>
      <c r="J20" s="580"/>
    </row>
    <row r="21" spans="1:10" ht="15" customHeight="1" thickBot="1" x14ac:dyDescent="0.3">
      <c r="A21" s="830"/>
      <c r="B21" s="833"/>
      <c r="C21" s="836"/>
      <c r="D21" s="545" t="s">
        <v>1486</v>
      </c>
      <c r="E21" s="546" t="s">
        <v>1487</v>
      </c>
      <c r="F21" s="839"/>
      <c r="G21" s="857"/>
      <c r="H21" s="824"/>
      <c r="I21" s="581"/>
      <c r="J21" s="582"/>
    </row>
    <row r="22" spans="1:10" ht="15" customHeight="1" thickBot="1" x14ac:dyDescent="0.3">
      <c r="A22" s="547"/>
      <c r="B22" s="547"/>
      <c r="C22" s="547"/>
      <c r="D22" s="547"/>
      <c r="E22" s="548"/>
      <c r="F22" s="548"/>
      <c r="G22" s="548"/>
      <c r="H22" s="548"/>
      <c r="I22" s="548"/>
      <c r="J22" s="548"/>
    </row>
    <row r="23" spans="1:10" ht="15" customHeight="1" thickBot="1" x14ac:dyDescent="0.3">
      <c r="A23" s="825" t="s">
        <v>1488</v>
      </c>
      <c r="B23" s="826"/>
      <c r="C23" s="826"/>
      <c r="D23" s="826"/>
      <c r="E23" s="827"/>
      <c r="F23" s="825" t="s">
        <v>1489</v>
      </c>
      <c r="G23" s="826"/>
      <c r="H23" s="826"/>
      <c r="I23" s="826"/>
      <c r="J23" s="827"/>
    </row>
    <row r="24" spans="1:10" ht="15" customHeight="1" x14ac:dyDescent="0.25">
      <c r="A24" s="858" t="s">
        <v>1490</v>
      </c>
      <c r="B24" s="859"/>
      <c r="C24" s="859"/>
      <c r="D24" s="860"/>
      <c r="E24" s="549" t="s">
        <v>1491</v>
      </c>
      <c r="F24" s="861" t="s">
        <v>1492</v>
      </c>
      <c r="G24" s="859"/>
      <c r="H24" s="862" t="s">
        <v>1493</v>
      </c>
      <c r="I24" s="863"/>
      <c r="J24" s="864"/>
    </row>
    <row r="25" spans="1:10" ht="15" customHeight="1" x14ac:dyDescent="0.25">
      <c r="A25" s="865" t="s">
        <v>108</v>
      </c>
      <c r="B25" s="866"/>
      <c r="C25" s="866"/>
      <c r="D25" s="867"/>
      <c r="E25" s="550" t="s">
        <v>1494</v>
      </c>
      <c r="F25" s="868" t="s">
        <v>1495</v>
      </c>
      <c r="G25" s="866"/>
      <c r="H25" s="869" t="s">
        <v>1496</v>
      </c>
      <c r="I25" s="870"/>
      <c r="J25" s="871"/>
    </row>
    <row r="26" spans="1:10" ht="15" customHeight="1" thickBot="1" x14ac:dyDescent="0.3">
      <c r="A26" s="872" t="s">
        <v>1497</v>
      </c>
      <c r="B26" s="873"/>
      <c r="C26" s="873"/>
      <c r="D26" s="874"/>
      <c r="E26" s="551" t="s">
        <v>1498</v>
      </c>
      <c r="F26" s="868" t="s">
        <v>1499</v>
      </c>
      <c r="G26" s="866"/>
      <c r="H26" s="869" t="s">
        <v>1500</v>
      </c>
      <c r="I26" s="870"/>
      <c r="J26" s="871"/>
    </row>
    <row r="27" spans="1:10" ht="15" customHeight="1" x14ac:dyDescent="0.25">
      <c r="A27" s="858" t="s">
        <v>1501</v>
      </c>
      <c r="B27" s="859"/>
      <c r="C27" s="859"/>
      <c r="D27" s="860"/>
      <c r="E27" s="549" t="s">
        <v>1502</v>
      </c>
      <c r="F27" s="868" t="s">
        <v>1503</v>
      </c>
      <c r="G27" s="866"/>
      <c r="H27" s="869" t="s">
        <v>1504</v>
      </c>
      <c r="I27" s="870"/>
      <c r="J27" s="871"/>
    </row>
    <row r="28" spans="1:10" ht="15" customHeight="1" thickBot="1" x14ac:dyDescent="0.3">
      <c r="A28" s="872" t="s">
        <v>1505</v>
      </c>
      <c r="B28" s="873"/>
      <c r="C28" s="873"/>
      <c r="D28" s="874"/>
      <c r="E28" s="551" t="s">
        <v>1506</v>
      </c>
      <c r="F28" s="886" t="s">
        <v>1507</v>
      </c>
      <c r="G28" s="873"/>
      <c r="H28" s="887" t="s">
        <v>1508</v>
      </c>
      <c r="I28" s="888"/>
      <c r="J28" s="889"/>
    </row>
    <row r="29" spans="1:10" ht="15" customHeight="1" thickBot="1" x14ac:dyDescent="0.3">
      <c r="A29" s="890" t="s">
        <v>1509</v>
      </c>
      <c r="B29" s="879"/>
      <c r="C29" s="879"/>
      <c r="D29" s="891"/>
      <c r="E29" s="552" t="s">
        <v>1510</v>
      </c>
      <c r="F29" s="892" t="s">
        <v>1511</v>
      </c>
      <c r="G29" s="893"/>
      <c r="H29" s="893"/>
      <c r="I29" s="893"/>
      <c r="J29" s="894"/>
    </row>
    <row r="30" spans="1:10" ht="15" customHeight="1" thickBot="1" x14ac:dyDescent="0.3">
      <c r="A30" s="875" t="s">
        <v>1512</v>
      </c>
      <c r="B30" s="876"/>
      <c r="C30" s="876"/>
      <c r="D30" s="877"/>
      <c r="E30" s="553" t="s">
        <v>1513</v>
      </c>
      <c r="F30" s="878" t="s">
        <v>1514</v>
      </c>
      <c r="G30" s="879"/>
      <c r="H30" s="880" t="s">
        <v>1515</v>
      </c>
      <c r="I30" s="881"/>
      <c r="J30" s="882"/>
    </row>
    <row r="31" spans="1:10" ht="15" customHeight="1" thickBot="1" x14ac:dyDescent="0.3">
      <c r="A31" s="872"/>
      <c r="B31" s="873"/>
      <c r="C31" s="873"/>
      <c r="D31" s="874"/>
      <c r="E31" s="551" t="s">
        <v>1516</v>
      </c>
      <c r="F31" s="878" t="s">
        <v>1517</v>
      </c>
      <c r="G31" s="879"/>
      <c r="H31" s="883">
        <v>3311</v>
      </c>
      <c r="I31" s="884"/>
      <c r="J31" s="885"/>
    </row>
    <row r="32" spans="1:10" ht="15" customHeight="1" x14ac:dyDescent="0.25">
      <c r="D32" s="522"/>
    </row>
    <row r="33" spans="1:4" ht="15" customHeight="1" x14ac:dyDescent="0.25">
      <c r="D33" s="522"/>
    </row>
    <row r="34" spans="1:4" ht="15" customHeight="1" x14ac:dyDescent="0.25">
      <c r="D34" s="522"/>
    </row>
    <row r="35" spans="1:4" ht="15" customHeight="1" x14ac:dyDescent="0.25">
      <c r="D35" s="522"/>
    </row>
    <row r="36" spans="1:4" ht="15" customHeight="1" x14ac:dyDescent="0.25">
      <c r="D36" s="522"/>
    </row>
    <row r="37" spans="1:4" ht="15" customHeight="1" x14ac:dyDescent="0.25">
      <c r="D37" s="522"/>
    </row>
    <row r="38" spans="1:4" ht="15" customHeight="1" x14ac:dyDescent="0.25">
      <c r="A38" s="547"/>
      <c r="B38" s="547"/>
      <c r="C38" s="547"/>
      <c r="D38" s="547"/>
    </row>
    <row r="39" spans="1:4" ht="15" customHeight="1" x14ac:dyDescent="0.25">
      <c r="D39" s="522"/>
    </row>
    <row r="40" spans="1:4" ht="15" customHeight="1" x14ac:dyDescent="0.25">
      <c r="D40" s="522"/>
    </row>
    <row r="41" spans="1:4" ht="15" customHeight="1" x14ac:dyDescent="0.25">
      <c r="D41" s="522"/>
    </row>
  </sheetData>
  <mergeCells count="51">
    <mergeCell ref="A28:D28"/>
    <mergeCell ref="F28:G28"/>
    <mergeCell ref="H28:J28"/>
    <mergeCell ref="A29:D29"/>
    <mergeCell ref="F29:J29"/>
    <mergeCell ref="A30:D31"/>
    <mergeCell ref="F30:G30"/>
    <mergeCell ref="H30:J30"/>
    <mergeCell ref="F31:G31"/>
    <mergeCell ref="H31:J31"/>
    <mergeCell ref="A26:D26"/>
    <mergeCell ref="F26:G26"/>
    <mergeCell ref="H26:J26"/>
    <mergeCell ref="A27:D27"/>
    <mergeCell ref="F27:G27"/>
    <mergeCell ref="H27:J27"/>
    <mergeCell ref="A24:D24"/>
    <mergeCell ref="F24:G24"/>
    <mergeCell ref="H24:J24"/>
    <mergeCell ref="A25:D25"/>
    <mergeCell ref="F25:G25"/>
    <mergeCell ref="H25:J25"/>
    <mergeCell ref="H18:H21"/>
    <mergeCell ref="A23:E23"/>
    <mergeCell ref="F23:J23"/>
    <mergeCell ref="A17:A21"/>
    <mergeCell ref="B17:B21"/>
    <mergeCell ref="C17:C21"/>
    <mergeCell ref="F18:F21"/>
    <mergeCell ref="H14:H17"/>
    <mergeCell ref="B12:B16"/>
    <mergeCell ref="C12:C16"/>
    <mergeCell ref="F14:F17"/>
    <mergeCell ref="G14:G17"/>
    <mergeCell ref="G18:G21"/>
    <mergeCell ref="A1:E1"/>
    <mergeCell ref="F1:J1"/>
    <mergeCell ref="A2:A11"/>
    <mergeCell ref="B2:B11"/>
    <mergeCell ref="C2:C6"/>
    <mergeCell ref="F2:F5"/>
    <mergeCell ref="G2:G5"/>
    <mergeCell ref="H2:H5"/>
    <mergeCell ref="F6:F9"/>
    <mergeCell ref="G6:G9"/>
    <mergeCell ref="H6:H9"/>
    <mergeCell ref="C7:C11"/>
    <mergeCell ref="F10:F13"/>
    <mergeCell ref="G10:G13"/>
    <mergeCell ref="H10:H13"/>
    <mergeCell ref="A12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280</vt:i4>
      </vt:variant>
    </vt:vector>
  </HeadingPairs>
  <TitlesOfParts>
    <vt:vector size="300" baseType="lpstr">
      <vt:lpstr>Recherche</vt:lpstr>
      <vt:lpstr>Complet</vt:lpstr>
      <vt:lpstr>Complet Data</vt:lpstr>
      <vt:lpstr>1806</vt:lpstr>
      <vt:lpstr>1805</vt:lpstr>
      <vt:lpstr>1804</vt:lpstr>
      <vt:lpstr>1803</vt:lpstr>
      <vt:lpstr>1802</vt:lpstr>
      <vt:lpstr>1801</vt:lpstr>
      <vt:lpstr>1806 Data</vt:lpstr>
      <vt:lpstr>1805 Data</vt:lpstr>
      <vt:lpstr>1804 Data</vt:lpstr>
      <vt:lpstr>1803 Data</vt:lpstr>
      <vt:lpstr>1802 Data</vt:lpstr>
      <vt:lpstr>1801 Data</vt:lpstr>
      <vt:lpstr>2018 Data</vt:lpstr>
      <vt:lpstr>11801</vt:lpstr>
      <vt:lpstr>11801 Data</vt:lpstr>
      <vt:lpstr>Matrice</vt:lpstr>
      <vt:lpstr>Matrice Tel</vt:lpstr>
      <vt:lpstr>agepro</vt:lpstr>
      <vt:lpstr>'11801'!année</vt:lpstr>
      <vt:lpstr>'1801'!année</vt:lpstr>
      <vt:lpstr>'1802'!année</vt:lpstr>
      <vt:lpstr>'1803'!année</vt:lpstr>
      <vt:lpstr>'1804'!année</vt:lpstr>
      <vt:lpstr>'1805'!année</vt:lpstr>
      <vt:lpstr>'1806'!année</vt:lpstr>
      <vt:lpstr>Complet!année</vt:lpstr>
      <vt:lpstr>'11801'!annéecomplet</vt:lpstr>
      <vt:lpstr>'1801'!annéecomplet</vt:lpstr>
      <vt:lpstr>'1802'!annéecomplet</vt:lpstr>
      <vt:lpstr>'1803'!annéecomplet</vt:lpstr>
      <vt:lpstr>'1804'!annéecomplet</vt:lpstr>
      <vt:lpstr>'1805'!annéecomplet</vt:lpstr>
      <vt:lpstr>'1806'!annéecomplet</vt:lpstr>
      <vt:lpstr>Complet!annéecomplet</vt:lpstr>
      <vt:lpstr>aprilentre</vt:lpstr>
      <vt:lpstr>aprilpart</vt:lpstr>
      <vt:lpstr>'11801'!assurance</vt:lpstr>
      <vt:lpstr>'1801'!assurance</vt:lpstr>
      <vt:lpstr>'1802'!assurance</vt:lpstr>
      <vt:lpstr>'1803'!assurance</vt:lpstr>
      <vt:lpstr>'1804'!assurance</vt:lpstr>
      <vt:lpstr>'1805'!assurance</vt:lpstr>
      <vt:lpstr>'1806'!assurance</vt:lpstr>
      <vt:lpstr>Complet!assurance</vt:lpstr>
      <vt:lpstr>avecro</vt:lpstr>
      <vt:lpstr>'11801 Data'!BenefMoinsAnnulat</vt:lpstr>
      <vt:lpstr>'1801 Data'!BenefMoinsAnnulat</vt:lpstr>
      <vt:lpstr>'1802 Data'!BenefMoinsAnnulat</vt:lpstr>
      <vt:lpstr>'1803 Data'!BenefMoinsAnnulat</vt:lpstr>
      <vt:lpstr>'1804 Data'!BenefMoinsAnnulat</vt:lpstr>
      <vt:lpstr>'1805 Data'!BenefMoinsAnnulat</vt:lpstr>
      <vt:lpstr>'1806 Data'!BenefMoinsAnnulat</vt:lpstr>
      <vt:lpstr>'2018 Data'!BenefMoinsAnnulat</vt:lpstr>
      <vt:lpstr>'Complet Data'!BenefMoinsAnnulat</vt:lpstr>
      <vt:lpstr>'11801'!Campagne</vt:lpstr>
      <vt:lpstr>'1801'!Campagne</vt:lpstr>
      <vt:lpstr>'1802'!Campagne</vt:lpstr>
      <vt:lpstr>'1803'!Campagne</vt:lpstr>
      <vt:lpstr>'1804'!Campagne</vt:lpstr>
      <vt:lpstr>'1805'!Campagne</vt:lpstr>
      <vt:lpstr>'1806'!Campagne</vt:lpstr>
      <vt:lpstr>Complet!Campagne</vt:lpstr>
      <vt:lpstr>'11801 Data'!campnet0</vt:lpstr>
      <vt:lpstr>'1801 Data'!campnet0</vt:lpstr>
      <vt:lpstr>'1802 Data'!campnet0</vt:lpstr>
      <vt:lpstr>'1803 Data'!campnet0</vt:lpstr>
      <vt:lpstr>'1804 Data'!campnet0</vt:lpstr>
      <vt:lpstr>'1805 Data'!campnet0</vt:lpstr>
      <vt:lpstr>'1806 Data'!campnet0</vt:lpstr>
      <vt:lpstr>'2018 Data'!campnet0</vt:lpstr>
      <vt:lpstr>'Complet Data'!campnet0</vt:lpstr>
      <vt:lpstr>capdec</vt:lpstr>
      <vt:lpstr>'11801 Data'!contratsdoublons</vt:lpstr>
      <vt:lpstr>'1801 Data'!contratsdoublons</vt:lpstr>
      <vt:lpstr>'1802 Data'!contratsdoublons</vt:lpstr>
      <vt:lpstr>'1803 Data'!contratsdoublons</vt:lpstr>
      <vt:lpstr>'1804 Data'!contratsdoublons</vt:lpstr>
      <vt:lpstr>'1805 Data'!contratsdoublons</vt:lpstr>
      <vt:lpstr>'1806 Data'!contratsdoublons</vt:lpstr>
      <vt:lpstr>'2018 Data'!contratsdoublons</vt:lpstr>
      <vt:lpstr>'11801 Data'!contratsreprise</vt:lpstr>
      <vt:lpstr>'1801 Data'!contratsreprise</vt:lpstr>
      <vt:lpstr>'1802 Data'!contratsreprise</vt:lpstr>
      <vt:lpstr>'1803 Data'!contratsreprise</vt:lpstr>
      <vt:lpstr>'1804 Data'!contratsreprise</vt:lpstr>
      <vt:lpstr>'1805 Data'!contratsreprise</vt:lpstr>
      <vt:lpstr>'1806 Data'!contratsreprise</vt:lpstr>
      <vt:lpstr>'2018 Data'!contratsreprise</vt:lpstr>
      <vt:lpstr>ctspro</vt:lpstr>
      <vt:lpstr>'11801 Data'!euronéprev</vt:lpstr>
      <vt:lpstr>'1801 Data'!euronéprev</vt:lpstr>
      <vt:lpstr>'1802 Data'!euronéprev</vt:lpstr>
      <vt:lpstr>'1803 Data'!euronéprev</vt:lpstr>
      <vt:lpstr>'1804 Data'!euronéprev</vt:lpstr>
      <vt:lpstr>'1805 Data'!euronéprev</vt:lpstr>
      <vt:lpstr>'1806 Data'!euronéprev</vt:lpstr>
      <vt:lpstr>'2018 Data'!euronéprev</vt:lpstr>
      <vt:lpstr>'Complet Data'!euronéprev</vt:lpstr>
      <vt:lpstr>'11801 Data'!euronésanté</vt:lpstr>
      <vt:lpstr>'1801 Data'!euronésanté</vt:lpstr>
      <vt:lpstr>'1802 Data'!euronésanté</vt:lpstr>
      <vt:lpstr>'1803 Data'!euronésanté</vt:lpstr>
      <vt:lpstr>'1804 Data'!euronésanté</vt:lpstr>
      <vt:lpstr>'1805 Data'!euronésanté</vt:lpstr>
      <vt:lpstr>'1806 Data'!euronésanté</vt:lpstr>
      <vt:lpstr>'2018 Data'!euronésanté</vt:lpstr>
      <vt:lpstr>'Complet Data'!euronésanté</vt:lpstr>
      <vt:lpstr>fraispro</vt:lpstr>
      <vt:lpstr>franchise</vt:lpstr>
      <vt:lpstr>'11801'!Infoman</vt:lpstr>
      <vt:lpstr>'1801'!Infoman</vt:lpstr>
      <vt:lpstr>'1802'!Infoman</vt:lpstr>
      <vt:lpstr>'1803'!Infoman</vt:lpstr>
      <vt:lpstr>'1804'!Infoman</vt:lpstr>
      <vt:lpstr>'1805'!Infoman</vt:lpstr>
      <vt:lpstr>'1806'!Infoman</vt:lpstr>
      <vt:lpstr>Complet!Infoman</vt:lpstr>
      <vt:lpstr>invalidité</vt:lpstr>
      <vt:lpstr>'11801'!mens</vt:lpstr>
      <vt:lpstr>'1801'!mens</vt:lpstr>
      <vt:lpstr>'1802'!mens</vt:lpstr>
      <vt:lpstr>'1803'!mens</vt:lpstr>
      <vt:lpstr>'1804'!mens</vt:lpstr>
      <vt:lpstr>'1805'!mens</vt:lpstr>
      <vt:lpstr>'1806'!mens</vt:lpstr>
      <vt:lpstr>Complet!mens</vt:lpstr>
      <vt:lpstr>'11801 Data'!moisp2</vt:lpstr>
      <vt:lpstr>'1801 Data'!moisp2</vt:lpstr>
      <vt:lpstr>'1802 Data'!moisp2</vt:lpstr>
      <vt:lpstr>'1803 Data'!moisp2</vt:lpstr>
      <vt:lpstr>'1804 Data'!moisp2</vt:lpstr>
      <vt:lpstr>'1805 Data'!moisp2</vt:lpstr>
      <vt:lpstr>'1806 Data'!moisp2</vt:lpstr>
      <vt:lpstr>'11801 Data'!nbcontratsall</vt:lpstr>
      <vt:lpstr>'1801 Data'!nbcontratsall</vt:lpstr>
      <vt:lpstr>'1802 Data'!nbcontratsall</vt:lpstr>
      <vt:lpstr>'1803 Data'!nbcontratsall</vt:lpstr>
      <vt:lpstr>'1804 Data'!nbcontratsall</vt:lpstr>
      <vt:lpstr>'1805 Data'!nbcontratsall</vt:lpstr>
      <vt:lpstr>'1806 Data'!nbcontratsall</vt:lpstr>
      <vt:lpstr>'2018 Data'!nbcontratsall</vt:lpstr>
      <vt:lpstr>'Complet Data'!nbcontratsall</vt:lpstr>
      <vt:lpstr>nompren</vt:lpstr>
      <vt:lpstr>optdos</vt:lpstr>
      <vt:lpstr>optpsy</vt:lpstr>
      <vt:lpstr>prevapriltel</vt:lpstr>
      <vt:lpstr>prevaviva</vt:lpstr>
      <vt:lpstr>prevcipres</vt:lpstr>
      <vt:lpstr>regime</vt:lpstr>
      <vt:lpstr>renteconj</vt:lpstr>
      <vt:lpstr>renteed</vt:lpstr>
      <vt:lpstr>salairepro</vt:lpstr>
      <vt:lpstr>santéindivalptis</vt:lpstr>
      <vt:lpstr>santéindivapril</vt:lpstr>
      <vt:lpstr>santéindivasaf</vt:lpstr>
      <vt:lpstr>santéindivceg</vt:lpstr>
      <vt:lpstr>santéindivneo</vt:lpstr>
      <vt:lpstr>slinterm</vt:lpstr>
      <vt:lpstr>'11801'!tarif2016</vt:lpstr>
      <vt:lpstr>'1801'!tarif2016</vt:lpstr>
      <vt:lpstr>'1802'!tarif2016</vt:lpstr>
      <vt:lpstr>'1803'!tarif2016</vt:lpstr>
      <vt:lpstr>'1804'!tarif2016</vt:lpstr>
      <vt:lpstr>'1805'!tarif2016</vt:lpstr>
      <vt:lpstr>'1806'!tarif2016</vt:lpstr>
      <vt:lpstr>Complet!tarif2016</vt:lpstr>
      <vt:lpstr>'11801'!tarif2017</vt:lpstr>
      <vt:lpstr>'1801'!tarif2017</vt:lpstr>
      <vt:lpstr>'1802'!tarif2017</vt:lpstr>
      <vt:lpstr>'1803'!tarif2017</vt:lpstr>
      <vt:lpstr>'1804'!tarif2017</vt:lpstr>
      <vt:lpstr>'1805'!tarif2017</vt:lpstr>
      <vt:lpstr>'1806'!tarif2017</vt:lpstr>
      <vt:lpstr>Complet!tarif2017</vt:lpstr>
      <vt:lpstr>'11801'!tarif2019</vt:lpstr>
      <vt:lpstr>'1801'!tarif2019</vt:lpstr>
      <vt:lpstr>'1802'!tarif2019</vt:lpstr>
      <vt:lpstr>'1803'!tarif2019</vt:lpstr>
      <vt:lpstr>'1804'!tarif2019</vt:lpstr>
      <vt:lpstr>'1805'!tarif2019</vt:lpstr>
      <vt:lpstr>'1806'!tarif2019</vt:lpstr>
      <vt:lpstr>Complet!tarif2019</vt:lpstr>
      <vt:lpstr>'11801'!tarif2020</vt:lpstr>
      <vt:lpstr>'1801'!tarif2020</vt:lpstr>
      <vt:lpstr>'1802'!tarif2020</vt:lpstr>
      <vt:lpstr>'1803'!tarif2020</vt:lpstr>
      <vt:lpstr>'1804'!tarif2020</vt:lpstr>
      <vt:lpstr>'1805'!tarif2020</vt:lpstr>
      <vt:lpstr>'1806'!tarif2020</vt:lpstr>
      <vt:lpstr>Complet!tarif2020</vt:lpstr>
      <vt:lpstr>'11801 Data'!TotalCA</vt:lpstr>
      <vt:lpstr>'1801 Data'!TotalCA</vt:lpstr>
      <vt:lpstr>'1802 Data'!TotalCA</vt:lpstr>
      <vt:lpstr>'1803 Data'!TotalCA</vt:lpstr>
      <vt:lpstr>'1804 Data'!TotalCA</vt:lpstr>
      <vt:lpstr>'1805 Data'!TotalCA</vt:lpstr>
      <vt:lpstr>'1806 Data'!TotalCA</vt:lpstr>
      <vt:lpstr>'2018 Data'!TotalCA</vt:lpstr>
      <vt:lpstr>'Complet Data'!TotalCA</vt:lpstr>
      <vt:lpstr>'11801 Data'!TotalPrimes</vt:lpstr>
      <vt:lpstr>'1801 Data'!TotalPrimes</vt:lpstr>
      <vt:lpstr>'1802 Data'!TotalPrimes</vt:lpstr>
      <vt:lpstr>'1803 Data'!TotalPrimes</vt:lpstr>
      <vt:lpstr>'1804 Data'!TotalPrimes</vt:lpstr>
      <vt:lpstr>'1805 Data'!TotalPrimes</vt:lpstr>
      <vt:lpstr>'1806 Data'!TotalPrimes</vt:lpstr>
      <vt:lpstr>'2018 Data'!TotalPrimes</vt:lpstr>
      <vt:lpstr>'Complet Data'!TotalPrimes</vt:lpstr>
      <vt:lpstr>'11801 Data'!txalp</vt:lpstr>
      <vt:lpstr>'1801 Data'!txalp</vt:lpstr>
      <vt:lpstr>'1802 Data'!txalp</vt:lpstr>
      <vt:lpstr>'1803 Data'!txalp</vt:lpstr>
      <vt:lpstr>'1804 Data'!txalp</vt:lpstr>
      <vt:lpstr>'1805 Data'!txalp</vt:lpstr>
      <vt:lpstr>'1806 Data'!txalp</vt:lpstr>
      <vt:lpstr>'2018 Data'!txalp</vt:lpstr>
      <vt:lpstr>'Complet Data'!txalp</vt:lpstr>
      <vt:lpstr>'11801 Data'!txapril</vt:lpstr>
      <vt:lpstr>'1801 Data'!txapril</vt:lpstr>
      <vt:lpstr>'1802 Data'!txapril</vt:lpstr>
      <vt:lpstr>'1803 Data'!txapril</vt:lpstr>
      <vt:lpstr>'1804 Data'!txapril</vt:lpstr>
      <vt:lpstr>'1805 Data'!txapril</vt:lpstr>
      <vt:lpstr>'1806 Data'!txapril</vt:lpstr>
      <vt:lpstr>'2018 Data'!txapril</vt:lpstr>
      <vt:lpstr>'Complet Data'!txapril</vt:lpstr>
      <vt:lpstr>'11801 Data'!txasaf</vt:lpstr>
      <vt:lpstr>'1801 Data'!txasaf</vt:lpstr>
      <vt:lpstr>'1802 Data'!txasaf</vt:lpstr>
      <vt:lpstr>'1803 Data'!txasaf</vt:lpstr>
      <vt:lpstr>'1804 Data'!txasaf</vt:lpstr>
      <vt:lpstr>'1805 Data'!txasaf</vt:lpstr>
      <vt:lpstr>'1806 Data'!txasaf</vt:lpstr>
      <vt:lpstr>'2018 Data'!txasaf</vt:lpstr>
      <vt:lpstr>'Complet Data'!txasaf</vt:lpstr>
      <vt:lpstr>'11801 Data'!txaviv</vt:lpstr>
      <vt:lpstr>'1801 Data'!txaviv</vt:lpstr>
      <vt:lpstr>'1802 Data'!txaviv</vt:lpstr>
      <vt:lpstr>'1803 Data'!txaviv</vt:lpstr>
      <vt:lpstr>'1804 Data'!txaviv</vt:lpstr>
      <vt:lpstr>'1805 Data'!txaviv</vt:lpstr>
      <vt:lpstr>'1806 Data'!txaviv</vt:lpstr>
      <vt:lpstr>'2018 Data'!txaviv</vt:lpstr>
      <vt:lpstr>'Complet Data'!txaviv</vt:lpstr>
      <vt:lpstr>'11801 Data'!txceg</vt:lpstr>
      <vt:lpstr>'1801 Data'!txceg</vt:lpstr>
      <vt:lpstr>'1802 Data'!txceg</vt:lpstr>
      <vt:lpstr>'1803 Data'!txceg</vt:lpstr>
      <vt:lpstr>'1804 Data'!txceg</vt:lpstr>
      <vt:lpstr>'1805 Data'!txceg</vt:lpstr>
      <vt:lpstr>'1806 Data'!txceg</vt:lpstr>
      <vt:lpstr>'2018 Data'!txceg</vt:lpstr>
      <vt:lpstr>'Complet Data'!txceg</vt:lpstr>
      <vt:lpstr>'11801 Data'!txcip</vt:lpstr>
      <vt:lpstr>'1801 Data'!txcip</vt:lpstr>
      <vt:lpstr>'1802 Data'!txcip</vt:lpstr>
      <vt:lpstr>'1803 Data'!txcip</vt:lpstr>
      <vt:lpstr>'1804 Data'!txcip</vt:lpstr>
      <vt:lpstr>'1805 Data'!txcip</vt:lpstr>
      <vt:lpstr>'1806 Data'!txcip</vt:lpstr>
      <vt:lpstr>'2018 Data'!txcip</vt:lpstr>
      <vt:lpstr>'Complet Data'!txcip</vt:lpstr>
      <vt:lpstr>'11801 Data'!txnéoprev</vt:lpstr>
      <vt:lpstr>'1801 Data'!txnéoprev</vt:lpstr>
      <vt:lpstr>'1802 Data'!txnéoprev</vt:lpstr>
      <vt:lpstr>'1803 Data'!txnéoprev</vt:lpstr>
      <vt:lpstr>'1804 Data'!txnéoprev</vt:lpstr>
      <vt:lpstr>'1805 Data'!txnéoprev</vt:lpstr>
      <vt:lpstr>'1806 Data'!txnéoprev</vt:lpstr>
      <vt:lpstr>'2018 Data'!txnéoprev</vt:lpstr>
      <vt:lpstr>'Complet Data'!txnéoprev</vt:lpstr>
      <vt:lpstr>'11801 Data'!txnéosant</vt:lpstr>
      <vt:lpstr>'1801 Data'!txnéosant</vt:lpstr>
      <vt:lpstr>'1802 Data'!txnéosant</vt:lpstr>
      <vt:lpstr>'1803 Data'!txnéosant</vt:lpstr>
      <vt:lpstr>'1804 Data'!txnéosant</vt:lpstr>
      <vt:lpstr>'1805 Data'!txnéosant</vt:lpstr>
      <vt:lpstr>'1806 Data'!txnéosant</vt:lpstr>
      <vt:lpstr>'2018 Data'!txnéosant</vt:lpstr>
      <vt:lpstr>'Complet Data'!txnéosant</vt:lpstr>
      <vt:lpstr>'11801 Data'!txsl</vt:lpstr>
      <vt:lpstr>'1801 Data'!txsl</vt:lpstr>
      <vt:lpstr>'1802 Data'!txsl</vt:lpstr>
      <vt:lpstr>'1803 Data'!txsl</vt:lpstr>
      <vt:lpstr>'1804 Data'!txsl</vt:lpstr>
      <vt:lpstr>'1805 Data'!txsl</vt:lpstr>
      <vt:lpstr>'1806 Data'!txsl</vt:lpstr>
      <vt:lpstr>'2018 Data'!txsl</vt:lpstr>
      <vt:lpstr>'Complet Data'!txsl</vt:lpstr>
      <vt:lpstr>'11801'!typecomm</vt:lpstr>
      <vt:lpstr>'1801'!typecomm</vt:lpstr>
      <vt:lpstr>'1802'!typecomm</vt:lpstr>
      <vt:lpstr>'1803'!typecomm</vt:lpstr>
      <vt:lpstr>'1804'!typecomm</vt:lpstr>
      <vt:lpstr>'1805'!typecomm</vt:lpstr>
      <vt:lpstr>'1806'!typecomm</vt:lpstr>
      <vt:lpstr>Complet!typecomm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2018-06-08T07:17:12Z</dcterms:modified>
</cp:coreProperties>
</file>