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2760" yWindow="32760" windowWidth="28800" windowHeight="11310"/>
  </bookViews>
  <sheets>
    <sheet name="Recap" sheetId="2" r:id="rId1"/>
    <sheet name="Quincallerie" sheetId="5" r:id="rId2"/>
    <sheet name="Support Renvoi" sheetId="3" r:id="rId3"/>
    <sheet name="Groupe Moteur" sheetId="8" r:id="rId4"/>
    <sheet name="Support Corniere" sheetId="6" r:id="rId5"/>
    <sheet name="Support V" sheetId="7" r:id="rId6"/>
    <sheet name="LISTE" sheetId="4" r:id="rId7"/>
  </sheets>
  <definedNames>
    <definedName name="_xlnm.Print_Area" localSheetId="3">'Groupe Moteur'!$B$2:$R$45</definedName>
    <definedName name="_xlnm.Print_Area" localSheetId="4">'Support Corniere'!$B$2:$L$42</definedName>
    <definedName name="_xlnm.Print_Area" localSheetId="2">'Support Renvoi'!$B$2:$O$42</definedName>
    <definedName name="_xlnm.Print_Area" localSheetId="5">'Support V'!$B$2:$P$42</definedName>
  </definedNames>
  <calcPr calcId="145621"/>
</workbook>
</file>

<file path=xl/calcChain.xml><?xml version="1.0" encoding="utf-8"?>
<calcChain xmlns="http://schemas.openxmlformats.org/spreadsheetml/2006/main">
  <c r="H34" i="7" l="1"/>
  <c r="H35" i="7"/>
  <c r="H36" i="7"/>
  <c r="H37" i="7"/>
  <c r="H38" i="7"/>
  <c r="H39" i="7"/>
  <c r="H40" i="7"/>
  <c r="H41" i="7"/>
  <c r="H42" i="7"/>
  <c r="H33" i="7"/>
  <c r="W24" i="7"/>
  <c r="W23" i="7"/>
  <c r="W25" i="7" l="1"/>
  <c r="U26" i="7"/>
  <c r="W17" i="7"/>
  <c r="U17" i="7"/>
  <c r="W15" i="7"/>
  <c r="W16" i="7"/>
  <c r="U15" i="7"/>
  <c r="U16" i="7"/>
  <c r="U14" i="7"/>
  <c r="W22" i="7"/>
  <c r="U22" i="7"/>
  <c r="U23" i="7"/>
  <c r="U24" i="7"/>
  <c r="U25" i="7"/>
  <c r="E33" i="7"/>
  <c r="K33" i="7"/>
  <c r="K34" i="7"/>
  <c r="K35" i="7"/>
  <c r="K36" i="7"/>
  <c r="K37" i="7"/>
  <c r="K38" i="7"/>
  <c r="K39" i="7"/>
  <c r="K40" i="7"/>
  <c r="K41" i="7"/>
  <c r="K42" i="7"/>
  <c r="K32" i="7"/>
  <c r="L30" i="7"/>
  <c r="D34" i="7"/>
  <c r="D35" i="7"/>
  <c r="G49" i="7" s="1"/>
  <c r="D36" i="7"/>
  <c r="G50" i="7" s="1"/>
  <c r="D37" i="7"/>
  <c r="H51" i="7" s="1"/>
  <c r="D38" i="7"/>
  <c r="C52" i="7" s="1"/>
  <c r="D39" i="7"/>
  <c r="G53" i="7" s="1"/>
  <c r="D40" i="7"/>
  <c r="G54" i="7" s="1"/>
  <c r="D41" i="7"/>
  <c r="C55" i="7" s="1"/>
  <c r="D42" i="7"/>
  <c r="G56" i="7" s="1"/>
  <c r="C34" i="7"/>
  <c r="C35" i="7"/>
  <c r="D49" i="7" s="1"/>
  <c r="C36" i="7"/>
  <c r="D50" i="7" s="1"/>
  <c r="C37" i="7"/>
  <c r="C38" i="7"/>
  <c r="C39" i="7"/>
  <c r="C40" i="7"/>
  <c r="D54" i="7" s="1"/>
  <c r="C41" i="7"/>
  <c r="C42" i="7"/>
  <c r="C33" i="7"/>
  <c r="J42" i="7"/>
  <c r="J38" i="7"/>
  <c r="J35" i="7"/>
  <c r="J34" i="7"/>
  <c r="C53" i="7"/>
  <c r="I50" i="7"/>
  <c r="H50" i="7"/>
  <c r="E48" i="7"/>
  <c r="H33" i="6"/>
  <c r="H34" i="6"/>
  <c r="H35" i="6"/>
  <c r="H36" i="6"/>
  <c r="H37" i="6"/>
  <c r="H38" i="6"/>
  <c r="H39" i="6"/>
  <c r="H40" i="6"/>
  <c r="H41" i="6"/>
  <c r="H32" i="6"/>
  <c r="J33" i="6"/>
  <c r="J34" i="6"/>
  <c r="J35" i="6"/>
  <c r="J36" i="6"/>
  <c r="J37" i="6"/>
  <c r="J38" i="6"/>
  <c r="J39" i="6"/>
  <c r="J40" i="6"/>
  <c r="J41" i="6"/>
  <c r="J32" i="6"/>
  <c r="K33" i="6"/>
  <c r="K34" i="6"/>
  <c r="K35" i="6"/>
  <c r="K36" i="6"/>
  <c r="K37" i="6"/>
  <c r="K38" i="6"/>
  <c r="K39" i="6"/>
  <c r="K40" i="6"/>
  <c r="K41" i="6"/>
  <c r="K32" i="6"/>
  <c r="W15" i="6"/>
  <c r="W16" i="6"/>
  <c r="W17" i="6"/>
  <c r="W14" i="6"/>
  <c r="W13" i="6"/>
  <c r="W12" i="6"/>
  <c r="W11" i="6"/>
  <c r="W10" i="6"/>
  <c r="W9" i="6"/>
  <c r="W8" i="6"/>
  <c r="W7" i="6"/>
  <c r="W6" i="6"/>
  <c r="W5" i="6"/>
  <c r="W4" i="6"/>
  <c r="I33" i="6"/>
  <c r="I34" i="6"/>
  <c r="I35" i="6"/>
  <c r="I36" i="6"/>
  <c r="I37" i="6"/>
  <c r="I38" i="6"/>
  <c r="I39" i="6"/>
  <c r="I40" i="6"/>
  <c r="I41" i="6"/>
  <c r="I32" i="6"/>
  <c r="I34" i="8"/>
  <c r="W20" i="8"/>
  <c r="H36" i="8"/>
  <c r="H35" i="8"/>
  <c r="I35" i="8"/>
  <c r="J35" i="8"/>
  <c r="K35" i="8"/>
  <c r="L35" i="8"/>
  <c r="M35" i="8"/>
  <c r="N35" i="8"/>
  <c r="O35" i="8"/>
  <c r="P35" i="8"/>
  <c r="Q35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O37" i="8"/>
  <c r="P37" i="8"/>
  <c r="Q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P39" i="8"/>
  <c r="Q39" i="8"/>
  <c r="H40" i="8"/>
  <c r="I40" i="8"/>
  <c r="J40" i="8"/>
  <c r="K40" i="8"/>
  <c r="L40" i="8"/>
  <c r="M40" i="8"/>
  <c r="N40" i="8"/>
  <c r="O40" i="8"/>
  <c r="P40" i="8"/>
  <c r="Q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L34" i="8"/>
  <c r="N34" i="8"/>
  <c r="O34" i="8"/>
  <c r="K34" i="8"/>
  <c r="W19" i="8"/>
  <c r="W18" i="8"/>
  <c r="W17" i="8"/>
  <c r="W16" i="8"/>
  <c r="W13" i="8"/>
  <c r="W12" i="8"/>
  <c r="W11" i="8"/>
  <c r="W10" i="8"/>
  <c r="W9" i="8"/>
  <c r="W8" i="8"/>
  <c r="W7" i="8"/>
  <c r="W6" i="8"/>
  <c r="W5" i="8"/>
  <c r="W4" i="8"/>
  <c r="W14" i="8"/>
  <c r="W15" i="8"/>
  <c r="P34" i="8"/>
  <c r="M34" i="8"/>
  <c r="Q34" i="8"/>
  <c r="U19" i="8"/>
  <c r="U18" i="8"/>
  <c r="U17" i="8"/>
  <c r="U16" i="8"/>
  <c r="U15" i="8"/>
  <c r="U14" i="8"/>
  <c r="U13" i="8"/>
  <c r="J34" i="8"/>
  <c r="H34" i="8"/>
  <c r="U12" i="8"/>
  <c r="U11" i="8"/>
  <c r="U10" i="8"/>
  <c r="U9" i="8"/>
  <c r="U8" i="8"/>
  <c r="U7" i="8"/>
  <c r="U6" i="8"/>
  <c r="U5" i="8"/>
  <c r="U4" i="8"/>
  <c r="I42" i="7"/>
  <c r="G42" i="7"/>
  <c r="F42" i="7"/>
  <c r="H56" i="7" s="1"/>
  <c r="E42" i="7"/>
  <c r="C56" i="7"/>
  <c r="D56" i="7"/>
  <c r="I41" i="7"/>
  <c r="G41" i="7"/>
  <c r="F41" i="7"/>
  <c r="J41" i="7" s="1"/>
  <c r="E41" i="7"/>
  <c r="I40" i="7"/>
  <c r="G40" i="7"/>
  <c r="F40" i="7"/>
  <c r="E54" i="7" s="1"/>
  <c r="E40" i="7"/>
  <c r="I39" i="7"/>
  <c r="G39" i="7"/>
  <c r="F39" i="7"/>
  <c r="I53" i="7" s="1"/>
  <c r="E39" i="7"/>
  <c r="W21" i="7"/>
  <c r="U21" i="7"/>
  <c r="I38" i="7"/>
  <c r="G38" i="7"/>
  <c r="F38" i="7"/>
  <c r="I52" i="7" s="1"/>
  <c r="E38" i="7"/>
  <c r="W20" i="7"/>
  <c r="U20" i="7"/>
  <c r="I37" i="7"/>
  <c r="G37" i="7"/>
  <c r="F37" i="7"/>
  <c r="E51" i="7" s="1"/>
  <c r="E37" i="7"/>
  <c r="W19" i="7"/>
  <c r="U19" i="7"/>
  <c r="I36" i="7"/>
  <c r="G36" i="7"/>
  <c r="F36" i="7"/>
  <c r="F50" i="7" s="1"/>
  <c r="E36" i="7"/>
  <c r="W18" i="7"/>
  <c r="U18" i="7"/>
  <c r="I35" i="7"/>
  <c r="G35" i="7"/>
  <c r="F35" i="7"/>
  <c r="E49" i="7" s="1"/>
  <c r="E35" i="7"/>
  <c r="C49" i="7"/>
  <c r="W14" i="7"/>
  <c r="I34" i="7"/>
  <c r="G34" i="7"/>
  <c r="F34" i="7"/>
  <c r="I48" i="7" s="1"/>
  <c r="E34" i="7"/>
  <c r="G48" i="7"/>
  <c r="D48" i="7"/>
  <c r="W13" i="7"/>
  <c r="U13" i="7"/>
  <c r="I33" i="7"/>
  <c r="G33" i="7"/>
  <c r="F33" i="7"/>
  <c r="I47" i="7" s="1"/>
  <c r="D33" i="7"/>
  <c r="C47" i="7" s="1"/>
  <c r="W12" i="7"/>
  <c r="U12" i="7"/>
  <c r="W11" i="7"/>
  <c r="U11" i="7"/>
  <c r="W10" i="7"/>
  <c r="U10" i="7"/>
  <c r="W9" i="7"/>
  <c r="U9" i="7"/>
  <c r="W8" i="7"/>
  <c r="U8" i="7"/>
  <c r="W7" i="7"/>
  <c r="U7" i="7"/>
  <c r="W6" i="7"/>
  <c r="U6" i="7"/>
  <c r="W5" i="7"/>
  <c r="U5" i="7"/>
  <c r="W4" i="7"/>
  <c r="U4" i="7"/>
  <c r="W18" i="6"/>
  <c r="U18" i="6"/>
  <c r="U17" i="6"/>
  <c r="U16" i="6"/>
  <c r="U15" i="6"/>
  <c r="U14" i="6"/>
  <c r="U13" i="6"/>
  <c r="U12" i="6"/>
  <c r="U11" i="6"/>
  <c r="U10" i="6"/>
  <c r="U9" i="6"/>
  <c r="U8" i="6"/>
  <c r="U7" i="6"/>
  <c r="U6" i="6"/>
  <c r="U5" i="6"/>
  <c r="U4" i="6"/>
  <c r="N32" i="3"/>
  <c r="L32" i="3"/>
  <c r="K32" i="3"/>
  <c r="J32" i="3"/>
  <c r="I32" i="3"/>
  <c r="W8" i="3"/>
  <c r="W13" i="3"/>
  <c r="W12" i="3"/>
  <c r="W11" i="3"/>
  <c r="W10" i="3"/>
  <c r="W9" i="3"/>
  <c r="W7" i="3"/>
  <c r="W6" i="3"/>
  <c r="W5" i="3"/>
  <c r="W4" i="3"/>
  <c r="U5" i="3"/>
  <c r="U6" i="3"/>
  <c r="U7" i="3"/>
  <c r="U8" i="3"/>
  <c r="U9" i="3"/>
  <c r="U10" i="3"/>
  <c r="U11" i="3"/>
  <c r="U12" i="3"/>
  <c r="U13" i="3"/>
  <c r="U4" i="3"/>
  <c r="W19" i="3"/>
  <c r="U19" i="3"/>
  <c r="U18" i="3"/>
  <c r="U17" i="3"/>
  <c r="U16" i="3"/>
  <c r="U15" i="3"/>
  <c r="U14" i="3"/>
  <c r="H32" i="3"/>
  <c r="L33" i="3"/>
  <c r="L34" i="3"/>
  <c r="L35" i="3"/>
  <c r="L36" i="3"/>
  <c r="L37" i="3"/>
  <c r="L38" i="3"/>
  <c r="L39" i="3"/>
  <c r="L40" i="3"/>
  <c r="L41" i="3"/>
  <c r="M33" i="3"/>
  <c r="M34" i="3"/>
  <c r="M35" i="3"/>
  <c r="M36" i="3"/>
  <c r="M37" i="3"/>
  <c r="M38" i="3"/>
  <c r="M39" i="3"/>
  <c r="M40" i="3"/>
  <c r="M41" i="3"/>
  <c r="M32" i="3"/>
  <c r="W18" i="3"/>
  <c r="W17" i="3"/>
  <c r="W16" i="3"/>
  <c r="W14" i="3"/>
  <c r="W15" i="3"/>
  <c r="I33" i="3"/>
  <c r="I34" i="3"/>
  <c r="I35" i="3"/>
  <c r="I36" i="3"/>
  <c r="I37" i="3"/>
  <c r="I38" i="3"/>
  <c r="I39" i="3"/>
  <c r="I40" i="3"/>
  <c r="I41" i="3"/>
  <c r="K33" i="3"/>
  <c r="K34" i="3"/>
  <c r="K35" i="3"/>
  <c r="K36" i="3"/>
  <c r="K37" i="3"/>
  <c r="K38" i="3"/>
  <c r="K39" i="3"/>
  <c r="K40" i="3"/>
  <c r="K41" i="3"/>
  <c r="N33" i="3"/>
  <c r="N34" i="3"/>
  <c r="N35" i="3"/>
  <c r="N36" i="3"/>
  <c r="N37" i="3"/>
  <c r="N38" i="3"/>
  <c r="N39" i="3"/>
  <c r="N40" i="3"/>
  <c r="N41" i="3"/>
  <c r="J33" i="3"/>
  <c r="J34" i="3"/>
  <c r="J35" i="3"/>
  <c r="J36" i="3"/>
  <c r="J37" i="3"/>
  <c r="J38" i="3"/>
  <c r="J39" i="3"/>
  <c r="J40" i="3"/>
  <c r="J41" i="3"/>
  <c r="H33" i="3"/>
  <c r="H34" i="3"/>
  <c r="H35" i="3"/>
  <c r="H36" i="3"/>
  <c r="H37" i="3"/>
  <c r="H38" i="3"/>
  <c r="H39" i="3"/>
  <c r="H40" i="3"/>
  <c r="H41" i="3"/>
  <c r="C50" i="7" l="1"/>
  <c r="G51" i="7"/>
  <c r="C51" i="7"/>
  <c r="J36" i="7"/>
  <c r="F48" i="7"/>
  <c r="F51" i="7"/>
  <c r="J37" i="7"/>
  <c r="D55" i="7"/>
  <c r="F49" i="7"/>
  <c r="I51" i="7"/>
  <c r="H49" i="7"/>
  <c r="J39" i="7"/>
  <c r="I49" i="7"/>
  <c r="J40" i="7"/>
  <c r="W26" i="7"/>
  <c r="J33" i="7"/>
  <c r="D51" i="7"/>
  <c r="G55" i="7"/>
  <c r="H52" i="7"/>
  <c r="H55" i="7"/>
  <c r="D47" i="7"/>
  <c r="E47" i="7"/>
  <c r="F47" i="7"/>
  <c r="D53" i="7"/>
  <c r="G47" i="7"/>
  <c r="H48" i="7"/>
  <c r="D52" i="7"/>
  <c r="I56" i="7"/>
  <c r="F52" i="7"/>
  <c r="H54" i="7"/>
  <c r="I55" i="7"/>
  <c r="E55" i="7"/>
  <c r="F55" i="7"/>
  <c r="F54" i="7"/>
  <c r="H47" i="7"/>
  <c r="E52" i="7"/>
  <c r="F53" i="7"/>
  <c r="C48" i="7"/>
  <c r="E50" i="7"/>
  <c r="G52" i="7"/>
  <c r="H53" i="7"/>
  <c r="I54" i="7"/>
  <c r="C54" i="7"/>
  <c r="E56" i="7"/>
  <c r="F56" i="7"/>
  <c r="E53" i="7"/>
</calcChain>
</file>

<file path=xl/sharedStrings.xml><?xml version="1.0" encoding="utf-8"?>
<sst xmlns="http://schemas.openxmlformats.org/spreadsheetml/2006/main" count="483" uniqueCount="128">
  <si>
    <t>SUIVI DU DOSSIER DE FABRICATION</t>
  </si>
  <si>
    <t>N° Document :</t>
  </si>
  <si>
    <t xml:space="preserve">       Provisoire</t>
  </si>
  <si>
    <t xml:space="preserve">            Définitif</t>
  </si>
  <si>
    <t>Version :</t>
  </si>
  <si>
    <t>du</t>
  </si>
  <si>
    <t>Rédacteur :</t>
  </si>
  <si>
    <t>Devis N° :</t>
  </si>
  <si>
    <t>Date livraison :</t>
  </si>
  <si>
    <t>Client :</t>
  </si>
  <si>
    <t>N° affaire :</t>
  </si>
  <si>
    <t>Identification du convoyeur :</t>
  </si>
  <si>
    <t>En Stock</t>
  </si>
  <si>
    <t>En Fabrication</t>
  </si>
  <si>
    <t>En Commande</t>
  </si>
  <si>
    <t>Terminé</t>
  </si>
  <si>
    <t>Référence</t>
  </si>
  <si>
    <t>Désignation</t>
  </si>
  <si>
    <t>Qté</t>
  </si>
  <si>
    <t>Délai</t>
  </si>
  <si>
    <t>CHARPENTE</t>
  </si>
  <si>
    <t>Nomenclature CHARPENTE</t>
  </si>
  <si>
    <t>PLAFOND</t>
  </si>
  <si>
    <t>Référence entretoise</t>
  </si>
  <si>
    <t>Référence VIS</t>
  </si>
  <si>
    <t>Matières +  Quincallerie</t>
  </si>
  <si>
    <t>Plat fixation plafond support V</t>
  </si>
  <si>
    <t>6172011A</t>
  </si>
  <si>
    <t>QT</t>
  </si>
  <si>
    <t>DEBIT</t>
  </si>
  <si>
    <t>Plat fixation V
6172011A</t>
  </si>
  <si>
    <t>LG en mm</t>
  </si>
  <si>
    <t>Cornière INOX 40x40x4 INOX</t>
  </si>
  <si>
    <t>0301004A</t>
  </si>
  <si>
    <t>Tube INOX 40x40x1,5</t>
  </si>
  <si>
    <t>0303004A</t>
  </si>
  <si>
    <t>Tube inox 40x40 ep 1,5
0303004A</t>
  </si>
  <si>
    <t>Cornière Inox EGAL 40 ep4
0301004A</t>
  </si>
  <si>
    <t>Description</t>
  </si>
  <si>
    <t>Désig</t>
  </si>
  <si>
    <t>*A REMPLIR</t>
  </si>
  <si>
    <t>Rond inox Ø10
0304003A</t>
  </si>
  <si>
    <t>Rond inox Ø10</t>
  </si>
  <si>
    <t>0304003A</t>
  </si>
  <si>
    <t>Hauteur "H"</t>
  </si>
  <si>
    <t>PLAT E65</t>
  </si>
  <si>
    <t>0503212A</t>
  </si>
  <si>
    <t>0503109A</t>
  </si>
  <si>
    <t>Cornière accroche filin 1 trou Zn</t>
  </si>
  <si>
    <t>Ecrou HU M10 Inox</t>
  </si>
  <si>
    <t>2001826A</t>
  </si>
  <si>
    <t>Rondelle Grower W10 - Inox</t>
  </si>
  <si>
    <t>2001998A</t>
  </si>
  <si>
    <t>Rondelle plate Ø10 - M - Inox</t>
  </si>
  <si>
    <t>2002034A</t>
  </si>
  <si>
    <t>Vis TH M10x80 CL8.8 entièrement filetée Inox</t>
  </si>
  <si>
    <t>2000121A</t>
  </si>
  <si>
    <t>Recap quincaillerie</t>
  </si>
  <si>
    <t>CODE</t>
  </si>
  <si>
    <t>REV</t>
  </si>
  <si>
    <t>QTE d'articles</t>
  </si>
  <si>
    <t>Numéro d'approvisionnement</t>
  </si>
  <si>
    <t>Fournisseur</t>
  </si>
  <si>
    <t>Dimension barre</t>
  </si>
  <si>
    <t>0503300A</t>
  </si>
  <si>
    <t>0503301A</t>
  </si>
  <si>
    <t>0503302A</t>
  </si>
  <si>
    <t>0503305A</t>
  </si>
  <si>
    <t>0503306A</t>
  </si>
  <si>
    <t>Vis TH M10x140 CL8.8 entièrement filetée Inox</t>
  </si>
  <si>
    <t>2000127A</t>
  </si>
  <si>
    <t>Vis TH M10x160 CL8.8 entièrement filetée Inox</t>
  </si>
  <si>
    <t>2000129A</t>
  </si>
  <si>
    <t>Vis TH M10x120 CL8.8 entièrement filetée Inox</t>
  </si>
  <si>
    <t>2000125A</t>
  </si>
  <si>
    <t>Vis TH M10x100 CL8.8 entièrement filetée Inox</t>
  </si>
  <si>
    <t>2000123A</t>
  </si>
  <si>
    <t>Désignation vis</t>
  </si>
  <si>
    <t>Référence Entretoise</t>
  </si>
  <si>
    <t>Entretoise plafond Ø16 Lg58</t>
  </si>
  <si>
    <t>Entretoise plafond Ø16 Lg68</t>
  </si>
  <si>
    <t>Entretoise plafond Ø16 Lg78</t>
  </si>
  <si>
    <t>Entretoise plafond Ø16 Lg98</t>
  </si>
  <si>
    <t>Entretoise plafond Ø16 Lg118</t>
  </si>
  <si>
    <t>-</t>
  </si>
  <si>
    <r>
      <t xml:space="preserve">SUPPORT RENVOI D'ANGLE INOX
AVEC OU SANS RENFORT
</t>
    </r>
    <r>
      <rPr>
        <b/>
        <u/>
        <sz val="22"/>
        <color indexed="8"/>
        <rFont val="Calibri"/>
        <family val="2"/>
      </rPr>
      <t>6171001A  6171002A</t>
    </r>
  </si>
  <si>
    <t>Ep plafond</t>
  </si>
  <si>
    <r>
      <t xml:space="preserve">Tube Ø20
</t>
    </r>
    <r>
      <rPr>
        <sz val="11"/>
        <color rgb="FFFF0000"/>
        <rFont val="Calibri"/>
        <family val="2"/>
        <scheme val="minor"/>
      </rPr>
      <t>0304003A</t>
    </r>
  </si>
  <si>
    <t>Plat 20x3</t>
  </si>
  <si>
    <r>
      <t xml:space="preserve">Plat Inox 40x5
</t>
    </r>
    <r>
      <rPr>
        <sz val="11"/>
        <color rgb="FFFF0000"/>
        <rFont val="Calibri"/>
        <family val="2"/>
        <scheme val="minor"/>
      </rPr>
      <t>XXXXXX</t>
    </r>
  </si>
  <si>
    <t>55034001A</t>
  </si>
  <si>
    <t>Passage câble plafond</t>
  </si>
  <si>
    <r>
      <t xml:space="preserve">SUPPORT GROUPE MOTEUR INOX
</t>
    </r>
    <r>
      <rPr>
        <b/>
        <u/>
        <sz val="22"/>
        <color indexed="8"/>
        <rFont val="Calibri"/>
        <family val="2"/>
      </rPr>
      <t xml:space="preserve">6170001A </t>
    </r>
  </si>
  <si>
    <t>Plat fixation V
XXXXX</t>
  </si>
  <si>
    <t>6031011A</t>
  </si>
  <si>
    <t>Manchon 9032N</t>
  </si>
  <si>
    <r>
      <t xml:space="preserve">SUPPORT INOX </t>
    </r>
    <r>
      <rPr>
        <b/>
        <u/>
        <sz val="22"/>
        <color theme="1"/>
        <rFont val="Calibri"/>
        <family val="2"/>
        <scheme val="minor"/>
      </rPr>
      <t>ORION</t>
    </r>
    <r>
      <rPr>
        <u/>
        <sz val="22"/>
        <color theme="1"/>
        <rFont val="Calibri"/>
        <family val="2"/>
        <scheme val="minor"/>
      </rPr>
      <t xml:space="preserve">
300 à 500 entre rail et plafond
</t>
    </r>
    <r>
      <rPr>
        <b/>
        <u/>
        <sz val="22"/>
        <color indexed="8"/>
        <rFont val="Calibri"/>
        <family val="2"/>
      </rPr>
      <t>6172001A</t>
    </r>
  </si>
  <si>
    <t>A</t>
  </si>
  <si>
    <r>
      <t xml:space="preserve">SUPPORT DEMI V INOX
</t>
    </r>
    <r>
      <rPr>
        <b/>
        <u/>
        <sz val="22"/>
        <color indexed="8"/>
        <rFont val="Calibri"/>
        <family val="2"/>
      </rPr>
      <t>6172002A</t>
    </r>
  </si>
  <si>
    <t>Rev</t>
  </si>
  <si>
    <t>Angle "A"</t>
  </si>
  <si>
    <t>B</t>
  </si>
  <si>
    <t>C</t>
  </si>
  <si>
    <t>en mm</t>
  </si>
  <si>
    <r>
      <t xml:space="preserve">Rond Ø12
</t>
    </r>
    <r>
      <rPr>
        <sz val="11"/>
        <color rgb="FFFF0000"/>
        <rFont val="Calibri"/>
        <family val="2"/>
        <scheme val="minor"/>
      </rPr>
      <t>XXXXXXA</t>
    </r>
  </si>
  <si>
    <r>
      <t xml:space="preserve">Rond inox Ø12
</t>
    </r>
    <r>
      <rPr>
        <sz val="11"/>
        <color rgb="FFFF0000"/>
        <rFont val="Calibri"/>
        <family val="2"/>
        <scheme val="minor"/>
      </rPr>
      <t>XXXXXA</t>
    </r>
  </si>
  <si>
    <r>
      <t xml:space="preserve">Plat fixation V
</t>
    </r>
    <r>
      <rPr>
        <sz val="11"/>
        <color rgb="FFFF0000"/>
        <rFont val="Calibri"/>
        <family val="2"/>
        <scheme val="minor"/>
      </rPr>
      <t>XXXXXA</t>
    </r>
  </si>
  <si>
    <t>DESIGN</t>
  </si>
  <si>
    <t>XXXA</t>
  </si>
  <si>
    <t>PLAT PLIE 15° EA65</t>
  </si>
  <si>
    <t>PLAT PLIE 30° EA65</t>
  </si>
  <si>
    <t>PLAT PLIE 45° EA65</t>
  </si>
  <si>
    <t>0503246A</t>
  </si>
  <si>
    <t>Vis TH M12x35 A2</t>
  </si>
  <si>
    <t>2000142A</t>
  </si>
  <si>
    <t>2001999A</t>
  </si>
  <si>
    <t>Rondelle Grower Ø12</t>
  </si>
  <si>
    <t>Ecrou HU M12 Inox</t>
  </si>
  <si>
    <t>2001827A</t>
  </si>
  <si>
    <t>2002035A</t>
  </si>
  <si>
    <t>Rondelle plate Ø12 M Inox</t>
  </si>
  <si>
    <t>CVD</t>
  </si>
  <si>
    <t>oui</t>
  </si>
  <si>
    <t>non</t>
  </si>
  <si>
    <t>GM01</t>
  </si>
  <si>
    <t>V1</t>
  </si>
  <si>
    <t>Angle CVD</t>
  </si>
  <si>
    <t>Angle CVD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</si>
</sst>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i/>
      <sz val="16"/>
      <name val="Arial"/>
      <family val="2"/>
    </font>
    <font>
      <sz val="8"/>
      <name val="Arial"/>
      <family val="2"/>
    </font>
    <font>
      <b/>
      <u/>
      <sz val="2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0" fillId="3" borderId="4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0" fillId="0" borderId="9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12" xfId="0" applyBorder="1" applyProtection="1"/>
    <xf numFmtId="0" fontId="8" fillId="0" borderId="0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0" fillId="0" borderId="0" xfId="0" applyBorder="1" applyProtection="1"/>
    <xf numFmtId="0" fontId="0" fillId="0" borderId="13" xfId="0" applyBorder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 vertical="center"/>
    </xf>
    <xf numFmtId="0" fontId="0" fillId="0" borderId="14" xfId="0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3" borderId="3" xfId="0" applyFill="1" applyBorder="1" applyAlignment="1" applyProtection="1">
      <alignment horizontal="center" vertical="center" wrapText="1"/>
    </xf>
    <xf numFmtId="49" fontId="0" fillId="0" borderId="0" xfId="0" applyNumberFormat="1"/>
    <xf numFmtId="0" fontId="11" fillId="4" borderId="21" xfId="0" applyFont="1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</xf>
    <xf numFmtId="0" fontId="12" fillId="4" borderId="17" xfId="0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12" fillId="4" borderId="2" xfId="0" applyFont="1" applyFill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49" fontId="0" fillId="0" borderId="3" xfId="0" applyNumberFormat="1" applyBorder="1" applyAlignment="1">
      <alignment horizontal="center" vertical="center"/>
    </xf>
    <xf numFmtId="0" fontId="0" fillId="3" borderId="23" xfId="0" applyFill="1" applyBorder="1" applyProtection="1">
      <protection locked="0"/>
    </xf>
    <xf numFmtId="0" fontId="0" fillId="3" borderId="24" xfId="0" applyFill="1" applyBorder="1" applyProtection="1">
      <protection locked="0"/>
    </xf>
    <xf numFmtId="0" fontId="0" fillId="3" borderId="25" xfId="0" applyFill="1" applyBorder="1" applyProtection="1">
      <protection locked="0"/>
    </xf>
    <xf numFmtId="0" fontId="11" fillId="4" borderId="27" xfId="0" applyFont="1" applyFill="1" applyBorder="1" applyAlignment="1" applyProtection="1">
      <alignment horizontal="center" vertical="center" wrapText="1"/>
    </xf>
    <xf numFmtId="0" fontId="11" fillId="4" borderId="21" xfId="0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/>
    </xf>
    <xf numFmtId="0" fontId="11" fillId="4" borderId="29" xfId="0" applyFont="1" applyFill="1" applyBorder="1" applyAlignment="1" applyProtection="1">
      <alignment horizontal="center" vertical="center" wrapText="1"/>
    </xf>
    <xf numFmtId="0" fontId="11" fillId="4" borderId="30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7" xfId="0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</xf>
    <xf numFmtId="0" fontId="12" fillId="4" borderId="19" xfId="0" applyFont="1" applyFill="1" applyBorder="1" applyAlignment="1" applyProtection="1">
      <alignment horizontal="center" vertical="center"/>
    </xf>
    <xf numFmtId="0" fontId="12" fillId="4" borderId="20" xfId="0" applyFont="1" applyFill="1" applyBorder="1" applyAlignment="1" applyProtection="1">
      <alignment horizontal="center" vertical="center"/>
    </xf>
    <xf numFmtId="0" fontId="12" fillId="4" borderId="31" xfId="0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0" fillId="3" borderId="23" xfId="0" applyFill="1" applyBorder="1" applyAlignment="1" applyProtection="1">
      <alignment horizontal="center" vertical="center"/>
      <protection locked="0"/>
    </xf>
    <xf numFmtId="0" fontId="0" fillId="3" borderId="24" xfId="0" applyFill="1" applyBorder="1" applyAlignment="1" applyProtection="1">
      <alignment horizontal="center" vertical="center"/>
      <protection locked="0"/>
    </xf>
    <xf numFmtId="0" fontId="0" fillId="3" borderId="25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11" fillId="4" borderId="27" xfId="0" applyFont="1" applyFill="1" applyBorder="1" applyAlignment="1" applyProtection="1">
      <alignment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5" xfId="0" applyBorder="1" applyAlignment="1" applyProtection="1"/>
    <xf numFmtId="0" fontId="9" fillId="0" borderId="0" xfId="0" applyFont="1" applyAlignment="1">
      <alignment horizontal="right" vertical="center"/>
    </xf>
    <xf numFmtId="0" fontId="14" fillId="0" borderId="3" xfId="0" applyFont="1" applyBorder="1" applyAlignment="1" applyProtection="1">
      <alignment horizontal="center" vertical="center"/>
    </xf>
    <xf numFmtId="0" fontId="14" fillId="3" borderId="23" xfId="0" applyFont="1" applyFill="1" applyBorder="1" applyProtection="1">
      <protection locked="0"/>
    </xf>
    <xf numFmtId="0" fontId="14" fillId="3" borderId="24" xfId="0" applyFont="1" applyFill="1" applyBorder="1" applyProtection="1">
      <protection locked="0"/>
    </xf>
    <xf numFmtId="0" fontId="14" fillId="3" borderId="19" xfId="0" applyFont="1" applyFill="1" applyBorder="1" applyProtection="1">
      <protection locked="0"/>
    </xf>
    <xf numFmtId="0" fontId="14" fillId="3" borderId="25" xfId="0" applyFont="1" applyFill="1" applyBorder="1" applyProtection="1">
      <protection locked="0"/>
    </xf>
    <xf numFmtId="0" fontId="14" fillId="3" borderId="4" xfId="0" applyFont="1" applyFill="1" applyBorder="1" applyProtection="1">
      <protection locked="0"/>
    </xf>
    <xf numFmtId="0" fontId="14" fillId="3" borderId="3" xfId="0" applyFont="1" applyFill="1" applyBorder="1" applyProtection="1">
      <protection locked="0"/>
    </xf>
    <xf numFmtId="0" fontId="14" fillId="3" borderId="18" xfId="0" applyFont="1" applyFill="1" applyBorder="1" applyProtection="1">
      <protection locked="0"/>
    </xf>
    <xf numFmtId="0" fontId="14" fillId="3" borderId="5" xfId="0" applyFont="1" applyFill="1" applyBorder="1" applyProtection="1">
      <protection locked="0"/>
    </xf>
    <xf numFmtId="0" fontId="14" fillId="3" borderId="6" xfId="0" applyFont="1" applyFill="1" applyBorder="1" applyProtection="1">
      <protection locked="0"/>
    </xf>
    <xf numFmtId="0" fontId="14" fillId="3" borderId="7" xfId="0" applyFont="1" applyFill="1" applyBorder="1" applyProtection="1">
      <protection locked="0"/>
    </xf>
    <xf numFmtId="0" fontId="14" fillId="3" borderId="26" xfId="0" applyFont="1" applyFill="1" applyBorder="1" applyProtection="1">
      <protection locked="0"/>
    </xf>
    <xf numFmtId="0" fontId="14" fillId="3" borderId="8" xfId="0" applyFont="1" applyFill="1" applyBorder="1" applyProtection="1">
      <protection locked="0"/>
    </xf>
    <xf numFmtId="0" fontId="14" fillId="0" borderId="3" xfId="0" applyFont="1" applyFill="1" applyBorder="1" applyAlignment="1" applyProtection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left" vertical="center"/>
    </xf>
    <xf numFmtId="0" fontId="0" fillId="2" borderId="33" xfId="0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1" fillId="2" borderId="33" xfId="0" applyFont="1" applyFill="1" applyBorder="1" applyAlignment="1"/>
    <xf numFmtId="0" fontId="4" fillId="2" borderId="33" xfId="0" applyFont="1" applyFill="1" applyBorder="1" applyAlignment="1">
      <alignment vertical="center"/>
    </xf>
    <xf numFmtId="49" fontId="1" fillId="2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33" xfId="0" applyBorder="1"/>
    <xf numFmtId="0" fontId="1" fillId="0" borderId="33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33" xfId="0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textRotation="90"/>
    </xf>
    <xf numFmtId="0" fontId="0" fillId="0" borderId="33" xfId="0" applyBorder="1" applyAlignment="1">
      <alignment horizontal="left" vertical="center"/>
    </xf>
    <xf numFmtId="0" fontId="1" fillId="0" borderId="33" xfId="0" applyFont="1" applyFill="1" applyBorder="1" applyAlignment="1" applyProtection="1">
      <alignment horizontal="center" vertical="center" wrapText="1"/>
      <protection locked="0"/>
    </xf>
    <xf numFmtId="0" fontId="0" fillId="2" borderId="33" xfId="0" applyFill="1" applyBorder="1" applyAlignment="1">
      <alignment horizontal="center" vertical="center"/>
    </xf>
    <xf numFmtId="14" fontId="0" fillId="0" borderId="33" xfId="0" applyNumberForma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11" fillId="4" borderId="27" xfId="0" applyFont="1" applyFill="1" applyBorder="1" applyAlignment="1" applyProtection="1">
      <alignment horizontal="center" vertical="center" wrapText="1"/>
    </xf>
    <xf numFmtId="0" fontId="11" fillId="4" borderId="28" xfId="0" applyFont="1" applyFill="1" applyBorder="1" applyAlignment="1" applyProtection="1">
      <alignment horizontal="center" vertical="center" wrapText="1"/>
    </xf>
    <xf numFmtId="0" fontId="0" fillId="4" borderId="0" xfId="0" applyFill="1" applyAlignment="1">
      <alignment horizontal="center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/>
    </xf>
    <xf numFmtId="0" fontId="11" fillId="4" borderId="21" xfId="0" applyFont="1" applyFill="1" applyBorder="1" applyAlignment="1" applyProtection="1">
      <alignment horizontal="center" vertical="center" wrapText="1"/>
    </xf>
    <xf numFmtId="0" fontId="11" fillId="4" borderId="22" xfId="0" applyFont="1" applyFill="1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/>
    </xf>
    <xf numFmtId="0" fontId="12" fillId="4" borderId="17" xfId="0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12" fillId="4" borderId="2" xfId="0" applyFont="1" applyFill="1" applyBorder="1" applyAlignment="1" applyProtection="1">
      <alignment horizontal="center"/>
    </xf>
    <xf numFmtId="0" fontId="11" fillId="4" borderId="29" xfId="0" applyFont="1" applyFill="1" applyBorder="1" applyAlignment="1" applyProtection="1">
      <alignment horizontal="center" vertical="center" wrapText="1"/>
    </xf>
    <xf numFmtId="0" fontId="11" fillId="4" borderId="30" xfId="0" applyFont="1" applyFill="1" applyBorder="1" applyAlignment="1" applyProtection="1">
      <alignment horizontal="center" vertical="center" wrapText="1"/>
    </xf>
    <xf numFmtId="0" fontId="0" fillId="3" borderId="17" xfId="0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/>
    </xf>
    <xf numFmtId="0" fontId="0" fillId="5" borderId="17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lockText="1"/>
</file>

<file path=xl/ctrlProps/ctrlProp3.xml><?xml version="1.0" encoding="utf-8"?>
<formControlPr xmlns="http://schemas.microsoft.com/office/spreadsheetml/2009/9/main" objectType="Radio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9525</xdr:rowOff>
        </xdr:from>
        <xdr:to>
          <xdr:col>6</xdr:col>
          <xdr:colOff>209550</xdr:colOff>
          <xdr:row>2</xdr:row>
          <xdr:rowOff>9525</xdr:rowOff>
        </xdr:to>
        <xdr:sp macro="" textlink="">
          <xdr:nvSpPr>
            <xdr:cNvPr id="1025" name="Zone de groupe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4</xdr:col>
          <xdr:colOff>304800</xdr:colOff>
          <xdr:row>2</xdr:row>
          <xdr:rowOff>38100</xdr:rowOff>
        </xdr:to>
        <xdr:sp macro="" textlink="">
          <xdr:nvSpPr>
            <xdr:cNvPr id="1026" name="Case d'opti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1009650</xdr:colOff>
          <xdr:row>1</xdr:row>
          <xdr:rowOff>9525</xdr:rowOff>
        </xdr:from>
        <xdr:to>
          <xdr:col>5</xdr:col>
          <xdr:colOff>76200</xdr:colOff>
          <xdr:row>2</xdr:row>
          <xdr:rowOff>38100</xdr:rowOff>
        </xdr:to>
        <xdr:sp macro="" textlink="">
          <xdr:nvSpPr>
            <xdr:cNvPr id="1027" name="Case d'opti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</xdr:row>
          <xdr:rowOff>0</xdr:rowOff>
        </xdr:from>
        <xdr:to>
          <xdr:col>15</xdr:col>
          <xdr:colOff>190500</xdr:colOff>
          <xdr:row>5</xdr:row>
          <xdr:rowOff>0</xdr:rowOff>
        </xdr:to>
        <xdr:sp macro="" textlink="">
          <xdr:nvSpPr>
            <xdr:cNvPr id="1028" name="Bt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16</xdr:col>
      <xdr:colOff>246530</xdr:colOff>
      <xdr:row>7</xdr:row>
      <xdr:rowOff>100853</xdr:rowOff>
    </xdr:from>
    <xdr:to>
      <xdr:col>21</xdr:col>
      <xdr:colOff>324971</xdr:colOff>
      <xdr:row>19</xdr:row>
      <xdr:rowOff>89647</xdr:rowOff>
    </xdr:to>
    <xdr:sp macro="" textlink="">
      <xdr:nvSpPr>
        <xdr:cNvPr id="2" name="ZoneTexte 1"/>
        <xdr:cNvSpPr txBox="1"/>
      </xdr:nvSpPr>
      <xdr:spPr>
        <a:xfrm>
          <a:off x="10499912" y="1882588"/>
          <a:ext cx="3888441" cy="22747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stphane4933 ,</a:t>
          </a:r>
        </a:p>
        <a:p>
          <a:r>
            <a:rPr lang="fr-FR" sz="1800"/>
            <a:t>voilà tu cliques le bouton traiter et tu me redis</a:t>
          </a:r>
        </a:p>
        <a:p>
          <a:r>
            <a:rPr lang="fr-FR" sz="1800"/>
            <a:t>a+</a:t>
          </a:r>
        </a:p>
        <a:p>
          <a:r>
            <a:rPr lang="fr-FR" sz="1800"/>
            <a:t>papou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428625</xdr:colOff>
      <xdr:row>2</xdr:row>
      <xdr:rowOff>47625</xdr:rowOff>
    </xdr:from>
    <xdr:to>
      <xdr:col>11</xdr:col>
      <xdr:colOff>428625</xdr:colOff>
      <xdr:row>27</xdr:row>
      <xdr:rowOff>95250</xdr:rowOff>
    </xdr:to>
    <xdr:pic>
      <xdr:nvPicPr>
        <xdr:cNvPr id="2157" name="Image 10">
          <a:extLst>
            <a:ext uri="{FF2B5EF4-FFF2-40B4-BE49-F238E27FC236}">
              <a16:creationId xmlns:a16="http://schemas.microsoft.com/office/drawing/2014/main" xmlns="" id="{00000000-0008-0000-0300-00006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247775"/>
          <a:ext cx="529590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85726</xdr:colOff>
      <xdr:row>23</xdr:row>
      <xdr:rowOff>104775</xdr:rowOff>
    </xdr:from>
    <xdr:to>
      <xdr:col>7</xdr:col>
      <xdr:colOff>276226</xdr:colOff>
      <xdr:row>25</xdr:row>
      <xdr:rowOff>9525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2867026" y="5305425"/>
          <a:ext cx="9144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BB</a:t>
          </a:r>
        </a:p>
      </xdr:txBody>
    </xdr:sp>
    <xdr:clientData/>
  </xdr:twoCellAnchor>
  <xdr:twoCellAnchor>
    <xdr:from>
      <xdr:col>9</xdr:col>
      <xdr:colOff>752473</xdr:colOff>
      <xdr:row>4</xdr:row>
      <xdr:rowOff>66675</xdr:rowOff>
    </xdr:from>
    <xdr:to>
      <xdr:col>11</xdr:col>
      <xdr:colOff>276224</xdr:colOff>
      <xdr:row>5</xdr:row>
      <xdr:rowOff>171450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/>
      </xdr:nvSpPr>
      <xdr:spPr>
        <a:xfrm>
          <a:off x="5353048" y="1647825"/>
          <a:ext cx="733426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AA</a:t>
          </a:r>
        </a:p>
      </xdr:txBody>
    </xdr:sp>
    <xdr:clientData/>
  </xdr:twoCellAnchor>
  <xdr:twoCellAnchor>
    <xdr:from>
      <xdr:col>3</xdr:col>
      <xdr:colOff>176212</xdr:colOff>
      <xdr:row>11</xdr:row>
      <xdr:rowOff>142874</xdr:rowOff>
    </xdr:from>
    <xdr:to>
      <xdr:col>3</xdr:col>
      <xdr:colOff>390528</xdr:colOff>
      <xdr:row>15</xdr:row>
      <xdr:rowOff>42862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 rot="16200000">
          <a:off x="1114426" y="3281360"/>
          <a:ext cx="661988" cy="2143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H</a:t>
          </a:r>
        </a:p>
      </xdr:txBody>
    </xdr:sp>
    <xdr:clientData/>
  </xdr:twoCellAnchor>
  <xdr:twoCellAnchor>
    <xdr:from>
      <xdr:col>10</xdr:col>
      <xdr:colOff>180975</xdr:colOff>
      <xdr:row>21</xdr:row>
      <xdr:rowOff>38100</xdr:rowOff>
    </xdr:from>
    <xdr:to>
      <xdr:col>13</xdr:col>
      <xdr:colOff>638175</xdr:colOff>
      <xdr:row>24</xdr:row>
      <xdr:rowOff>47625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4733925" y="4857750"/>
          <a:ext cx="21050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SI H&gt;</a:t>
          </a:r>
          <a:r>
            <a:rPr lang="fr-FR" sz="1200" b="1" baseline="0"/>
            <a:t> 1500mm</a:t>
          </a:r>
        </a:p>
        <a:p>
          <a:pPr algn="ctr"/>
          <a:r>
            <a:rPr lang="fr-FR" sz="1200" b="1" baseline="0"/>
            <a:t>METTRE RENFORT</a:t>
          </a:r>
          <a:endParaRPr lang="fr-FR" sz="1200" b="1"/>
        </a:p>
      </xdr:txBody>
    </xdr:sp>
    <xdr:clientData/>
  </xdr:twoCellAnchor>
  <xdr:twoCellAnchor>
    <xdr:from>
      <xdr:col>10</xdr:col>
      <xdr:colOff>190500</xdr:colOff>
      <xdr:row>24</xdr:row>
      <xdr:rowOff>85725</xdr:rowOff>
    </xdr:from>
    <xdr:to>
      <xdr:col>13</xdr:col>
      <xdr:colOff>647700</xdr:colOff>
      <xdr:row>27</xdr:row>
      <xdr:rowOff>95250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4743450" y="5476875"/>
          <a:ext cx="21050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u="sng"/>
            <a:t>Traitement</a:t>
          </a:r>
          <a:r>
            <a:rPr lang="fr-FR" sz="1200" b="1" u="sng" baseline="0"/>
            <a:t> :</a:t>
          </a:r>
        </a:p>
        <a:p>
          <a:pPr algn="ctr"/>
          <a:r>
            <a:rPr lang="fr-FR" sz="1200" b="1" baseline="0"/>
            <a:t>Décapage / Passivation</a:t>
          </a:r>
          <a:endParaRPr lang="fr-FR" sz="1200" b="1"/>
        </a:p>
      </xdr:txBody>
    </xdr:sp>
    <xdr:clientData/>
  </xdr:twoCellAnchor>
  <xdr:twoCellAnchor>
    <xdr:from>
      <xdr:col>11</xdr:col>
      <xdr:colOff>195262</xdr:colOff>
      <xdr:row>7</xdr:row>
      <xdr:rowOff>180974</xdr:rowOff>
    </xdr:from>
    <xdr:to>
      <xdr:col>11</xdr:col>
      <xdr:colOff>409578</xdr:colOff>
      <xdr:row>11</xdr:row>
      <xdr:rowOff>80962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 rot="16200000">
          <a:off x="4972051" y="2557460"/>
          <a:ext cx="661988" cy="2143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L / 3</a:t>
          </a:r>
        </a:p>
      </xdr:txBody>
    </xdr:sp>
    <xdr:clientData/>
  </xdr:twoCellAnchor>
  <xdr:twoCellAnchor>
    <xdr:from>
      <xdr:col>8</xdr:col>
      <xdr:colOff>285750</xdr:colOff>
      <xdr:row>16</xdr:row>
      <xdr:rowOff>76199</xdr:rowOff>
    </xdr:from>
    <xdr:to>
      <xdr:col>10</xdr:col>
      <xdr:colOff>142875</xdr:colOff>
      <xdr:row>18</xdr:row>
      <xdr:rowOff>171450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4524375" y="3943349"/>
          <a:ext cx="981075" cy="476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Meulage des coins</a:t>
          </a:r>
        </a:p>
      </xdr:txBody>
    </xdr:sp>
    <xdr:clientData/>
  </xdr:twoCellAnchor>
  <xdr:twoCellAnchor>
    <xdr:from>
      <xdr:col>8</xdr:col>
      <xdr:colOff>285750</xdr:colOff>
      <xdr:row>19</xdr:row>
      <xdr:rowOff>28575</xdr:rowOff>
    </xdr:from>
    <xdr:to>
      <xdr:col>9</xdr:col>
      <xdr:colOff>238125</xdr:colOff>
      <xdr:row>20</xdr:row>
      <xdr:rowOff>38100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CxnSpPr/>
      </xdr:nvCxnSpPr>
      <xdr:spPr>
        <a:xfrm flipH="1">
          <a:off x="4524375" y="4467225"/>
          <a:ext cx="314325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3</xdr:row>
      <xdr:rowOff>104775</xdr:rowOff>
    </xdr:from>
    <xdr:to>
      <xdr:col>15</xdr:col>
      <xdr:colOff>247650</xdr:colOff>
      <xdr:row>24</xdr:row>
      <xdr:rowOff>28575</xdr:rowOff>
    </xdr:to>
    <xdr:sp macro="" textlink="">
      <xdr:nvSpPr>
        <xdr:cNvPr id="2" name="ZoneTexte 1"/>
        <xdr:cNvSpPr txBox="1"/>
      </xdr:nvSpPr>
      <xdr:spPr>
        <a:xfrm>
          <a:off x="2686050" y="1495425"/>
          <a:ext cx="5448300" cy="392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 souhaites faire le recap quincaillerie des différents onglets (sauf LISTE) (TABLEAU T4: Y26)</a:t>
          </a:r>
          <a:br>
            <a:rPr lang="fr-FR" sz="1600"/>
          </a:br>
          <a:r>
            <a:rPr lang="fr-FR" sz="1600"/>
            <a:t>La cerise sur le gâteau est d'additionner les quantités des éléments communs et de supprimer les lignes possédant une quantité 0 (Solution possible faire un tableau croisé dynamique de ma feuille recap) </a:t>
          </a:r>
          <a:br>
            <a:rPr lang="fr-FR" sz="1600"/>
          </a:br>
          <a:r>
            <a:rPr lang="fr-FR" sz="1600"/>
            <a:t/>
          </a:r>
          <a:br>
            <a:rPr lang="fr-FR" sz="1600"/>
          </a:br>
          <a:r>
            <a:rPr lang="fr-FR" sz="1600"/>
            <a:t>J'ai trouvé un programme sur le forum par contre il copie la cellule c'est a dire avec les formules et je souhaiterai copier les valeurs seulement.</a:t>
          </a:r>
          <a:br>
            <a:rPr lang="fr-FR" sz="1600"/>
          </a:br>
          <a:r>
            <a:rPr lang="fr-FR" sz="1600"/>
            <a:t>Si mes explications manques de précisions n’hésitez pas à me demander (Je suis un peu dans mon monde)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407671</xdr:colOff>
      <xdr:row>3</xdr:row>
      <xdr:rowOff>57150</xdr:rowOff>
    </xdr:from>
    <xdr:to>
      <xdr:col>16</xdr:col>
      <xdr:colOff>198020</xdr:colOff>
      <xdr:row>29</xdr:row>
      <xdr:rowOff>1466849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6" y="1447800"/>
          <a:ext cx="7400824" cy="6362699"/>
        </a:xfrm>
        <a:prstGeom prst="rect">
          <a:avLst/>
        </a:prstGeom>
      </xdr:spPr>
    </xdr:pic>
    <xdr:clientData/>
  </xdr:twoCellAnchor>
  <xdr:twoCellAnchor>
    <xdr:from>
      <xdr:col>7</xdr:col>
      <xdr:colOff>681037</xdr:colOff>
      <xdr:row>9</xdr:row>
      <xdr:rowOff>123825</xdr:rowOff>
    </xdr:from>
    <xdr:to>
      <xdr:col>8</xdr:col>
      <xdr:colOff>133350</xdr:colOff>
      <xdr:row>12</xdr:row>
      <xdr:rowOff>33337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 rot="16200000">
          <a:off x="4038600" y="2805112"/>
          <a:ext cx="481012" cy="1857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H</a:t>
          </a:r>
        </a:p>
      </xdr:txBody>
    </xdr:sp>
    <xdr:clientData/>
  </xdr:twoCellAnchor>
  <xdr:twoCellAnchor>
    <xdr:from>
      <xdr:col>2</xdr:col>
      <xdr:colOff>452438</xdr:colOff>
      <xdr:row>2</xdr:row>
      <xdr:rowOff>161925</xdr:rowOff>
    </xdr:from>
    <xdr:to>
      <xdr:col>3</xdr:col>
      <xdr:colOff>190501</xdr:colOff>
      <xdr:row>7</xdr:row>
      <xdr:rowOff>61912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 rot="16200000">
          <a:off x="795338" y="1657350"/>
          <a:ext cx="852487" cy="2619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250</a:t>
          </a:r>
          <a:r>
            <a:rPr lang="fr-FR" sz="1400" b="1" baseline="0"/>
            <a:t> mini</a:t>
          </a:r>
          <a:endParaRPr lang="fr-FR" sz="1400" b="1"/>
        </a:p>
      </xdr:txBody>
    </xdr:sp>
    <xdr:clientData/>
  </xdr:twoCellAnchor>
  <xdr:twoCellAnchor>
    <xdr:from>
      <xdr:col>9</xdr:col>
      <xdr:colOff>723900</xdr:colOff>
      <xdr:row>16</xdr:row>
      <xdr:rowOff>133349</xdr:rowOff>
    </xdr:from>
    <xdr:to>
      <xdr:col>14</xdr:col>
      <xdr:colOff>581025</xdr:colOff>
      <xdr:row>19</xdr:row>
      <xdr:rowOff>38100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5324475" y="4000499"/>
          <a:ext cx="2447925" cy="476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Positionnement du tube centré sur la hauteur "H"</a:t>
          </a:r>
        </a:p>
      </xdr:txBody>
    </xdr:sp>
    <xdr:clientData/>
  </xdr:twoCellAnchor>
  <xdr:twoCellAnchor>
    <xdr:from>
      <xdr:col>7</xdr:col>
      <xdr:colOff>190504</xdr:colOff>
      <xdr:row>13</xdr:row>
      <xdr:rowOff>95251</xdr:rowOff>
    </xdr:from>
    <xdr:to>
      <xdr:col>7</xdr:col>
      <xdr:colOff>647700</xdr:colOff>
      <xdr:row>17</xdr:row>
      <xdr:rowOff>123825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CxnSpPr/>
      </xdr:nvCxnSpPr>
      <xdr:spPr>
        <a:xfrm flipH="1" flipV="1">
          <a:off x="3695704" y="3390901"/>
          <a:ext cx="457196" cy="790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442914</xdr:colOff>
      <xdr:row>10</xdr:row>
      <xdr:rowOff>152402</xdr:rowOff>
    </xdr:from>
    <xdr:to>
      <xdr:col>3</xdr:col>
      <xdr:colOff>180977</xdr:colOff>
      <xdr:row>15</xdr:row>
      <xdr:rowOff>52389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 rot="16200000">
          <a:off x="785814" y="3171827"/>
          <a:ext cx="852487" cy="2619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200</a:t>
          </a:r>
          <a:r>
            <a:rPr lang="fr-FR" sz="1400" b="1" baseline="0"/>
            <a:t> mini</a:t>
          </a:r>
          <a:endParaRPr lang="fr-FR" sz="1400" b="1"/>
        </a:p>
      </xdr:txBody>
    </xdr:sp>
    <xdr:clientData/>
  </xdr:twoCellAnchor>
  <xdr:twoCellAnchor>
    <xdr:from>
      <xdr:col>8</xdr:col>
      <xdr:colOff>247650</xdr:colOff>
      <xdr:row>29</xdr:row>
      <xdr:rowOff>571500</xdr:rowOff>
    </xdr:from>
    <xdr:to>
      <xdr:col>13</xdr:col>
      <xdr:colOff>19050</xdr:colOff>
      <xdr:row>29</xdr:row>
      <xdr:rowOff>1152525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4486275" y="6915150"/>
          <a:ext cx="21050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u="sng"/>
            <a:t>Traitement</a:t>
          </a:r>
          <a:r>
            <a:rPr lang="fr-FR" sz="1200" b="1" u="sng" baseline="0"/>
            <a:t> :</a:t>
          </a:r>
        </a:p>
        <a:p>
          <a:pPr algn="ctr"/>
          <a:r>
            <a:rPr lang="fr-FR" sz="1200" b="1" baseline="0"/>
            <a:t>Décapage / Passivation</a:t>
          </a:r>
          <a:endParaRPr lang="fr-FR" sz="1200" b="1"/>
        </a:p>
      </xdr:txBody>
    </xdr:sp>
    <xdr:clientData/>
  </xdr:twoCellAnchor>
  <xdr:twoCellAnchor>
    <xdr:from>
      <xdr:col>7</xdr:col>
      <xdr:colOff>609600</xdr:colOff>
      <xdr:row>17</xdr:row>
      <xdr:rowOff>123824</xdr:rowOff>
    </xdr:from>
    <xdr:to>
      <xdr:col>9</xdr:col>
      <xdr:colOff>495300</xdr:colOff>
      <xdr:row>20</xdr:row>
      <xdr:rowOff>28575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4114800" y="4181474"/>
          <a:ext cx="981075" cy="476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Meulage des coins</a:t>
          </a:r>
        </a:p>
      </xdr:txBody>
    </xdr:sp>
    <xdr:clientData/>
  </xdr:twoCellAnchor>
  <xdr:twoCellAnchor>
    <xdr:from>
      <xdr:col>9</xdr:col>
      <xdr:colOff>581029</xdr:colOff>
      <xdr:row>12</xdr:row>
      <xdr:rowOff>152401</xdr:rowOff>
    </xdr:from>
    <xdr:to>
      <xdr:col>9</xdr:col>
      <xdr:colOff>723900</xdr:colOff>
      <xdr:row>17</xdr:row>
      <xdr:rowOff>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CxnSpPr/>
      </xdr:nvCxnSpPr>
      <xdr:spPr>
        <a:xfrm flipH="1" flipV="1">
          <a:off x="5181604" y="3257551"/>
          <a:ext cx="142871" cy="8000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2</xdr:row>
      <xdr:rowOff>47625</xdr:rowOff>
    </xdr:from>
    <xdr:to>
      <xdr:col>9</xdr:col>
      <xdr:colOff>838200</xdr:colOff>
      <xdr:row>27</xdr:row>
      <xdr:rowOff>119606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1247775"/>
          <a:ext cx="4695825" cy="4834481"/>
        </a:xfrm>
        <a:prstGeom prst="rect">
          <a:avLst/>
        </a:prstGeom>
      </xdr:spPr>
    </xdr:pic>
    <xdr:clientData/>
  </xdr:twoCellAnchor>
  <xdr:twoCellAnchor>
    <xdr:from>
      <xdr:col>7</xdr:col>
      <xdr:colOff>433389</xdr:colOff>
      <xdr:row>8</xdr:row>
      <xdr:rowOff>38099</xdr:rowOff>
    </xdr:from>
    <xdr:to>
      <xdr:col>8</xdr:col>
      <xdr:colOff>2</xdr:colOff>
      <xdr:row>11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 rot="16200000">
          <a:off x="3764757" y="2555081"/>
          <a:ext cx="647701" cy="300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H</a:t>
          </a:r>
        </a:p>
      </xdr:txBody>
    </xdr:sp>
    <xdr:clientData/>
  </xdr:twoCellAnchor>
  <xdr:twoCellAnchor>
    <xdr:from>
      <xdr:col>7</xdr:col>
      <xdr:colOff>561976</xdr:colOff>
      <xdr:row>18</xdr:row>
      <xdr:rowOff>57150</xdr:rowOff>
    </xdr:from>
    <xdr:to>
      <xdr:col>10</xdr:col>
      <xdr:colOff>247651</xdr:colOff>
      <xdr:row>21</xdr:row>
      <xdr:rowOff>66675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/>
      </xdr:nvSpPr>
      <xdr:spPr>
        <a:xfrm>
          <a:off x="4067176" y="4305300"/>
          <a:ext cx="190500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u="sng"/>
            <a:t>Traitement</a:t>
          </a:r>
          <a:r>
            <a:rPr lang="fr-FR" sz="1200" b="1" u="sng" baseline="0"/>
            <a:t> :</a:t>
          </a:r>
        </a:p>
        <a:p>
          <a:pPr algn="ctr"/>
          <a:r>
            <a:rPr lang="fr-FR" sz="1200" b="1" baseline="0"/>
            <a:t>Décapage / Passivation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23</xdr:row>
      <xdr:rowOff>19050</xdr:rowOff>
    </xdr:from>
    <xdr:to>
      <xdr:col>13</xdr:col>
      <xdr:colOff>285750</xdr:colOff>
      <xdr:row>26</xdr:row>
      <xdr:rowOff>28575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5486400" y="5305425"/>
          <a:ext cx="337185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u="sng"/>
            <a:t>Traitement</a:t>
          </a:r>
          <a:r>
            <a:rPr lang="fr-FR" sz="1200" b="1" u="sng" baseline="0"/>
            <a:t> :</a:t>
          </a:r>
        </a:p>
        <a:p>
          <a:pPr algn="ctr"/>
          <a:r>
            <a:rPr lang="fr-FR" sz="1200" b="1" baseline="0"/>
            <a:t>Décapage / Passivation</a:t>
          </a:r>
          <a:endParaRPr lang="fr-FR" sz="1200" b="1"/>
        </a:p>
      </xdr:txBody>
    </xdr:sp>
    <xdr:clientData/>
  </xdr:twoCellAnchor>
  <xdr:twoCellAnchor editAs="oneCell">
    <xdr:from>
      <xdr:col>2</xdr:col>
      <xdr:colOff>85725</xdr:colOff>
      <xdr:row>2</xdr:row>
      <xdr:rowOff>47625</xdr:rowOff>
    </xdr:from>
    <xdr:to>
      <xdr:col>6</xdr:col>
      <xdr:colOff>304800</xdr:colOff>
      <xdr:row>27</xdr:row>
      <xdr:rowOff>92722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1247775"/>
          <a:ext cx="3162300" cy="4893322"/>
        </a:xfrm>
        <a:prstGeom prst="rect">
          <a:avLst/>
        </a:prstGeom>
      </xdr:spPr>
    </xdr:pic>
    <xdr:clientData/>
  </xdr:twoCellAnchor>
  <xdr:twoCellAnchor>
    <xdr:from>
      <xdr:col>2</xdr:col>
      <xdr:colOff>219076</xdr:colOff>
      <xdr:row>12</xdr:row>
      <xdr:rowOff>47623</xdr:rowOff>
    </xdr:from>
    <xdr:to>
      <xdr:col>2</xdr:col>
      <xdr:colOff>519114</xdr:colOff>
      <xdr:row>15</xdr:row>
      <xdr:rowOff>123824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 txBox="1"/>
      </xdr:nvSpPr>
      <xdr:spPr>
        <a:xfrm rot="16200000">
          <a:off x="683419" y="3393280"/>
          <a:ext cx="647701" cy="300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H</a:t>
          </a:r>
        </a:p>
      </xdr:txBody>
    </xdr:sp>
    <xdr:clientData/>
  </xdr:twoCellAnchor>
  <xdr:twoCellAnchor>
    <xdr:from>
      <xdr:col>3</xdr:col>
      <xdr:colOff>797719</xdr:colOff>
      <xdr:row>2</xdr:row>
      <xdr:rowOff>88107</xdr:rowOff>
    </xdr:from>
    <xdr:to>
      <xdr:col>4</xdr:col>
      <xdr:colOff>635795</xdr:colOff>
      <xdr:row>4</xdr:row>
      <xdr:rowOff>7145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 txBox="1"/>
      </xdr:nvSpPr>
      <xdr:spPr>
        <a:xfrm rot="10800000" flipV="1">
          <a:off x="2350294" y="1288257"/>
          <a:ext cx="647701" cy="300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</a:t>
          </a:r>
        </a:p>
      </xdr:txBody>
    </xdr:sp>
    <xdr:clientData/>
  </xdr:twoCellAnchor>
  <xdr:twoCellAnchor>
    <xdr:from>
      <xdr:col>4</xdr:col>
      <xdr:colOff>66675</xdr:colOff>
      <xdr:row>4</xdr:row>
      <xdr:rowOff>114298</xdr:rowOff>
    </xdr:from>
    <xdr:to>
      <xdr:col>4</xdr:col>
      <xdr:colOff>676275</xdr:colOff>
      <xdr:row>5</xdr:row>
      <xdr:rowOff>159543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 txBox="1"/>
      </xdr:nvSpPr>
      <xdr:spPr>
        <a:xfrm rot="10800000" flipV="1">
          <a:off x="2428875" y="1695448"/>
          <a:ext cx="609600" cy="2357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B</a:t>
          </a:r>
        </a:p>
      </xdr:txBody>
    </xdr:sp>
    <xdr:clientData/>
  </xdr:twoCellAnchor>
  <xdr:twoCellAnchor>
    <xdr:from>
      <xdr:col>5</xdr:col>
      <xdr:colOff>257175</xdr:colOff>
      <xdr:row>19</xdr:row>
      <xdr:rowOff>28575</xdr:rowOff>
    </xdr:from>
    <xdr:to>
      <xdr:col>8</xdr:col>
      <xdr:colOff>323850</xdr:colOff>
      <xdr:row>21</xdr:row>
      <xdr:rowOff>9525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 txBox="1"/>
      </xdr:nvSpPr>
      <xdr:spPr>
        <a:xfrm>
          <a:off x="3429000" y="4552950"/>
          <a:ext cx="18573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u="sng"/>
            <a:t>Oblong 13x26 centré</a:t>
          </a:r>
          <a:endParaRPr lang="fr-FR" sz="1200" b="1"/>
        </a:p>
      </xdr:txBody>
    </xdr:sp>
    <xdr:clientData/>
  </xdr:twoCellAnchor>
  <xdr:twoCellAnchor>
    <xdr:from>
      <xdr:col>4</xdr:col>
      <xdr:colOff>114301</xdr:colOff>
      <xdr:row>20</xdr:row>
      <xdr:rowOff>9525</xdr:rowOff>
    </xdr:from>
    <xdr:to>
      <xdr:col>5</xdr:col>
      <xdr:colOff>238125</xdr:colOff>
      <xdr:row>20</xdr:row>
      <xdr:rowOff>57150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CxnSpPr/>
      </xdr:nvCxnSpPr>
      <xdr:spPr>
        <a:xfrm flipH="1">
          <a:off x="2476501" y="4724400"/>
          <a:ext cx="933449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7"/>
  <sheetViews>
    <sheetView tabSelected="1" zoomScale="85" zoomScaleNormal="85" workbookViewId="0">
      <selection activeCell="V7" sqref="V7"/>
    </sheetView>
  </sheetViews>
  <sheetFormatPr baseColWidth="10" defaultRowHeight="15" x14ac:dyDescent="0.25"/>
  <cols>
    <col min="1" max="1" width="13.7109375" bestFit="1" customWidth="1"/>
    <col min="2" max="2" width="4" bestFit="1" customWidth="1"/>
    <col min="3" max="3" width="18.5703125" customWidth="1"/>
    <col min="5" max="5" width="19" customWidth="1"/>
    <col min="6" max="6" width="5.7109375" customWidth="1"/>
    <col min="7" max="7" width="5.140625" customWidth="1"/>
    <col min="8" max="8" width="4.140625" customWidth="1"/>
    <col min="9" max="9" width="3.28515625" customWidth="1"/>
    <col min="10" max="10" width="7.85546875" customWidth="1"/>
    <col min="11" max="11" width="3.28515625" customWidth="1"/>
    <col min="22" max="22" width="43.85546875" bestFit="1" customWidth="1"/>
  </cols>
  <sheetData>
    <row r="1" spans="1:11" x14ac:dyDescent="0.25">
      <c r="A1" s="84" t="s">
        <v>0</v>
      </c>
      <c r="B1" s="85"/>
      <c r="C1" s="85"/>
      <c r="D1" s="85"/>
      <c r="E1" s="85"/>
      <c r="F1" s="101"/>
      <c r="G1" s="101"/>
      <c r="H1" s="101"/>
      <c r="I1" s="101"/>
      <c r="J1" s="101"/>
      <c r="K1" s="101"/>
    </row>
    <row r="2" spans="1:11" x14ac:dyDescent="0.25">
      <c r="A2" s="93" t="s">
        <v>1</v>
      </c>
      <c r="B2" s="93"/>
      <c r="C2" s="94"/>
      <c r="D2" s="96" t="s">
        <v>2</v>
      </c>
      <c r="E2" s="96" t="s">
        <v>3</v>
      </c>
      <c r="F2" s="102" t="s">
        <v>4</v>
      </c>
      <c r="G2" s="102"/>
      <c r="H2" s="94" t="s">
        <v>97</v>
      </c>
      <c r="I2" s="93" t="s">
        <v>5</v>
      </c>
      <c r="J2" s="103"/>
      <c r="K2" s="103"/>
    </row>
    <row r="3" spans="1:11" x14ac:dyDescent="0.25">
      <c r="A3" s="93" t="s">
        <v>6</v>
      </c>
      <c r="B3" s="93"/>
      <c r="C3" s="94"/>
      <c r="D3" s="93" t="s">
        <v>7</v>
      </c>
      <c r="E3" s="94">
        <v>28885</v>
      </c>
      <c r="F3" s="102" t="s">
        <v>8</v>
      </c>
      <c r="G3" s="102"/>
      <c r="H3" s="102"/>
      <c r="I3" s="102"/>
      <c r="J3" s="103"/>
      <c r="K3" s="104"/>
    </row>
    <row r="4" spans="1:11" x14ac:dyDescent="0.25">
      <c r="A4" s="95" t="s">
        <v>9</v>
      </c>
      <c r="B4" s="95"/>
      <c r="C4" s="97"/>
      <c r="D4" s="97"/>
      <c r="E4" s="97"/>
      <c r="F4" s="98" t="s">
        <v>10</v>
      </c>
      <c r="G4" s="98"/>
      <c r="H4" s="98"/>
      <c r="I4" s="97"/>
      <c r="J4" s="97"/>
      <c r="K4" s="97"/>
    </row>
    <row r="5" spans="1:11" x14ac:dyDescent="0.25">
      <c r="A5" s="86" t="s">
        <v>11</v>
      </c>
      <c r="B5" s="86"/>
      <c r="C5" s="87"/>
      <c r="D5" s="97" t="s">
        <v>20</v>
      </c>
      <c r="E5" s="97"/>
      <c r="F5" s="97"/>
      <c r="G5" s="97"/>
      <c r="H5" s="97"/>
      <c r="I5" s="97"/>
      <c r="J5" s="97"/>
      <c r="K5" s="97"/>
    </row>
    <row r="6" spans="1:11" ht="20.25" x14ac:dyDescent="0.25">
      <c r="A6" s="88" t="s">
        <v>21</v>
      </c>
      <c r="B6" s="88"/>
      <c r="C6" s="88"/>
      <c r="D6" s="88"/>
      <c r="E6" s="88"/>
      <c r="F6" s="89"/>
      <c r="G6" s="99" t="s">
        <v>12</v>
      </c>
      <c r="H6" s="99" t="s">
        <v>13</v>
      </c>
      <c r="I6" s="99" t="s">
        <v>14</v>
      </c>
      <c r="J6" s="90"/>
      <c r="K6" s="99" t="s">
        <v>15</v>
      </c>
    </row>
    <row r="7" spans="1:11" ht="45" customHeight="1" x14ac:dyDescent="0.25">
      <c r="A7" s="91" t="s">
        <v>16</v>
      </c>
      <c r="B7" s="91" t="s">
        <v>99</v>
      </c>
      <c r="C7" s="100" t="s">
        <v>17</v>
      </c>
      <c r="D7" s="100"/>
      <c r="E7" s="100"/>
      <c r="F7" s="92" t="s">
        <v>18</v>
      </c>
      <c r="G7" s="99"/>
      <c r="H7" s="99"/>
      <c r="I7" s="99"/>
      <c r="J7" s="92" t="s">
        <v>19</v>
      </c>
      <c r="K7" s="99"/>
    </row>
  </sheetData>
  <mergeCells count="14">
    <mergeCell ref="F1:K1"/>
    <mergeCell ref="F2:G2"/>
    <mergeCell ref="J2:K2"/>
    <mergeCell ref="F3:I3"/>
    <mergeCell ref="J3:K3"/>
    <mergeCell ref="C4:E4"/>
    <mergeCell ref="F4:H4"/>
    <mergeCell ref="I4:K4"/>
    <mergeCell ref="D5:K5"/>
    <mergeCell ref="G6:G7"/>
    <mergeCell ref="H6:H7"/>
    <mergeCell ref="I6:I7"/>
    <mergeCell ref="K6:K7"/>
    <mergeCell ref="C7:E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Bt1">
          <controlPr defaultSize="0" autoLine="0" autoPict="0" r:id="rId4">
            <anchor moveWithCells="1">
              <from>
                <xdr:col>13</xdr:col>
                <xdr:colOff>0</xdr:colOff>
                <xdr:row>3</xdr:row>
                <xdr:rowOff>0</xdr:rowOff>
              </from>
              <to>
                <xdr:col>15</xdr:col>
                <xdr:colOff>190500</xdr:colOff>
                <xdr:row>5</xdr:row>
                <xdr:rowOff>0</xdr:rowOff>
              </to>
            </anchor>
          </controlPr>
        </control>
      </mc:Choice>
      <mc:Fallback>
        <control shapeId="1028" r:id="rId3" name="Bt1"/>
      </mc:Fallback>
    </mc:AlternateContent>
    <mc:AlternateContent xmlns:mc="http://schemas.openxmlformats.org/markup-compatibility/2006">
      <mc:Choice Requires="x14">
        <control shapeId="1025" r:id="rId5" name="Zone de groupe 1">
          <controlPr defaultSize="0" print="0" autoFill="0" autoPict="0">
            <anchor moveWithCells="1">
              <from>
                <xdr:col>3</xdr:col>
                <xdr:colOff>0</xdr:colOff>
                <xdr:row>1</xdr:row>
                <xdr:rowOff>9525</xdr:rowOff>
              </from>
              <to>
                <xdr:col>6</xdr:col>
                <xdr:colOff>209550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6" name="Case d'option 2">
          <controlPr defaultSize="0" autoFill="0" autoLine="0" autoPict="0">
            <anchor moveWithCells="1">
              <from>
                <xdr:col>4</xdr:col>
                <xdr:colOff>0</xdr:colOff>
                <xdr:row>1</xdr:row>
                <xdr:rowOff>9525</xdr:rowOff>
              </from>
              <to>
                <xdr:col>4</xdr:col>
                <xdr:colOff>304800</xdr:colOff>
                <xdr:row>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Case d'option 3">
          <controlPr defaultSize="0" autoFill="0" autoLine="0" autoPict="0">
            <anchor moveWithCells="1">
              <from>
                <xdr:col>4</xdr:col>
                <xdr:colOff>1009650</xdr:colOff>
                <xdr:row>1</xdr:row>
                <xdr:rowOff>9525</xdr:rowOff>
              </from>
              <to>
                <xdr:col>5</xdr:col>
                <xdr:colOff>76200</xdr:colOff>
                <xdr:row>2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AA42"/>
  <sheetViews>
    <sheetView workbookViewId="0">
      <selection activeCell="V27" sqref="V27"/>
    </sheetView>
  </sheetViews>
  <sheetFormatPr baseColWidth="10" defaultRowHeight="15" x14ac:dyDescent="0.25"/>
  <cols>
    <col min="1" max="1" width="5.7109375" customWidth="1"/>
    <col min="2" max="2" width="1.85546875" customWidth="1"/>
    <col min="3" max="3" width="9.7109375" customWidth="1"/>
    <col min="4" max="5" width="12.140625" customWidth="1"/>
    <col min="6" max="6" width="6.140625" customWidth="1"/>
    <col min="7" max="7" width="4.7109375" customWidth="1"/>
    <col min="8" max="8" width="11" customWidth="1"/>
    <col min="9" max="9" width="5.42578125" customWidth="1"/>
    <col min="11" max="11" width="6.7109375" customWidth="1"/>
    <col min="13" max="13" width="6.5703125" customWidth="1"/>
    <col min="15" max="15" width="1.85546875" customWidth="1"/>
    <col min="17" max="18" width="0" hidden="1" customWidth="1"/>
    <col min="19" max="19" width="43.28515625" hidden="1" customWidth="1"/>
    <col min="20" max="20" width="12.85546875" bestFit="1" customWidth="1"/>
    <col min="21" max="21" width="9.85546875" customWidth="1"/>
    <col min="22" max="22" width="42.85546875" bestFit="1" customWidth="1"/>
    <col min="23" max="23" width="12.85546875" bestFit="1" customWidth="1"/>
    <col min="24" max="24" width="28.140625" bestFit="1" customWidth="1"/>
    <col min="25" max="25" width="27" bestFit="1" customWidth="1"/>
  </cols>
  <sheetData>
    <row r="1" spans="2:25" ht="15.75" thickBot="1" x14ac:dyDescent="0.3"/>
    <row r="2" spans="2:25" ht="78.75" customHeight="1" x14ac:dyDescent="0.25">
      <c r="B2" s="10"/>
      <c r="C2" s="11"/>
      <c r="D2" s="111" t="s">
        <v>85</v>
      </c>
      <c r="E2" s="111"/>
      <c r="F2" s="112"/>
      <c r="G2" s="112"/>
      <c r="H2" s="112"/>
      <c r="I2" s="112"/>
      <c r="J2" s="112"/>
      <c r="K2" s="112"/>
      <c r="L2" s="112"/>
      <c r="M2" s="112"/>
      <c r="N2" s="112"/>
      <c r="O2" s="12"/>
      <c r="T2" s="110" t="s">
        <v>57</v>
      </c>
      <c r="U2" s="110"/>
    </row>
    <row r="3" spans="2:25" x14ac:dyDescent="0.25">
      <c r="B3" s="13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7"/>
      <c r="T3" s="1" t="s">
        <v>58</v>
      </c>
      <c r="U3" s="1" t="s">
        <v>59</v>
      </c>
      <c r="V3" s="1" t="s">
        <v>38</v>
      </c>
      <c r="W3" s="1" t="s">
        <v>60</v>
      </c>
      <c r="X3" s="1" t="s">
        <v>61</v>
      </c>
      <c r="Y3" s="1" t="s">
        <v>62</v>
      </c>
    </row>
    <row r="4" spans="2:25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5"/>
      <c r="T4" s="66" t="s">
        <v>64</v>
      </c>
      <c r="U4" s="66">
        <f>IF(T4="","-",1)</f>
        <v>1</v>
      </c>
      <c r="V4" s="66" t="s">
        <v>79</v>
      </c>
      <c r="W4" s="66">
        <f>SUMIF(E32:E41,"60",F32:F41)*2</f>
        <v>0</v>
      </c>
      <c r="X4" s="66" t="s">
        <v>84</v>
      </c>
      <c r="Y4" s="66" t="s">
        <v>84</v>
      </c>
    </row>
    <row r="5" spans="2:25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  <c r="T5" s="83" t="s">
        <v>76</v>
      </c>
      <c r="U5" s="66">
        <f t="shared" ref="U5:U13" si="0">IF(T5="","-",1)</f>
        <v>1</v>
      </c>
      <c r="V5" s="66" t="s">
        <v>75</v>
      </c>
      <c r="W5" s="66">
        <f>SUMIF(E32:E41,"60",F32:F41)*2</f>
        <v>0</v>
      </c>
      <c r="X5" s="66" t="s">
        <v>84</v>
      </c>
      <c r="Y5" s="66" t="s">
        <v>84</v>
      </c>
    </row>
    <row r="6" spans="2:25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  <c r="T6" s="66" t="s">
        <v>65</v>
      </c>
      <c r="U6" s="66">
        <f t="shared" si="0"/>
        <v>1</v>
      </c>
      <c r="V6" s="66" t="s">
        <v>80</v>
      </c>
      <c r="W6" s="66">
        <f>SUMIF(E32:E41,"70",F32:F41)*2</f>
        <v>0</v>
      </c>
      <c r="X6" s="66" t="s">
        <v>84</v>
      </c>
      <c r="Y6" s="66" t="s">
        <v>84</v>
      </c>
    </row>
    <row r="7" spans="2:25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5"/>
      <c r="T7" s="83" t="s">
        <v>74</v>
      </c>
      <c r="U7" s="66">
        <f t="shared" si="0"/>
        <v>1</v>
      </c>
      <c r="V7" s="66" t="s">
        <v>73</v>
      </c>
      <c r="W7" s="66">
        <f>SUMIF(E32:E41,"70",F32:F41)*2</f>
        <v>0</v>
      </c>
      <c r="X7" s="66" t="s">
        <v>84</v>
      </c>
      <c r="Y7" s="66" t="s">
        <v>84</v>
      </c>
    </row>
    <row r="8" spans="2:25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5"/>
      <c r="T8" s="66" t="s">
        <v>66</v>
      </c>
      <c r="U8" s="66">
        <f t="shared" si="0"/>
        <v>1</v>
      </c>
      <c r="V8" s="66" t="s">
        <v>81</v>
      </c>
      <c r="W8" s="66">
        <f>SUMIF(E32:E41,"80",F32:F41)*2</f>
        <v>0</v>
      </c>
      <c r="X8" s="66" t="s">
        <v>84</v>
      </c>
      <c r="Y8" s="66" t="s">
        <v>84</v>
      </c>
    </row>
    <row r="9" spans="2:25" x14ac:dyDescent="0.25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5"/>
      <c r="T9" s="83" t="s">
        <v>74</v>
      </c>
      <c r="U9" s="66">
        <f t="shared" si="0"/>
        <v>1</v>
      </c>
      <c r="V9" s="66" t="s">
        <v>73</v>
      </c>
      <c r="W9" s="66">
        <f>SUMIF(E32:E41,"80",F32:F41)*2</f>
        <v>0</v>
      </c>
      <c r="X9" s="66" t="s">
        <v>84</v>
      </c>
      <c r="Y9" s="66" t="s">
        <v>84</v>
      </c>
    </row>
    <row r="10" spans="2:25" x14ac:dyDescent="0.25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T10" s="66" t="s">
        <v>67</v>
      </c>
      <c r="U10" s="66">
        <f t="shared" si="0"/>
        <v>1</v>
      </c>
      <c r="V10" s="66" t="s">
        <v>82</v>
      </c>
      <c r="W10" s="66">
        <f>SUMIF(E32:E41,"100",F32:F41)*2</f>
        <v>0</v>
      </c>
      <c r="X10" s="66" t="s">
        <v>84</v>
      </c>
      <c r="Y10" s="66" t="s">
        <v>84</v>
      </c>
    </row>
    <row r="11" spans="2:25" x14ac:dyDescent="0.25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  <c r="T11" s="83" t="s">
        <v>72</v>
      </c>
      <c r="U11" s="66">
        <f t="shared" si="0"/>
        <v>1</v>
      </c>
      <c r="V11" s="66" t="s">
        <v>71</v>
      </c>
      <c r="W11" s="66">
        <f>SUMIF(E32:E41,"100",F32:F41)*2</f>
        <v>0</v>
      </c>
      <c r="X11" s="66" t="s">
        <v>84</v>
      </c>
      <c r="Y11" s="66" t="s">
        <v>84</v>
      </c>
    </row>
    <row r="12" spans="2:25" x14ac:dyDescent="0.25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  <c r="T12" s="66" t="s">
        <v>68</v>
      </c>
      <c r="U12" s="66">
        <f t="shared" si="0"/>
        <v>1</v>
      </c>
      <c r="V12" s="66" t="s">
        <v>83</v>
      </c>
      <c r="W12" s="66">
        <f>SUMIF(E32:E41,"120",F32:F41)*2</f>
        <v>0</v>
      </c>
      <c r="X12" s="66" t="s">
        <v>84</v>
      </c>
      <c r="Y12" s="66" t="s">
        <v>84</v>
      </c>
    </row>
    <row r="13" spans="2:25" x14ac:dyDescent="0.25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5"/>
      <c r="T13" s="83" t="s">
        <v>70</v>
      </c>
      <c r="U13" s="66">
        <f t="shared" si="0"/>
        <v>1</v>
      </c>
      <c r="V13" s="66" t="s">
        <v>69</v>
      </c>
      <c r="W13" s="66">
        <f>SUMIF(E32:E41,"120",F32:F41)*2</f>
        <v>0</v>
      </c>
      <c r="X13" s="66" t="s">
        <v>84</v>
      </c>
      <c r="Y13" s="66" t="s">
        <v>84</v>
      </c>
    </row>
    <row r="14" spans="2:25" x14ac:dyDescent="0.25">
      <c r="B14" s="13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7"/>
      <c r="T14" s="66" t="s">
        <v>46</v>
      </c>
      <c r="U14" s="66">
        <f t="shared" ref="U14:U19" si="1">IF(T14="","-",1)</f>
        <v>1</v>
      </c>
      <c r="V14" s="66" t="s">
        <v>45</v>
      </c>
      <c r="W14" s="66">
        <f>SUM($F$32:$F$41)*1</f>
        <v>0</v>
      </c>
      <c r="X14" s="66" t="s">
        <v>84</v>
      </c>
      <c r="Y14" s="66" t="s">
        <v>84</v>
      </c>
    </row>
    <row r="15" spans="2:25" x14ac:dyDescent="0.25">
      <c r="B15" s="13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  <c r="T15" s="66" t="s">
        <v>47</v>
      </c>
      <c r="U15" s="66">
        <f t="shared" si="1"/>
        <v>1</v>
      </c>
      <c r="V15" s="66" t="s">
        <v>48</v>
      </c>
      <c r="W15" s="66">
        <f>SUM($F$32:$F$41)*2</f>
        <v>0</v>
      </c>
      <c r="X15" s="66" t="s">
        <v>84</v>
      </c>
      <c r="Y15" s="66" t="s">
        <v>84</v>
      </c>
    </row>
    <row r="16" spans="2:25" x14ac:dyDescent="0.25">
      <c r="B16" s="13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7"/>
      <c r="T16" s="66" t="s">
        <v>50</v>
      </c>
      <c r="U16" s="66">
        <f t="shared" si="1"/>
        <v>1</v>
      </c>
      <c r="V16" s="66" t="s">
        <v>49</v>
      </c>
      <c r="W16" s="66">
        <f>SUM($F$32:$F$41)*(2+2)</f>
        <v>0</v>
      </c>
      <c r="X16" s="66" t="s">
        <v>84</v>
      </c>
      <c r="Y16" s="66" t="s">
        <v>84</v>
      </c>
    </row>
    <row r="17" spans="2:27" x14ac:dyDescent="0.25">
      <c r="B17" s="13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7"/>
      <c r="T17" s="66" t="s">
        <v>52</v>
      </c>
      <c r="U17" s="66">
        <f t="shared" si="1"/>
        <v>1</v>
      </c>
      <c r="V17" s="66" t="s">
        <v>51</v>
      </c>
      <c r="W17" s="66">
        <f>SUM($F$32:$F$41)*(2+2)</f>
        <v>0</v>
      </c>
      <c r="X17" s="66" t="s">
        <v>84</v>
      </c>
      <c r="Y17" s="66" t="s">
        <v>84</v>
      </c>
    </row>
    <row r="18" spans="2:27" x14ac:dyDescent="0.25">
      <c r="B18" s="13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7"/>
      <c r="T18" s="66" t="s">
        <v>54</v>
      </c>
      <c r="U18" s="66">
        <f t="shared" si="1"/>
        <v>1</v>
      </c>
      <c r="V18" s="66" t="s">
        <v>53</v>
      </c>
      <c r="W18" s="66">
        <f>SUM($F$32:$F$41)*(2+2)</f>
        <v>0</v>
      </c>
      <c r="X18" s="66" t="s">
        <v>84</v>
      </c>
      <c r="Y18" s="66" t="s">
        <v>84</v>
      </c>
    </row>
    <row r="19" spans="2:27" x14ac:dyDescent="0.25">
      <c r="B19" s="13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7"/>
      <c r="T19" s="66" t="s">
        <v>56</v>
      </c>
      <c r="U19" s="66">
        <f t="shared" si="1"/>
        <v>1</v>
      </c>
      <c r="V19" s="66" t="s">
        <v>55</v>
      </c>
      <c r="W19" s="66">
        <f>SUM($F$32:$F$41)*2</f>
        <v>0</v>
      </c>
      <c r="X19" s="66" t="s">
        <v>84</v>
      </c>
      <c r="Y19" s="66" t="s">
        <v>84</v>
      </c>
    </row>
    <row r="20" spans="2:27" x14ac:dyDescent="0.25">
      <c r="B20" s="13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7"/>
    </row>
    <row r="21" spans="2:27" x14ac:dyDescent="0.25">
      <c r="B21" s="13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/>
    </row>
    <row r="22" spans="2:27" x14ac:dyDescent="0.25">
      <c r="B22" s="13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7"/>
    </row>
    <row r="23" spans="2:27" x14ac:dyDescent="0.25">
      <c r="B23" s="13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/>
    </row>
    <row r="24" spans="2:27" x14ac:dyDescent="0.25">
      <c r="B24" s="13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/>
    </row>
    <row r="25" spans="2:27" x14ac:dyDescent="0.25">
      <c r="B25" s="13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7"/>
    </row>
    <row r="26" spans="2:27" x14ac:dyDescent="0.25"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7"/>
      <c r="Y26" s="2"/>
      <c r="AA26" s="24"/>
    </row>
    <row r="27" spans="2:27" x14ac:dyDescent="0.25">
      <c r="B27" s="1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7"/>
      <c r="Y27" s="2"/>
      <c r="AA27" s="24"/>
    </row>
    <row r="28" spans="2:27" x14ac:dyDescent="0.25">
      <c r="B28" s="1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7"/>
      <c r="Y28" s="2"/>
      <c r="AA28" s="24"/>
    </row>
    <row r="29" spans="2:27" ht="21.75" thickBot="1" x14ac:dyDescent="0.4">
      <c r="B29" s="13"/>
      <c r="C29" s="115" t="s">
        <v>40</v>
      </c>
      <c r="D29" s="115"/>
      <c r="E29" s="115"/>
      <c r="F29" s="115"/>
      <c r="G29" s="16"/>
      <c r="H29" s="116" t="s">
        <v>29</v>
      </c>
      <c r="I29" s="117"/>
      <c r="J29" s="117"/>
      <c r="K29" s="117"/>
      <c r="L29" s="117"/>
      <c r="M29" s="118"/>
      <c r="N29" s="18"/>
      <c r="O29" s="17"/>
      <c r="Y29" s="2"/>
      <c r="AA29" s="24"/>
    </row>
    <row r="30" spans="2:27" ht="127.5" customHeight="1" x14ac:dyDescent="0.25">
      <c r="B30" s="13"/>
      <c r="C30" s="113" t="s">
        <v>39</v>
      </c>
      <c r="D30" s="113" t="s">
        <v>44</v>
      </c>
      <c r="E30" s="108" t="s">
        <v>86</v>
      </c>
      <c r="F30" s="113" t="s">
        <v>28</v>
      </c>
      <c r="G30" s="16"/>
      <c r="H30" s="105" t="s">
        <v>37</v>
      </c>
      <c r="I30" s="105"/>
      <c r="J30" s="105" t="s">
        <v>36</v>
      </c>
      <c r="K30" s="105"/>
      <c r="L30" s="105" t="s">
        <v>41</v>
      </c>
      <c r="M30" s="105"/>
      <c r="N30" s="23" t="s">
        <v>30</v>
      </c>
      <c r="O30" s="17"/>
      <c r="Y30" s="2"/>
      <c r="AA30" s="24"/>
    </row>
    <row r="31" spans="2:27" ht="15.75" customHeight="1" thickBot="1" x14ac:dyDescent="0.3">
      <c r="B31" s="13"/>
      <c r="C31" s="114"/>
      <c r="D31" s="114"/>
      <c r="E31" s="109"/>
      <c r="F31" s="114"/>
      <c r="G31" s="16"/>
      <c r="H31" s="69" t="s">
        <v>31</v>
      </c>
      <c r="I31" s="69" t="s">
        <v>28</v>
      </c>
      <c r="J31" s="69" t="s">
        <v>31</v>
      </c>
      <c r="K31" s="69" t="s">
        <v>28</v>
      </c>
      <c r="L31" s="69" t="s">
        <v>31</v>
      </c>
      <c r="M31" s="69" t="s">
        <v>28</v>
      </c>
      <c r="N31" s="69" t="s">
        <v>28</v>
      </c>
      <c r="O31" s="17"/>
    </row>
    <row r="32" spans="2:27" ht="17.25" x14ac:dyDescent="0.3">
      <c r="B32" s="13"/>
      <c r="C32" s="70"/>
      <c r="D32" s="71"/>
      <c r="E32" s="72"/>
      <c r="F32" s="73"/>
      <c r="G32" s="16"/>
      <c r="H32" s="69" t="str">
        <f>IF(D32="","-",D32-5)</f>
        <v>-</v>
      </c>
      <c r="I32" s="69" t="str">
        <f>IF(F32="","-",F32*2)</f>
        <v>-</v>
      </c>
      <c r="J32" s="69" t="str">
        <f>IF(F32="","-",470)</f>
        <v>-</v>
      </c>
      <c r="K32" s="69" t="str">
        <f>IF(F32="","-",F32)</f>
        <v>-</v>
      </c>
      <c r="L32" s="69" t="str">
        <f>IF(D32&gt;1500,470,"-")</f>
        <v>-</v>
      </c>
      <c r="M32" s="69" t="str">
        <f>IF(D32&gt;1500,F32,"-")</f>
        <v>-</v>
      </c>
      <c r="N32" s="69" t="str">
        <f>IF(F32="","-",F32*2)</f>
        <v>-</v>
      </c>
      <c r="O32" s="17"/>
    </row>
    <row r="33" spans="2:15" ht="17.25" x14ac:dyDescent="0.3">
      <c r="B33" s="13"/>
      <c r="C33" s="74"/>
      <c r="D33" s="75"/>
      <c r="E33" s="76"/>
      <c r="F33" s="77"/>
      <c r="G33" s="16"/>
      <c r="H33" s="69" t="str">
        <f t="shared" ref="H33:H41" si="2">IF(D33="","-",D33-5)</f>
        <v>-</v>
      </c>
      <c r="I33" s="69" t="str">
        <f t="shared" ref="I33:I41" si="3">IF(C33="","-",F33*2)</f>
        <v>-</v>
      </c>
      <c r="J33" s="69" t="str">
        <f t="shared" ref="J33:J41" si="4">IF(F33="","-",470)</f>
        <v>-</v>
      </c>
      <c r="K33" s="69" t="str">
        <f t="shared" ref="K33:K41" si="5">IF(F33="","-",F33)</f>
        <v>-</v>
      </c>
      <c r="L33" s="69" t="str">
        <f t="shared" ref="L33:L41" si="6">IF(D33&gt;1500,470,"-")</f>
        <v>-</v>
      </c>
      <c r="M33" s="69" t="str">
        <f t="shared" ref="M33:M41" si="7">IF(D33&gt;1500,F33,"-")</f>
        <v>-</v>
      </c>
      <c r="N33" s="69" t="str">
        <f t="shared" ref="N33:N41" si="8">IF(F33="","-",F33*2)</f>
        <v>-</v>
      </c>
      <c r="O33" s="17"/>
    </row>
    <row r="34" spans="2:15" ht="17.25" x14ac:dyDescent="0.3">
      <c r="B34" s="13"/>
      <c r="C34" s="74"/>
      <c r="D34" s="75"/>
      <c r="E34" s="76"/>
      <c r="F34" s="77"/>
      <c r="G34" s="16"/>
      <c r="H34" s="69" t="str">
        <f t="shared" si="2"/>
        <v>-</v>
      </c>
      <c r="I34" s="69" t="str">
        <f t="shared" si="3"/>
        <v>-</v>
      </c>
      <c r="J34" s="69" t="str">
        <f t="shared" si="4"/>
        <v>-</v>
      </c>
      <c r="K34" s="69" t="str">
        <f t="shared" si="5"/>
        <v>-</v>
      </c>
      <c r="L34" s="69" t="str">
        <f t="shared" si="6"/>
        <v>-</v>
      </c>
      <c r="M34" s="69" t="str">
        <f t="shared" si="7"/>
        <v>-</v>
      </c>
      <c r="N34" s="69" t="str">
        <f t="shared" si="8"/>
        <v>-</v>
      </c>
      <c r="O34" s="17"/>
    </row>
    <row r="35" spans="2:15" ht="17.25" x14ac:dyDescent="0.3">
      <c r="B35" s="13"/>
      <c r="C35" s="74"/>
      <c r="D35" s="75"/>
      <c r="E35" s="76"/>
      <c r="F35" s="77"/>
      <c r="G35" s="16"/>
      <c r="H35" s="69" t="str">
        <f t="shared" si="2"/>
        <v>-</v>
      </c>
      <c r="I35" s="69" t="str">
        <f t="shared" si="3"/>
        <v>-</v>
      </c>
      <c r="J35" s="69" t="str">
        <f t="shared" si="4"/>
        <v>-</v>
      </c>
      <c r="K35" s="69" t="str">
        <f t="shared" si="5"/>
        <v>-</v>
      </c>
      <c r="L35" s="69" t="str">
        <f t="shared" si="6"/>
        <v>-</v>
      </c>
      <c r="M35" s="69" t="str">
        <f t="shared" si="7"/>
        <v>-</v>
      </c>
      <c r="N35" s="69" t="str">
        <f t="shared" si="8"/>
        <v>-</v>
      </c>
      <c r="O35" s="17"/>
    </row>
    <row r="36" spans="2:15" ht="17.25" x14ac:dyDescent="0.3">
      <c r="B36" s="13"/>
      <c r="C36" s="74"/>
      <c r="D36" s="75"/>
      <c r="E36" s="76"/>
      <c r="F36" s="77"/>
      <c r="G36" s="16"/>
      <c r="H36" s="69" t="str">
        <f t="shared" si="2"/>
        <v>-</v>
      </c>
      <c r="I36" s="69" t="str">
        <f t="shared" si="3"/>
        <v>-</v>
      </c>
      <c r="J36" s="69" t="str">
        <f t="shared" si="4"/>
        <v>-</v>
      </c>
      <c r="K36" s="69" t="str">
        <f t="shared" si="5"/>
        <v>-</v>
      </c>
      <c r="L36" s="69" t="str">
        <f t="shared" si="6"/>
        <v>-</v>
      </c>
      <c r="M36" s="69" t="str">
        <f t="shared" si="7"/>
        <v>-</v>
      </c>
      <c r="N36" s="69" t="str">
        <f t="shared" si="8"/>
        <v>-</v>
      </c>
      <c r="O36" s="17"/>
    </row>
    <row r="37" spans="2:15" ht="17.25" x14ac:dyDescent="0.3">
      <c r="B37" s="13"/>
      <c r="C37" s="74"/>
      <c r="D37" s="75"/>
      <c r="E37" s="76"/>
      <c r="F37" s="77"/>
      <c r="G37" s="16"/>
      <c r="H37" s="69" t="str">
        <f t="shared" si="2"/>
        <v>-</v>
      </c>
      <c r="I37" s="69" t="str">
        <f t="shared" si="3"/>
        <v>-</v>
      </c>
      <c r="J37" s="69" t="str">
        <f t="shared" si="4"/>
        <v>-</v>
      </c>
      <c r="K37" s="69" t="str">
        <f t="shared" si="5"/>
        <v>-</v>
      </c>
      <c r="L37" s="69" t="str">
        <f t="shared" si="6"/>
        <v>-</v>
      </c>
      <c r="M37" s="69" t="str">
        <f t="shared" si="7"/>
        <v>-</v>
      </c>
      <c r="N37" s="69" t="str">
        <f t="shared" si="8"/>
        <v>-</v>
      </c>
      <c r="O37" s="17"/>
    </row>
    <row r="38" spans="2:15" ht="17.25" x14ac:dyDescent="0.3">
      <c r="B38" s="13"/>
      <c r="C38" s="74"/>
      <c r="D38" s="75"/>
      <c r="E38" s="76"/>
      <c r="F38" s="77"/>
      <c r="G38" s="16"/>
      <c r="H38" s="69" t="str">
        <f t="shared" si="2"/>
        <v>-</v>
      </c>
      <c r="I38" s="69" t="str">
        <f t="shared" si="3"/>
        <v>-</v>
      </c>
      <c r="J38" s="69" t="str">
        <f t="shared" si="4"/>
        <v>-</v>
      </c>
      <c r="K38" s="69" t="str">
        <f t="shared" si="5"/>
        <v>-</v>
      </c>
      <c r="L38" s="69" t="str">
        <f t="shared" si="6"/>
        <v>-</v>
      </c>
      <c r="M38" s="69" t="str">
        <f t="shared" si="7"/>
        <v>-</v>
      </c>
      <c r="N38" s="69" t="str">
        <f t="shared" si="8"/>
        <v>-</v>
      </c>
      <c r="O38" s="17"/>
    </row>
    <row r="39" spans="2:15" ht="17.25" x14ac:dyDescent="0.3">
      <c r="B39" s="13"/>
      <c r="C39" s="74"/>
      <c r="D39" s="75"/>
      <c r="E39" s="76"/>
      <c r="F39" s="77"/>
      <c r="G39" s="16"/>
      <c r="H39" s="69" t="str">
        <f t="shared" si="2"/>
        <v>-</v>
      </c>
      <c r="I39" s="69" t="str">
        <f t="shared" si="3"/>
        <v>-</v>
      </c>
      <c r="J39" s="69" t="str">
        <f t="shared" si="4"/>
        <v>-</v>
      </c>
      <c r="K39" s="69" t="str">
        <f t="shared" si="5"/>
        <v>-</v>
      </c>
      <c r="L39" s="69" t="str">
        <f t="shared" si="6"/>
        <v>-</v>
      </c>
      <c r="M39" s="69" t="str">
        <f t="shared" si="7"/>
        <v>-</v>
      </c>
      <c r="N39" s="69" t="str">
        <f t="shared" si="8"/>
        <v>-</v>
      </c>
      <c r="O39" s="17"/>
    </row>
    <row r="40" spans="2:15" ht="17.25" x14ac:dyDescent="0.3">
      <c r="B40" s="13"/>
      <c r="C40" s="74"/>
      <c r="D40" s="75"/>
      <c r="E40" s="76"/>
      <c r="F40" s="77"/>
      <c r="G40" s="16"/>
      <c r="H40" s="69" t="str">
        <f t="shared" si="2"/>
        <v>-</v>
      </c>
      <c r="I40" s="69" t="str">
        <f t="shared" si="3"/>
        <v>-</v>
      </c>
      <c r="J40" s="69" t="str">
        <f t="shared" si="4"/>
        <v>-</v>
      </c>
      <c r="K40" s="69" t="str">
        <f t="shared" si="5"/>
        <v>-</v>
      </c>
      <c r="L40" s="69" t="str">
        <f t="shared" si="6"/>
        <v>-</v>
      </c>
      <c r="M40" s="69" t="str">
        <f t="shared" si="7"/>
        <v>-</v>
      </c>
      <c r="N40" s="69" t="str">
        <f t="shared" si="8"/>
        <v>-</v>
      </c>
      <c r="O40" s="17"/>
    </row>
    <row r="41" spans="2:15" ht="18" thickBot="1" x14ac:dyDescent="0.35">
      <c r="B41" s="13"/>
      <c r="C41" s="78"/>
      <c r="D41" s="79"/>
      <c r="E41" s="80"/>
      <c r="F41" s="81"/>
      <c r="G41" s="16"/>
      <c r="H41" s="69" t="str">
        <f t="shared" si="2"/>
        <v>-</v>
      </c>
      <c r="I41" s="69" t="str">
        <f t="shared" si="3"/>
        <v>-</v>
      </c>
      <c r="J41" s="69" t="str">
        <f t="shared" si="4"/>
        <v>-</v>
      </c>
      <c r="K41" s="69" t="str">
        <f t="shared" si="5"/>
        <v>-</v>
      </c>
      <c r="L41" s="69" t="str">
        <f t="shared" si="6"/>
        <v>-</v>
      </c>
      <c r="M41" s="69" t="str">
        <f t="shared" si="7"/>
        <v>-</v>
      </c>
      <c r="N41" s="69" t="str">
        <f t="shared" si="8"/>
        <v>-</v>
      </c>
      <c r="O41" s="17"/>
    </row>
    <row r="42" spans="2:15" ht="15.75" thickBot="1" x14ac:dyDescent="0.3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2"/>
    </row>
  </sheetData>
  <mergeCells count="12">
    <mergeCell ref="H30:I30"/>
    <mergeCell ref="J30:K30"/>
    <mergeCell ref="C3:O3"/>
    <mergeCell ref="E30:E31"/>
    <mergeCell ref="T2:U2"/>
    <mergeCell ref="D2:N2"/>
    <mergeCell ref="C30:C31"/>
    <mergeCell ref="D30:D31"/>
    <mergeCell ref="F30:F31"/>
    <mergeCell ref="C29:F29"/>
    <mergeCell ref="L30:M30"/>
    <mergeCell ref="H29:M29"/>
  </mergeCells>
  <pageMargins left="0.25" right="0.25" top="0.75" bottom="0.75" header="0.3" footer="0.3"/>
  <pageSetup paperSize="9" scale="8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Y45"/>
  <sheetViews>
    <sheetView topLeftCell="F1" workbookViewId="0">
      <selection activeCell="V29" sqref="V29"/>
    </sheetView>
  </sheetViews>
  <sheetFormatPr baseColWidth="10" defaultRowHeight="15" x14ac:dyDescent="0.25"/>
  <cols>
    <col min="1" max="1" width="5.7109375" customWidth="1"/>
    <col min="2" max="2" width="3.85546875" customWidth="1"/>
    <col min="3" max="3" width="7.85546875" customWidth="1"/>
    <col min="4" max="5" width="12.140625" customWidth="1"/>
    <col min="6" max="6" width="6.140625" customWidth="1"/>
    <col min="7" max="7" width="4.7109375" customWidth="1"/>
    <col min="8" max="8" width="11" customWidth="1"/>
    <col min="9" max="9" width="5.42578125" customWidth="1"/>
    <col min="11" max="11" width="6.7109375" customWidth="1"/>
    <col min="13" max="13" width="6.5703125" hidden="1" customWidth="1"/>
    <col min="14" max="15" width="9.28515625" customWidth="1"/>
    <col min="16" max="16" width="6.5703125" customWidth="1"/>
    <col min="18" max="18" width="1.85546875" customWidth="1"/>
    <col min="22" max="22" width="43.28515625" customWidth="1"/>
    <col min="23" max="23" width="12.85546875" bestFit="1" customWidth="1"/>
    <col min="24" max="24" width="28.140625" bestFit="1" customWidth="1"/>
  </cols>
  <sheetData>
    <row r="1" spans="2:25" ht="15.75" thickBot="1" x14ac:dyDescent="0.3"/>
    <row r="2" spans="2:25" ht="78.75" customHeight="1" x14ac:dyDescent="0.25">
      <c r="B2" s="10"/>
      <c r="C2" s="11"/>
      <c r="D2" s="111" t="s">
        <v>92</v>
      </c>
      <c r="E2" s="111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2"/>
      <c r="T2" s="110" t="s">
        <v>57</v>
      </c>
      <c r="U2" s="110"/>
    </row>
    <row r="3" spans="2:25" x14ac:dyDescent="0.25">
      <c r="B3" s="13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7"/>
      <c r="T3" s="1" t="s">
        <v>58</v>
      </c>
      <c r="U3" s="1" t="s">
        <v>59</v>
      </c>
      <c r="V3" s="1" t="s">
        <v>38</v>
      </c>
      <c r="W3" s="1" t="s">
        <v>60</v>
      </c>
      <c r="X3" s="1" t="s">
        <v>61</v>
      </c>
      <c r="Y3" s="1" t="s">
        <v>62</v>
      </c>
    </row>
    <row r="4" spans="2:25" x14ac:dyDescent="0.25">
      <c r="B4" s="13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1"/>
      <c r="T4" s="66" t="s">
        <v>64</v>
      </c>
      <c r="U4" s="66">
        <f>IF(T4="","-",1)</f>
        <v>1</v>
      </c>
      <c r="V4" s="66" t="s">
        <v>79</v>
      </c>
      <c r="W4" s="66">
        <f>SUMIF(E34:E43,"60",F34:F43)*4</f>
        <v>0</v>
      </c>
      <c r="X4" s="66" t="s">
        <v>84</v>
      </c>
      <c r="Y4" s="66" t="s">
        <v>84</v>
      </c>
    </row>
    <row r="5" spans="2:25" x14ac:dyDescent="0.25">
      <c r="B5" s="13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1"/>
      <c r="T5" s="83" t="s">
        <v>76</v>
      </c>
      <c r="U5" s="66">
        <f t="shared" ref="U5:U19" si="0">IF(T5="","-",1)</f>
        <v>1</v>
      </c>
      <c r="V5" s="66" t="s">
        <v>75</v>
      </c>
      <c r="W5" s="66">
        <f>SUMIF(E34:E43,"60",F34:F43)*4</f>
        <v>0</v>
      </c>
      <c r="X5" s="66" t="s">
        <v>84</v>
      </c>
      <c r="Y5" s="66" t="s">
        <v>84</v>
      </c>
    </row>
    <row r="6" spans="2:25" x14ac:dyDescent="0.25">
      <c r="B6" s="13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1"/>
      <c r="T6" s="66" t="s">
        <v>65</v>
      </c>
      <c r="U6" s="66">
        <f t="shared" si="0"/>
        <v>1</v>
      </c>
      <c r="V6" s="66" t="s">
        <v>80</v>
      </c>
      <c r="W6" s="66">
        <f>SUMIF(E34:E43,"70",F34:F43)*4</f>
        <v>0</v>
      </c>
      <c r="X6" s="66" t="s">
        <v>84</v>
      </c>
      <c r="Y6" s="66" t="s">
        <v>84</v>
      </c>
    </row>
    <row r="7" spans="2:25" x14ac:dyDescent="0.25">
      <c r="B7" s="13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1"/>
      <c r="T7" s="83" t="s">
        <v>74</v>
      </c>
      <c r="U7" s="66">
        <f t="shared" si="0"/>
        <v>1</v>
      </c>
      <c r="V7" s="66" t="s">
        <v>73</v>
      </c>
      <c r="W7" s="66">
        <f>SUMIF(E34:E43,"70",F34:F43)*4</f>
        <v>0</v>
      </c>
      <c r="X7" s="66" t="s">
        <v>84</v>
      </c>
      <c r="Y7" s="66" t="s">
        <v>84</v>
      </c>
    </row>
    <row r="8" spans="2:25" x14ac:dyDescent="0.25">
      <c r="B8" s="13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1"/>
      <c r="T8" s="66" t="s">
        <v>66</v>
      </c>
      <c r="U8" s="66">
        <f t="shared" si="0"/>
        <v>1</v>
      </c>
      <c r="V8" s="66" t="s">
        <v>81</v>
      </c>
      <c r="W8" s="66">
        <f>SUMIF(E34:E43,"80",F34:F43)*4</f>
        <v>0</v>
      </c>
      <c r="X8" s="66" t="s">
        <v>84</v>
      </c>
      <c r="Y8" s="66" t="s">
        <v>84</v>
      </c>
    </row>
    <row r="9" spans="2:25" x14ac:dyDescent="0.25">
      <c r="B9" s="13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1"/>
      <c r="T9" s="83" t="s">
        <v>74</v>
      </c>
      <c r="U9" s="66">
        <f t="shared" si="0"/>
        <v>1</v>
      </c>
      <c r="V9" s="66" t="s">
        <v>73</v>
      </c>
      <c r="W9" s="66">
        <f>SUMIF(E34:E43,"80",F34:F43)*4</f>
        <v>0</v>
      </c>
      <c r="X9" s="66" t="s">
        <v>84</v>
      </c>
      <c r="Y9" s="66" t="s">
        <v>84</v>
      </c>
    </row>
    <row r="10" spans="2:25" x14ac:dyDescent="0.25">
      <c r="B10" s="13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1"/>
      <c r="T10" s="66" t="s">
        <v>67</v>
      </c>
      <c r="U10" s="66">
        <f t="shared" si="0"/>
        <v>1</v>
      </c>
      <c r="V10" s="66" t="s">
        <v>82</v>
      </c>
      <c r="W10" s="66">
        <f>SUMIF(E34:E43,"100",F34:F43)*4</f>
        <v>16</v>
      </c>
      <c r="X10" s="66" t="s">
        <v>84</v>
      </c>
      <c r="Y10" s="66" t="s">
        <v>84</v>
      </c>
    </row>
    <row r="11" spans="2:25" x14ac:dyDescent="0.25">
      <c r="B11" s="13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1"/>
      <c r="T11" s="83" t="s">
        <v>72</v>
      </c>
      <c r="U11" s="66">
        <f t="shared" si="0"/>
        <v>1</v>
      </c>
      <c r="V11" s="66" t="s">
        <v>71</v>
      </c>
      <c r="W11" s="66">
        <f>SUMIF(E34:E43,"100",F34:F43)*4</f>
        <v>16</v>
      </c>
      <c r="X11" s="66" t="s">
        <v>84</v>
      </c>
      <c r="Y11" s="66" t="s">
        <v>84</v>
      </c>
    </row>
    <row r="12" spans="2:25" x14ac:dyDescent="0.25">
      <c r="B12" s="13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1"/>
      <c r="T12" s="66" t="s">
        <v>68</v>
      </c>
      <c r="U12" s="66">
        <f t="shared" si="0"/>
        <v>1</v>
      </c>
      <c r="V12" s="66" t="s">
        <v>83</v>
      </c>
      <c r="W12" s="66">
        <f>SUMIF(E34:E43,"120",F34:F43)*4</f>
        <v>0</v>
      </c>
      <c r="X12" s="66" t="s">
        <v>84</v>
      </c>
      <c r="Y12" s="66" t="s">
        <v>84</v>
      </c>
    </row>
    <row r="13" spans="2:25" x14ac:dyDescent="0.25">
      <c r="B13" s="1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  <c r="T13" s="83" t="s">
        <v>70</v>
      </c>
      <c r="U13" s="66">
        <f t="shared" si="0"/>
        <v>1</v>
      </c>
      <c r="V13" s="66" t="s">
        <v>69</v>
      </c>
      <c r="W13" s="66">
        <f>SUMIF(E34:E43,"120",F34:F43)*4</f>
        <v>0</v>
      </c>
      <c r="X13" s="66" t="s">
        <v>84</v>
      </c>
      <c r="Y13" s="66" t="s">
        <v>84</v>
      </c>
    </row>
    <row r="14" spans="2:25" x14ac:dyDescent="0.25">
      <c r="B14" s="13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7"/>
      <c r="T14" s="66" t="s">
        <v>46</v>
      </c>
      <c r="U14" s="66">
        <f t="shared" si="0"/>
        <v>1</v>
      </c>
      <c r="V14" s="66" t="s">
        <v>45</v>
      </c>
      <c r="W14" s="66">
        <f>SUM($F$34:$F$43)*6</f>
        <v>24</v>
      </c>
      <c r="X14" s="66" t="s">
        <v>84</v>
      </c>
      <c r="Y14" s="66" t="s">
        <v>84</v>
      </c>
    </row>
    <row r="15" spans="2:25" x14ac:dyDescent="0.25">
      <c r="B15" s="13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7"/>
      <c r="T15" s="66" t="s">
        <v>47</v>
      </c>
      <c r="U15" s="66">
        <f t="shared" si="0"/>
        <v>1</v>
      </c>
      <c r="V15" s="66" t="s">
        <v>48</v>
      </c>
      <c r="W15" s="66">
        <f>SUM($F$34:$F$43)*4</f>
        <v>16</v>
      </c>
      <c r="X15" s="66" t="s">
        <v>84</v>
      </c>
      <c r="Y15" s="66" t="s">
        <v>84</v>
      </c>
    </row>
    <row r="16" spans="2:25" x14ac:dyDescent="0.25">
      <c r="B16" s="13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7"/>
      <c r="T16" s="66" t="s">
        <v>50</v>
      </c>
      <c r="U16" s="66">
        <f t="shared" si="0"/>
        <v>1</v>
      </c>
      <c r="V16" s="66" t="s">
        <v>49</v>
      </c>
      <c r="W16" s="66">
        <f>SUM($F$34:$F$43)*12</f>
        <v>48</v>
      </c>
      <c r="X16" s="66" t="s">
        <v>84</v>
      </c>
      <c r="Y16" s="66" t="s">
        <v>84</v>
      </c>
    </row>
    <row r="17" spans="2:25" x14ac:dyDescent="0.25">
      <c r="B17" s="13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7"/>
      <c r="T17" s="66" t="s">
        <v>52</v>
      </c>
      <c r="U17" s="66">
        <f t="shared" si="0"/>
        <v>1</v>
      </c>
      <c r="V17" s="66" t="s">
        <v>51</v>
      </c>
      <c r="W17" s="66">
        <f>SUM($F$34:$F$43)*12</f>
        <v>48</v>
      </c>
      <c r="X17" s="66" t="s">
        <v>84</v>
      </c>
      <c r="Y17" s="66" t="s">
        <v>84</v>
      </c>
    </row>
    <row r="18" spans="2:25" x14ac:dyDescent="0.25">
      <c r="B18" s="13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7"/>
      <c r="T18" s="66" t="s">
        <v>54</v>
      </c>
      <c r="U18" s="66">
        <f t="shared" si="0"/>
        <v>1</v>
      </c>
      <c r="V18" s="66" t="s">
        <v>53</v>
      </c>
      <c r="W18" s="66">
        <f>SUM($F$34:$F$43)*12</f>
        <v>48</v>
      </c>
      <c r="X18" s="66" t="s">
        <v>84</v>
      </c>
      <c r="Y18" s="66" t="s">
        <v>84</v>
      </c>
    </row>
    <row r="19" spans="2:25" x14ac:dyDescent="0.25">
      <c r="B19" s="13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7"/>
      <c r="T19" s="66" t="s">
        <v>56</v>
      </c>
      <c r="U19" s="66">
        <f t="shared" si="0"/>
        <v>1</v>
      </c>
      <c r="V19" s="66" t="s">
        <v>55</v>
      </c>
      <c r="W19" s="66">
        <f>SUM($F$34:$F$43)*8</f>
        <v>32</v>
      </c>
      <c r="X19" s="66" t="s">
        <v>84</v>
      </c>
      <c r="Y19" s="66" t="s">
        <v>84</v>
      </c>
    </row>
    <row r="20" spans="2:25" x14ac:dyDescent="0.25">
      <c r="B20" s="13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7"/>
      <c r="T20" s="66" t="s">
        <v>90</v>
      </c>
      <c r="U20" s="66">
        <v>1</v>
      </c>
      <c r="V20" s="66" t="s">
        <v>91</v>
      </c>
      <c r="W20" s="66">
        <f>SUM($F$34:$F$43)*1</f>
        <v>4</v>
      </c>
      <c r="X20" s="66"/>
      <c r="Y20" s="66"/>
    </row>
    <row r="21" spans="2:25" x14ac:dyDescent="0.25">
      <c r="B21" s="13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7"/>
    </row>
    <row r="22" spans="2:25" x14ac:dyDescent="0.25">
      <c r="B22" s="13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7"/>
    </row>
    <row r="23" spans="2:25" x14ac:dyDescent="0.25">
      <c r="B23" s="13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7"/>
    </row>
    <row r="24" spans="2:25" x14ac:dyDescent="0.25">
      <c r="B24" s="13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7"/>
    </row>
    <row r="25" spans="2:25" x14ac:dyDescent="0.25">
      <c r="B25" s="13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7"/>
    </row>
    <row r="26" spans="2:25" x14ac:dyDescent="0.25"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7"/>
    </row>
    <row r="27" spans="2:25" x14ac:dyDescent="0.25">
      <c r="B27" s="1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7"/>
    </row>
    <row r="28" spans="2:25" x14ac:dyDescent="0.25">
      <c r="B28" s="1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7"/>
    </row>
    <row r="29" spans="2:25" x14ac:dyDescent="0.25">
      <c r="B29" s="13"/>
      <c r="G29" s="16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17"/>
    </row>
    <row r="30" spans="2:25" ht="127.5" customHeight="1" thickBot="1" x14ac:dyDescent="0.3">
      <c r="B30" s="13"/>
      <c r="G30" s="16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17"/>
    </row>
    <row r="31" spans="2:25" ht="15.75" customHeight="1" thickBot="1" x14ac:dyDescent="0.3">
      <c r="B31" s="13"/>
      <c r="C31" s="115" t="s">
        <v>40</v>
      </c>
      <c r="D31" s="115"/>
      <c r="E31" s="115"/>
      <c r="F31" s="115"/>
      <c r="G31" s="16"/>
      <c r="H31" s="48" t="s">
        <v>29</v>
      </c>
      <c r="I31" s="49"/>
      <c r="J31" s="49"/>
      <c r="K31" s="49"/>
      <c r="L31" s="49"/>
      <c r="M31" s="49"/>
      <c r="N31" s="49"/>
      <c r="O31" s="49"/>
      <c r="P31" s="49"/>
      <c r="Q31" s="50"/>
      <c r="R31" s="17"/>
    </row>
    <row r="32" spans="2:25" ht="60" customHeight="1" x14ac:dyDescent="0.25">
      <c r="B32" s="13"/>
      <c r="C32" s="113" t="s">
        <v>39</v>
      </c>
      <c r="D32" s="113" t="s">
        <v>44</v>
      </c>
      <c r="E32" s="108" t="s">
        <v>86</v>
      </c>
      <c r="F32" s="113" t="s">
        <v>28</v>
      </c>
      <c r="G32" s="16"/>
      <c r="H32" s="121" t="s">
        <v>37</v>
      </c>
      <c r="I32" s="122"/>
      <c r="J32" s="121" t="s">
        <v>36</v>
      </c>
      <c r="K32" s="122"/>
      <c r="L32" s="46" t="s">
        <v>87</v>
      </c>
      <c r="M32" s="47"/>
      <c r="N32" s="46" t="s">
        <v>89</v>
      </c>
      <c r="O32" s="47"/>
      <c r="P32" s="26" t="s">
        <v>88</v>
      </c>
      <c r="Q32" s="26" t="s">
        <v>30</v>
      </c>
      <c r="R32" s="17"/>
    </row>
    <row r="33" spans="2:18" ht="18" thickBot="1" x14ac:dyDescent="0.3">
      <c r="B33" s="13"/>
      <c r="C33" s="119"/>
      <c r="D33" s="119"/>
      <c r="E33" s="120"/>
      <c r="F33" s="119"/>
      <c r="G33" s="16"/>
      <c r="H33" s="69" t="s">
        <v>31</v>
      </c>
      <c r="I33" s="69" t="s">
        <v>28</v>
      </c>
      <c r="J33" s="69" t="s">
        <v>31</v>
      </c>
      <c r="K33" s="69" t="s">
        <v>28</v>
      </c>
      <c r="L33" s="69" t="s">
        <v>31</v>
      </c>
      <c r="M33" s="69" t="s">
        <v>31</v>
      </c>
      <c r="N33" s="69" t="s">
        <v>31</v>
      </c>
      <c r="O33" s="69" t="s">
        <v>28</v>
      </c>
      <c r="P33" s="69" t="s">
        <v>28</v>
      </c>
      <c r="Q33" s="69" t="s">
        <v>28</v>
      </c>
      <c r="R33" s="17"/>
    </row>
    <row r="34" spans="2:18" ht="17.25" x14ac:dyDescent="0.3">
      <c r="B34" s="13"/>
      <c r="C34" s="70" t="s">
        <v>124</v>
      </c>
      <c r="D34" s="71">
        <v>800</v>
      </c>
      <c r="E34" s="71">
        <v>100</v>
      </c>
      <c r="F34" s="73">
        <v>4</v>
      </c>
      <c r="G34" s="16"/>
      <c r="H34" s="69">
        <f t="shared" ref="H34:H43" si="1">IF(D34="","-",D34-5)</f>
        <v>795</v>
      </c>
      <c r="I34" s="69">
        <f t="shared" ref="I34:I43" si="2">IF(F34="","-",F34*4)</f>
        <v>16</v>
      </c>
      <c r="J34" s="69">
        <f t="shared" ref="J34:J43" si="3">IF(F34="","-",470)</f>
        <v>470</v>
      </c>
      <c r="K34" s="69">
        <f t="shared" ref="K34:K43" si="4">IF(F34="","-",F34*2)</f>
        <v>8</v>
      </c>
      <c r="L34" s="82">
        <f t="shared" ref="L34:L43" si="5">IF(D34="","-",D34-200)</f>
        <v>600</v>
      </c>
      <c r="M34" s="69" t="str">
        <f t="shared" ref="M34:M43" si="6">IF(D34&gt;1500,F34,"-")</f>
        <v>-</v>
      </c>
      <c r="N34" s="69">
        <f t="shared" ref="N34:N43" si="7">IF(F34="","-",855)</f>
        <v>855</v>
      </c>
      <c r="O34" s="69">
        <f t="shared" ref="O34:O43" si="8">IF(F34="","-",F34*2)</f>
        <v>8</v>
      </c>
      <c r="P34" s="69">
        <f t="shared" ref="P34:P43" si="9">IF(F34="","-",F34*2)</f>
        <v>8</v>
      </c>
      <c r="Q34" s="69">
        <f t="shared" ref="Q34:Q43" si="10">IF(F34="","-",F34*4)</f>
        <v>16</v>
      </c>
      <c r="R34" s="17"/>
    </row>
    <row r="35" spans="2:18" ht="17.25" x14ac:dyDescent="0.3">
      <c r="B35" s="13"/>
      <c r="C35" s="74"/>
      <c r="D35" s="75"/>
      <c r="E35" s="75"/>
      <c r="F35" s="77"/>
      <c r="G35" s="16"/>
      <c r="H35" s="69" t="str">
        <f t="shared" si="1"/>
        <v>-</v>
      </c>
      <c r="I35" s="69" t="str">
        <f t="shared" si="2"/>
        <v>-</v>
      </c>
      <c r="J35" s="69" t="str">
        <f t="shared" si="3"/>
        <v>-</v>
      </c>
      <c r="K35" s="69" t="str">
        <f t="shared" si="4"/>
        <v>-</v>
      </c>
      <c r="L35" s="82" t="str">
        <f t="shared" si="5"/>
        <v>-</v>
      </c>
      <c r="M35" s="69" t="str">
        <f t="shared" si="6"/>
        <v>-</v>
      </c>
      <c r="N35" s="69" t="str">
        <f t="shared" si="7"/>
        <v>-</v>
      </c>
      <c r="O35" s="69" t="str">
        <f t="shared" si="8"/>
        <v>-</v>
      </c>
      <c r="P35" s="69" t="str">
        <f t="shared" si="9"/>
        <v>-</v>
      </c>
      <c r="Q35" s="69" t="str">
        <f t="shared" si="10"/>
        <v>-</v>
      </c>
      <c r="R35" s="17"/>
    </row>
    <row r="36" spans="2:18" ht="17.25" x14ac:dyDescent="0.3">
      <c r="B36" s="13"/>
      <c r="C36" s="74"/>
      <c r="D36" s="75"/>
      <c r="E36" s="75"/>
      <c r="F36" s="77"/>
      <c r="G36" s="16"/>
      <c r="H36" s="69" t="str">
        <f t="shared" si="1"/>
        <v>-</v>
      </c>
      <c r="I36" s="69" t="str">
        <f t="shared" si="2"/>
        <v>-</v>
      </c>
      <c r="J36" s="69" t="str">
        <f t="shared" si="3"/>
        <v>-</v>
      </c>
      <c r="K36" s="69" t="str">
        <f t="shared" si="4"/>
        <v>-</v>
      </c>
      <c r="L36" s="82" t="str">
        <f t="shared" si="5"/>
        <v>-</v>
      </c>
      <c r="M36" s="69" t="str">
        <f t="shared" si="6"/>
        <v>-</v>
      </c>
      <c r="N36" s="69" t="str">
        <f t="shared" si="7"/>
        <v>-</v>
      </c>
      <c r="O36" s="69" t="str">
        <f t="shared" si="8"/>
        <v>-</v>
      </c>
      <c r="P36" s="69" t="str">
        <f t="shared" si="9"/>
        <v>-</v>
      </c>
      <c r="Q36" s="69" t="str">
        <f t="shared" si="10"/>
        <v>-</v>
      </c>
      <c r="R36" s="17"/>
    </row>
    <row r="37" spans="2:18" ht="17.25" x14ac:dyDescent="0.3">
      <c r="B37" s="13"/>
      <c r="C37" s="74"/>
      <c r="D37" s="75"/>
      <c r="E37" s="75"/>
      <c r="F37" s="77"/>
      <c r="G37" s="16"/>
      <c r="H37" s="69" t="str">
        <f t="shared" si="1"/>
        <v>-</v>
      </c>
      <c r="I37" s="69" t="str">
        <f t="shared" si="2"/>
        <v>-</v>
      </c>
      <c r="J37" s="69" t="str">
        <f t="shared" si="3"/>
        <v>-</v>
      </c>
      <c r="K37" s="69" t="str">
        <f t="shared" si="4"/>
        <v>-</v>
      </c>
      <c r="L37" s="82" t="str">
        <f t="shared" si="5"/>
        <v>-</v>
      </c>
      <c r="M37" s="69" t="str">
        <f t="shared" si="6"/>
        <v>-</v>
      </c>
      <c r="N37" s="69" t="str">
        <f t="shared" si="7"/>
        <v>-</v>
      </c>
      <c r="O37" s="69" t="str">
        <f t="shared" si="8"/>
        <v>-</v>
      </c>
      <c r="P37" s="69" t="str">
        <f t="shared" si="9"/>
        <v>-</v>
      </c>
      <c r="Q37" s="69" t="str">
        <f t="shared" si="10"/>
        <v>-</v>
      </c>
      <c r="R37" s="17"/>
    </row>
    <row r="38" spans="2:18" ht="17.25" x14ac:dyDescent="0.3">
      <c r="B38" s="13"/>
      <c r="C38" s="74"/>
      <c r="D38" s="75"/>
      <c r="E38" s="75"/>
      <c r="F38" s="77"/>
      <c r="G38" s="16"/>
      <c r="H38" s="69" t="str">
        <f t="shared" si="1"/>
        <v>-</v>
      </c>
      <c r="I38" s="69" t="str">
        <f t="shared" si="2"/>
        <v>-</v>
      </c>
      <c r="J38" s="69" t="str">
        <f t="shared" si="3"/>
        <v>-</v>
      </c>
      <c r="K38" s="69" t="str">
        <f t="shared" si="4"/>
        <v>-</v>
      </c>
      <c r="L38" s="82" t="str">
        <f t="shared" si="5"/>
        <v>-</v>
      </c>
      <c r="M38" s="69" t="str">
        <f t="shared" si="6"/>
        <v>-</v>
      </c>
      <c r="N38" s="69" t="str">
        <f t="shared" si="7"/>
        <v>-</v>
      </c>
      <c r="O38" s="69" t="str">
        <f t="shared" si="8"/>
        <v>-</v>
      </c>
      <c r="P38" s="69" t="str">
        <f t="shared" si="9"/>
        <v>-</v>
      </c>
      <c r="Q38" s="69" t="str">
        <f t="shared" si="10"/>
        <v>-</v>
      </c>
      <c r="R38" s="17"/>
    </row>
    <row r="39" spans="2:18" ht="17.25" x14ac:dyDescent="0.3">
      <c r="B39" s="13"/>
      <c r="C39" s="74"/>
      <c r="D39" s="75"/>
      <c r="E39" s="75"/>
      <c r="F39" s="77"/>
      <c r="G39" s="16"/>
      <c r="H39" s="69" t="str">
        <f t="shared" si="1"/>
        <v>-</v>
      </c>
      <c r="I39" s="69" t="str">
        <f t="shared" si="2"/>
        <v>-</v>
      </c>
      <c r="J39" s="69" t="str">
        <f t="shared" si="3"/>
        <v>-</v>
      </c>
      <c r="K39" s="69" t="str">
        <f t="shared" si="4"/>
        <v>-</v>
      </c>
      <c r="L39" s="82" t="str">
        <f t="shared" si="5"/>
        <v>-</v>
      </c>
      <c r="M39" s="69" t="str">
        <f t="shared" si="6"/>
        <v>-</v>
      </c>
      <c r="N39" s="69" t="str">
        <f t="shared" si="7"/>
        <v>-</v>
      </c>
      <c r="O39" s="69" t="str">
        <f t="shared" si="8"/>
        <v>-</v>
      </c>
      <c r="P39" s="69" t="str">
        <f t="shared" si="9"/>
        <v>-</v>
      </c>
      <c r="Q39" s="69" t="str">
        <f t="shared" si="10"/>
        <v>-</v>
      </c>
      <c r="R39" s="17"/>
    </row>
    <row r="40" spans="2:18" ht="17.25" x14ac:dyDescent="0.3">
      <c r="B40" s="13"/>
      <c r="C40" s="74"/>
      <c r="D40" s="75"/>
      <c r="E40" s="75"/>
      <c r="F40" s="77"/>
      <c r="G40" s="16"/>
      <c r="H40" s="69" t="str">
        <f t="shared" si="1"/>
        <v>-</v>
      </c>
      <c r="I40" s="69" t="str">
        <f t="shared" si="2"/>
        <v>-</v>
      </c>
      <c r="J40" s="69" t="str">
        <f t="shared" si="3"/>
        <v>-</v>
      </c>
      <c r="K40" s="69" t="str">
        <f t="shared" si="4"/>
        <v>-</v>
      </c>
      <c r="L40" s="82" t="str">
        <f t="shared" si="5"/>
        <v>-</v>
      </c>
      <c r="M40" s="69" t="str">
        <f t="shared" si="6"/>
        <v>-</v>
      </c>
      <c r="N40" s="69" t="str">
        <f t="shared" si="7"/>
        <v>-</v>
      </c>
      <c r="O40" s="69" t="str">
        <f t="shared" si="8"/>
        <v>-</v>
      </c>
      <c r="P40" s="69" t="str">
        <f t="shared" si="9"/>
        <v>-</v>
      </c>
      <c r="Q40" s="69" t="str">
        <f t="shared" si="10"/>
        <v>-</v>
      </c>
      <c r="R40" s="17"/>
    </row>
    <row r="41" spans="2:18" ht="17.25" x14ac:dyDescent="0.3">
      <c r="B41" s="13"/>
      <c r="C41" s="74"/>
      <c r="D41" s="75"/>
      <c r="E41" s="75"/>
      <c r="F41" s="77"/>
      <c r="G41" s="16"/>
      <c r="H41" s="69" t="str">
        <f t="shared" si="1"/>
        <v>-</v>
      </c>
      <c r="I41" s="69" t="str">
        <f t="shared" si="2"/>
        <v>-</v>
      </c>
      <c r="J41" s="69" t="str">
        <f t="shared" si="3"/>
        <v>-</v>
      </c>
      <c r="K41" s="69" t="str">
        <f t="shared" si="4"/>
        <v>-</v>
      </c>
      <c r="L41" s="82" t="str">
        <f t="shared" si="5"/>
        <v>-</v>
      </c>
      <c r="M41" s="69" t="str">
        <f t="shared" si="6"/>
        <v>-</v>
      </c>
      <c r="N41" s="69" t="str">
        <f t="shared" si="7"/>
        <v>-</v>
      </c>
      <c r="O41" s="69" t="str">
        <f t="shared" si="8"/>
        <v>-</v>
      </c>
      <c r="P41" s="69" t="str">
        <f t="shared" si="9"/>
        <v>-</v>
      </c>
      <c r="Q41" s="69" t="str">
        <f t="shared" si="10"/>
        <v>-</v>
      </c>
      <c r="R41" s="17"/>
    </row>
    <row r="42" spans="2:18" ht="17.25" x14ac:dyDescent="0.3">
      <c r="B42" s="13"/>
      <c r="C42" s="74"/>
      <c r="D42" s="75"/>
      <c r="E42" s="75"/>
      <c r="F42" s="77"/>
      <c r="G42" s="16"/>
      <c r="H42" s="69" t="str">
        <f t="shared" si="1"/>
        <v>-</v>
      </c>
      <c r="I42" s="69" t="str">
        <f t="shared" si="2"/>
        <v>-</v>
      </c>
      <c r="J42" s="69" t="str">
        <f t="shared" si="3"/>
        <v>-</v>
      </c>
      <c r="K42" s="69" t="str">
        <f t="shared" si="4"/>
        <v>-</v>
      </c>
      <c r="L42" s="82" t="str">
        <f t="shared" si="5"/>
        <v>-</v>
      </c>
      <c r="M42" s="69" t="str">
        <f t="shared" si="6"/>
        <v>-</v>
      </c>
      <c r="N42" s="69" t="str">
        <f t="shared" si="7"/>
        <v>-</v>
      </c>
      <c r="O42" s="69" t="str">
        <f t="shared" si="8"/>
        <v>-</v>
      </c>
      <c r="P42" s="69" t="str">
        <f t="shared" si="9"/>
        <v>-</v>
      </c>
      <c r="Q42" s="69" t="str">
        <f t="shared" si="10"/>
        <v>-</v>
      </c>
      <c r="R42" s="17"/>
    </row>
    <row r="43" spans="2:18" ht="18" thickBot="1" x14ac:dyDescent="0.35">
      <c r="B43" s="13"/>
      <c r="C43" s="78"/>
      <c r="D43" s="79"/>
      <c r="E43" s="79"/>
      <c r="F43" s="81"/>
      <c r="G43" s="16"/>
      <c r="H43" s="69" t="str">
        <f t="shared" si="1"/>
        <v>-</v>
      </c>
      <c r="I43" s="69" t="str">
        <f t="shared" si="2"/>
        <v>-</v>
      </c>
      <c r="J43" s="69" t="str">
        <f t="shared" si="3"/>
        <v>-</v>
      </c>
      <c r="K43" s="69" t="str">
        <f t="shared" si="4"/>
        <v>-</v>
      </c>
      <c r="L43" s="82" t="str">
        <f t="shared" si="5"/>
        <v>-</v>
      </c>
      <c r="M43" s="69" t="str">
        <f t="shared" si="6"/>
        <v>-</v>
      </c>
      <c r="N43" s="69" t="str">
        <f t="shared" si="7"/>
        <v>-</v>
      </c>
      <c r="O43" s="69" t="str">
        <f t="shared" si="8"/>
        <v>-</v>
      </c>
      <c r="P43" s="69" t="str">
        <f t="shared" si="9"/>
        <v>-</v>
      </c>
      <c r="Q43" s="69" t="str">
        <f t="shared" si="10"/>
        <v>-</v>
      </c>
      <c r="R43" s="17"/>
    </row>
    <row r="44" spans="2:18" x14ac:dyDescent="0.25">
      <c r="B44" s="13"/>
      <c r="C44" s="41"/>
      <c r="G44" s="16"/>
      <c r="R44" s="42"/>
    </row>
    <row r="45" spans="2:18" ht="15.75" thickBot="1" x14ac:dyDescent="0.3">
      <c r="B45" s="43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5"/>
    </row>
  </sheetData>
  <mergeCells count="10">
    <mergeCell ref="D2:Q2"/>
    <mergeCell ref="C3:R3"/>
    <mergeCell ref="T2:U2"/>
    <mergeCell ref="C31:F31"/>
    <mergeCell ref="C32:C33"/>
    <mergeCell ref="D32:D33"/>
    <mergeCell ref="E32:E33"/>
    <mergeCell ref="F32:F33"/>
    <mergeCell ref="H32:I32"/>
    <mergeCell ref="J32:K32"/>
  </mergeCells>
  <pageMargins left="0.25" right="0.25" top="0.75" bottom="0.75" header="0.3" footer="0.3"/>
  <pageSetup paperSize="9" scale="75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LISTE!$B$8:$B$12</xm:f>
          </x14:formula1>
          <xm:sqref>E34:E43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-0.249977111117893"/>
    <pageSetUpPr fitToPage="1"/>
  </sheetPr>
  <dimension ref="B1:Y42"/>
  <sheetViews>
    <sheetView workbookViewId="0">
      <selection activeCell="T18" sqref="T18:Y18"/>
    </sheetView>
  </sheetViews>
  <sheetFormatPr baseColWidth="10" defaultRowHeight="15" x14ac:dyDescent="0.25"/>
  <cols>
    <col min="1" max="1" width="5.7109375" customWidth="1"/>
    <col min="2" max="2" width="3.85546875" customWidth="1"/>
    <col min="3" max="3" width="7.85546875" customWidth="1"/>
    <col min="4" max="5" width="12.140625" customWidth="1"/>
    <col min="6" max="6" width="6.140625" customWidth="1"/>
    <col min="7" max="7" width="4.7109375" customWidth="1"/>
    <col min="8" max="8" width="16.28515625" customWidth="1"/>
    <col min="9" max="9" width="8.7109375" customWidth="1"/>
    <col min="10" max="10" width="19.28515625" customWidth="1"/>
    <col min="11" max="11" width="17.28515625" customWidth="1"/>
    <col min="12" max="12" width="1.85546875" customWidth="1"/>
    <col min="13" max="15" width="0" hidden="1" customWidth="1"/>
    <col min="16" max="16" width="43.28515625" hidden="1" customWidth="1"/>
    <col min="17" max="17" width="12.85546875" hidden="1" customWidth="1"/>
    <col min="18" max="18" width="28.140625" hidden="1" customWidth="1"/>
    <col min="22" max="22" width="42.85546875" bestFit="1" customWidth="1"/>
  </cols>
  <sheetData>
    <row r="1" spans="2:25" ht="15.75" thickBot="1" x14ac:dyDescent="0.3"/>
    <row r="2" spans="2:25" ht="78.75" customHeight="1" x14ac:dyDescent="0.25">
      <c r="B2" s="10"/>
      <c r="C2" s="11"/>
      <c r="D2" s="111" t="s">
        <v>96</v>
      </c>
      <c r="E2" s="111"/>
      <c r="F2" s="112"/>
      <c r="G2" s="112"/>
      <c r="H2" s="112"/>
      <c r="I2" s="112"/>
      <c r="J2" s="112"/>
      <c r="K2" s="112"/>
      <c r="L2" s="12"/>
      <c r="T2" s="110" t="s">
        <v>57</v>
      </c>
      <c r="U2" s="110"/>
    </row>
    <row r="3" spans="2:25" x14ac:dyDescent="0.25">
      <c r="B3" s="13"/>
      <c r="C3" s="106"/>
      <c r="D3" s="106"/>
      <c r="E3" s="106"/>
      <c r="F3" s="106"/>
      <c r="G3" s="106"/>
      <c r="H3" s="106"/>
      <c r="I3" s="106"/>
      <c r="J3" s="106"/>
      <c r="K3" s="106"/>
      <c r="L3" s="107"/>
      <c r="T3" s="1" t="s">
        <v>58</v>
      </c>
      <c r="U3" s="1" t="s">
        <v>59</v>
      </c>
      <c r="V3" s="1" t="s">
        <v>38</v>
      </c>
      <c r="W3" s="1" t="s">
        <v>60</v>
      </c>
      <c r="X3" s="1" t="s">
        <v>61</v>
      </c>
      <c r="Y3" s="1" t="s">
        <v>62</v>
      </c>
    </row>
    <row r="4" spans="2:25" x14ac:dyDescent="0.25">
      <c r="B4" s="13"/>
      <c r="C4" s="30"/>
      <c r="D4" s="30"/>
      <c r="E4" s="30"/>
      <c r="F4" s="30"/>
      <c r="G4" s="30"/>
      <c r="H4" s="30"/>
      <c r="I4" s="30"/>
      <c r="J4" s="30"/>
      <c r="K4" s="30"/>
      <c r="L4" s="31"/>
      <c r="T4" s="1" t="s">
        <v>64</v>
      </c>
      <c r="U4" s="1">
        <f>IF(T4="","-",1)</f>
        <v>1</v>
      </c>
      <c r="V4" s="1" t="s">
        <v>79</v>
      </c>
      <c r="W4" s="1">
        <f>SUMIF(E32:E41,"60",F32:F41)*1</f>
        <v>0</v>
      </c>
      <c r="X4" s="1" t="s">
        <v>84</v>
      </c>
      <c r="Y4" s="1" t="s">
        <v>84</v>
      </c>
    </row>
    <row r="5" spans="2:25" x14ac:dyDescent="0.25">
      <c r="B5" s="13"/>
      <c r="C5" s="30"/>
      <c r="D5" s="30"/>
      <c r="E5" s="30"/>
      <c r="F5" s="30"/>
      <c r="G5" s="30"/>
      <c r="H5" s="30"/>
      <c r="I5" s="30"/>
      <c r="J5" s="30"/>
      <c r="K5" s="30"/>
      <c r="L5" s="31"/>
      <c r="T5" s="32" t="s">
        <v>76</v>
      </c>
      <c r="U5" s="1">
        <f t="shared" ref="U5:U13" si="0">IF(T5="","-",1)</f>
        <v>1</v>
      </c>
      <c r="V5" s="1" t="s">
        <v>75</v>
      </c>
      <c r="W5" s="1">
        <f>SUMIF(E32:E41,"60",F32:F41)*1</f>
        <v>0</v>
      </c>
      <c r="X5" s="1" t="s">
        <v>84</v>
      </c>
      <c r="Y5" s="1" t="s">
        <v>84</v>
      </c>
    </row>
    <row r="6" spans="2:25" x14ac:dyDescent="0.25">
      <c r="B6" s="13"/>
      <c r="C6" s="30"/>
      <c r="D6" s="30"/>
      <c r="E6" s="30"/>
      <c r="F6" s="30"/>
      <c r="G6" s="30"/>
      <c r="H6" s="30"/>
      <c r="I6" s="30"/>
      <c r="J6" s="30"/>
      <c r="K6" s="30"/>
      <c r="L6" s="31"/>
      <c r="T6" s="1" t="s">
        <v>65</v>
      </c>
      <c r="U6" s="1">
        <f t="shared" si="0"/>
        <v>1</v>
      </c>
      <c r="V6" s="1" t="s">
        <v>80</v>
      </c>
      <c r="W6" s="1">
        <f>SUMIF(E32:E41,"70",F32:F41)*1</f>
        <v>2</v>
      </c>
      <c r="X6" s="1" t="s">
        <v>84</v>
      </c>
      <c r="Y6" s="1" t="s">
        <v>84</v>
      </c>
    </row>
    <row r="7" spans="2:25" x14ac:dyDescent="0.25">
      <c r="B7" s="13"/>
      <c r="C7" s="30"/>
      <c r="D7" s="30"/>
      <c r="E7" s="30"/>
      <c r="F7" s="30"/>
      <c r="G7" s="30"/>
      <c r="H7" s="30"/>
      <c r="I7" s="30"/>
      <c r="J7" s="30"/>
      <c r="K7" s="30"/>
      <c r="L7" s="31"/>
      <c r="T7" s="32" t="s">
        <v>74</v>
      </c>
      <c r="U7" s="1">
        <f t="shared" si="0"/>
        <v>1</v>
      </c>
      <c r="V7" s="1" t="s">
        <v>73</v>
      </c>
      <c r="W7" s="1">
        <f>SUMIF(E32:E41,"70",F32:F41)*1</f>
        <v>2</v>
      </c>
      <c r="X7" s="1" t="s">
        <v>84</v>
      </c>
      <c r="Y7" s="1" t="s">
        <v>84</v>
      </c>
    </row>
    <row r="8" spans="2:25" x14ac:dyDescent="0.25">
      <c r="B8" s="13"/>
      <c r="C8" s="30"/>
      <c r="D8" s="30"/>
      <c r="E8" s="30"/>
      <c r="F8" s="30"/>
      <c r="G8" s="30"/>
      <c r="H8" s="30"/>
      <c r="I8" s="30"/>
      <c r="J8" s="30"/>
      <c r="K8" s="30"/>
      <c r="L8" s="31"/>
      <c r="T8" s="1" t="s">
        <v>66</v>
      </c>
      <c r="U8" s="1">
        <f t="shared" si="0"/>
        <v>1</v>
      </c>
      <c r="V8" s="1" t="s">
        <v>81</v>
      </c>
      <c r="W8" s="1">
        <f>SUMIF(E32:E41,"80",F32:F41)*1</f>
        <v>0</v>
      </c>
      <c r="X8" s="1" t="s">
        <v>84</v>
      </c>
      <c r="Y8" s="1" t="s">
        <v>84</v>
      </c>
    </row>
    <row r="9" spans="2:25" x14ac:dyDescent="0.25">
      <c r="B9" s="13"/>
      <c r="C9" s="30"/>
      <c r="D9" s="30"/>
      <c r="E9" s="30"/>
      <c r="F9" s="30"/>
      <c r="G9" s="30"/>
      <c r="H9" s="30"/>
      <c r="I9" s="30"/>
      <c r="J9" s="30"/>
      <c r="K9" s="30"/>
      <c r="L9" s="31"/>
      <c r="T9" s="32" t="s">
        <v>74</v>
      </c>
      <c r="U9" s="1">
        <f t="shared" si="0"/>
        <v>1</v>
      </c>
      <c r="V9" s="1" t="s">
        <v>73</v>
      </c>
      <c r="W9" s="1">
        <f>SUMIF(E32:E41,"80",F32:F41)*1</f>
        <v>0</v>
      </c>
      <c r="X9" s="1" t="s">
        <v>84</v>
      </c>
      <c r="Y9" s="1" t="s">
        <v>84</v>
      </c>
    </row>
    <row r="10" spans="2:25" x14ac:dyDescent="0.25">
      <c r="B10" s="13"/>
      <c r="C10" s="30"/>
      <c r="D10" s="30"/>
      <c r="E10" s="30"/>
      <c r="F10" s="30"/>
      <c r="G10" s="30"/>
      <c r="H10" s="30"/>
      <c r="I10" s="30"/>
      <c r="J10" s="30"/>
      <c r="K10" s="30"/>
      <c r="L10" s="31"/>
      <c r="T10" s="1" t="s">
        <v>67</v>
      </c>
      <c r="U10" s="1">
        <f t="shared" si="0"/>
        <v>1</v>
      </c>
      <c r="V10" s="1" t="s">
        <v>82</v>
      </c>
      <c r="W10" s="1">
        <f>SUMIF(E32:E41,"100",F32:F41)*1</f>
        <v>0</v>
      </c>
      <c r="X10" s="1" t="s">
        <v>84</v>
      </c>
      <c r="Y10" s="1" t="s">
        <v>84</v>
      </c>
    </row>
    <row r="11" spans="2:25" x14ac:dyDescent="0.25">
      <c r="B11" s="13"/>
      <c r="C11" s="30"/>
      <c r="D11" s="30"/>
      <c r="E11" s="30"/>
      <c r="F11" s="30"/>
      <c r="G11" s="30"/>
      <c r="H11" s="30"/>
      <c r="I11" s="30"/>
      <c r="J11" s="30"/>
      <c r="K11" s="30"/>
      <c r="L11" s="31"/>
      <c r="T11" s="32" t="s">
        <v>72</v>
      </c>
      <c r="U11" s="1">
        <f t="shared" si="0"/>
        <v>1</v>
      </c>
      <c r="V11" s="1" t="s">
        <v>71</v>
      </c>
      <c r="W11" s="1">
        <f>SUMIF(E32:E41,"100",F32:F41)*1</f>
        <v>0</v>
      </c>
      <c r="X11" s="1" t="s">
        <v>84</v>
      </c>
      <c r="Y11" s="1" t="s">
        <v>84</v>
      </c>
    </row>
    <row r="12" spans="2:25" x14ac:dyDescent="0.25">
      <c r="B12" s="13"/>
      <c r="C12" s="30"/>
      <c r="D12" s="30"/>
      <c r="E12" s="30"/>
      <c r="F12" s="30"/>
      <c r="G12" s="30"/>
      <c r="H12" s="30"/>
      <c r="I12" s="30"/>
      <c r="J12" s="30"/>
      <c r="K12" s="30"/>
      <c r="L12" s="31"/>
      <c r="T12" s="1" t="s">
        <v>68</v>
      </c>
      <c r="U12" s="1">
        <f t="shared" si="0"/>
        <v>1</v>
      </c>
      <c r="V12" s="1" t="s">
        <v>83</v>
      </c>
      <c r="W12" s="1">
        <f>SUMIF(E32:E41,"120",F32:F41)*1</f>
        <v>0</v>
      </c>
      <c r="X12" s="1" t="s">
        <v>84</v>
      </c>
      <c r="Y12" s="1" t="s">
        <v>84</v>
      </c>
    </row>
    <row r="13" spans="2:25" x14ac:dyDescent="0.25">
      <c r="B13" s="13"/>
      <c r="C13" s="30"/>
      <c r="D13" s="30"/>
      <c r="E13" s="30"/>
      <c r="F13" s="30"/>
      <c r="G13" s="30"/>
      <c r="H13" s="30"/>
      <c r="I13" s="30"/>
      <c r="J13" s="30"/>
      <c r="K13" s="30"/>
      <c r="L13" s="31"/>
      <c r="T13" s="32" t="s">
        <v>70</v>
      </c>
      <c r="U13" s="1">
        <f t="shared" si="0"/>
        <v>1</v>
      </c>
      <c r="V13" s="1" t="s">
        <v>69</v>
      </c>
      <c r="W13" s="1">
        <f>SUMIF(E32:E41,"120",F32:F41)*1</f>
        <v>0</v>
      </c>
      <c r="X13" s="1" t="s">
        <v>84</v>
      </c>
      <c r="Y13" s="1" t="s">
        <v>84</v>
      </c>
    </row>
    <row r="14" spans="2:25" x14ac:dyDescent="0.25">
      <c r="B14" s="13"/>
      <c r="C14" s="16"/>
      <c r="D14" s="16"/>
      <c r="E14" s="16"/>
      <c r="F14" s="16"/>
      <c r="G14" s="16"/>
      <c r="H14" s="16"/>
      <c r="I14" s="16"/>
      <c r="J14" s="16"/>
      <c r="K14" s="16"/>
      <c r="L14" s="17"/>
      <c r="T14" s="1" t="s">
        <v>47</v>
      </c>
      <c r="U14" s="1">
        <f>IF(T14="","-",1)</f>
        <v>1</v>
      </c>
      <c r="V14" s="1" t="s">
        <v>48</v>
      </c>
      <c r="W14" s="1">
        <f>SUM($F$32:$F$41)*1</f>
        <v>2</v>
      </c>
      <c r="X14" s="1" t="s">
        <v>84</v>
      </c>
      <c r="Y14" s="1" t="s">
        <v>84</v>
      </c>
    </row>
    <row r="15" spans="2:25" x14ac:dyDescent="0.25">
      <c r="B15" s="13"/>
      <c r="C15" s="16"/>
      <c r="D15" s="16"/>
      <c r="E15" s="16"/>
      <c r="F15" s="16"/>
      <c r="G15" s="16"/>
      <c r="H15" s="16"/>
      <c r="I15" s="16"/>
      <c r="J15" s="16"/>
      <c r="K15" s="16"/>
      <c r="L15" s="17"/>
      <c r="T15" s="1" t="s">
        <v>50</v>
      </c>
      <c r="U15" s="1">
        <f>IF(T15="","-",1)</f>
        <v>1</v>
      </c>
      <c r="V15" s="1" t="s">
        <v>49</v>
      </c>
      <c r="W15" s="1">
        <f>SUM($F$32:$F$41)*3</f>
        <v>6</v>
      </c>
      <c r="X15" s="1" t="s">
        <v>84</v>
      </c>
      <c r="Y15" s="1" t="s">
        <v>84</v>
      </c>
    </row>
    <row r="16" spans="2:25" x14ac:dyDescent="0.25">
      <c r="B16" s="13"/>
      <c r="C16" s="16"/>
      <c r="D16" s="16"/>
      <c r="E16" s="16"/>
      <c r="F16" s="16"/>
      <c r="G16" s="16"/>
      <c r="H16" s="16"/>
      <c r="I16" s="16"/>
      <c r="J16" s="16"/>
      <c r="K16" s="16"/>
      <c r="L16" s="17"/>
      <c r="T16" s="1" t="s">
        <v>52</v>
      </c>
      <c r="U16" s="1">
        <f>IF(T16="","-",1)</f>
        <v>1</v>
      </c>
      <c r="V16" s="1" t="s">
        <v>51</v>
      </c>
      <c r="W16" s="1">
        <f>SUM($F$32:$F$41)*3</f>
        <v>6</v>
      </c>
      <c r="X16" s="1" t="s">
        <v>84</v>
      </c>
      <c r="Y16" s="1" t="s">
        <v>84</v>
      </c>
    </row>
    <row r="17" spans="2:25" x14ac:dyDescent="0.25">
      <c r="B17" s="13"/>
      <c r="C17" s="16"/>
      <c r="D17" s="16"/>
      <c r="E17" s="16"/>
      <c r="F17" s="16"/>
      <c r="G17" s="16"/>
      <c r="H17" s="16"/>
      <c r="I17" s="16"/>
      <c r="J17" s="16"/>
      <c r="K17" s="16"/>
      <c r="L17" s="17"/>
      <c r="T17" s="1" t="s">
        <v>54</v>
      </c>
      <c r="U17" s="1">
        <f>IF(T17="","-",1)</f>
        <v>1</v>
      </c>
      <c r="V17" s="1" t="s">
        <v>53</v>
      </c>
      <c r="W17" s="1">
        <f>SUM($F$32:$F$41)*4</f>
        <v>8</v>
      </c>
      <c r="X17" s="1" t="s">
        <v>84</v>
      </c>
      <c r="Y17" s="1" t="s">
        <v>84</v>
      </c>
    </row>
    <row r="18" spans="2:25" x14ac:dyDescent="0.25">
      <c r="B18" s="13"/>
      <c r="C18" s="16"/>
      <c r="D18" s="16"/>
      <c r="E18" s="16"/>
      <c r="F18" s="16"/>
      <c r="G18" s="16"/>
      <c r="H18" s="16"/>
      <c r="I18" s="16"/>
      <c r="J18" s="16"/>
      <c r="K18" s="16"/>
      <c r="L18" s="17"/>
      <c r="T18" s="66" t="s">
        <v>94</v>
      </c>
      <c r="U18" s="66">
        <f>IF(T18="","-",1)</f>
        <v>1</v>
      </c>
      <c r="V18" s="66" t="s">
        <v>95</v>
      </c>
      <c r="W18" s="66">
        <f>SUM($F$32:$F$41)*2</f>
        <v>4</v>
      </c>
      <c r="X18" s="66" t="s">
        <v>84</v>
      </c>
      <c r="Y18" s="66" t="s">
        <v>84</v>
      </c>
    </row>
    <row r="19" spans="2:25" x14ac:dyDescent="0.25">
      <c r="B19" s="13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2:25" x14ac:dyDescent="0.25">
      <c r="B20" s="13"/>
      <c r="C20" s="16"/>
      <c r="D20" s="16"/>
      <c r="E20" s="16"/>
      <c r="F20" s="16"/>
      <c r="G20" s="16"/>
      <c r="H20" s="16"/>
      <c r="I20" s="16"/>
      <c r="J20" s="16"/>
      <c r="K20" s="16"/>
      <c r="L20" s="17"/>
    </row>
    <row r="21" spans="2:25" x14ac:dyDescent="0.25">
      <c r="B21" s="13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2:25" x14ac:dyDescent="0.25">
      <c r="B22" s="13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2:25" x14ac:dyDescent="0.25">
      <c r="B23" s="13"/>
      <c r="C23" s="16"/>
      <c r="D23" s="16"/>
      <c r="E23" s="16"/>
      <c r="F23" s="16"/>
      <c r="G23" s="16"/>
      <c r="H23" s="16"/>
      <c r="I23" s="16"/>
      <c r="J23" s="16"/>
      <c r="K23" s="16"/>
      <c r="L23" s="17"/>
    </row>
    <row r="24" spans="2:25" x14ac:dyDescent="0.25">
      <c r="B24" s="13"/>
      <c r="C24" s="16"/>
      <c r="D24" s="16"/>
      <c r="E24" s="16"/>
      <c r="F24" s="16"/>
      <c r="G24" s="16"/>
      <c r="H24" s="16"/>
      <c r="I24" s="16"/>
      <c r="J24" s="16"/>
      <c r="K24" s="16"/>
      <c r="L24" s="17"/>
    </row>
    <row r="25" spans="2:25" x14ac:dyDescent="0.25">
      <c r="B25" s="13"/>
      <c r="C25" s="16"/>
      <c r="D25" s="16"/>
      <c r="E25" s="16"/>
      <c r="F25" s="16"/>
      <c r="G25" s="16"/>
      <c r="H25" s="16"/>
      <c r="I25" s="16"/>
      <c r="J25" s="16"/>
      <c r="K25" s="16"/>
      <c r="L25" s="17"/>
    </row>
    <row r="26" spans="2:25" x14ac:dyDescent="0.25"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17"/>
    </row>
    <row r="27" spans="2:25" x14ac:dyDescent="0.25">
      <c r="B27" s="13"/>
      <c r="C27" s="16"/>
      <c r="D27" s="16"/>
      <c r="E27" s="16"/>
      <c r="F27" s="16"/>
      <c r="G27" s="16"/>
      <c r="H27" s="16"/>
      <c r="I27" s="16"/>
      <c r="J27" s="16"/>
      <c r="K27" s="16"/>
      <c r="L27" s="17"/>
    </row>
    <row r="28" spans="2:25" x14ac:dyDescent="0.25">
      <c r="B28" s="13"/>
      <c r="C28" s="16"/>
      <c r="D28" s="16"/>
      <c r="E28" s="16"/>
      <c r="F28" s="16"/>
      <c r="G28" s="16"/>
      <c r="H28" s="16"/>
      <c r="I28" s="16"/>
      <c r="J28" s="16"/>
      <c r="K28" s="16"/>
      <c r="L28" s="17"/>
    </row>
    <row r="29" spans="2:25" ht="21.75" thickBot="1" x14ac:dyDescent="0.4">
      <c r="B29" s="13"/>
      <c r="C29" s="115" t="s">
        <v>40</v>
      </c>
      <c r="D29" s="115"/>
      <c r="E29" s="115"/>
      <c r="F29" s="115"/>
      <c r="G29" s="16"/>
      <c r="H29" s="116" t="s">
        <v>29</v>
      </c>
      <c r="I29" s="117"/>
      <c r="J29" s="117"/>
      <c r="K29" s="18"/>
      <c r="L29" s="17"/>
    </row>
    <row r="30" spans="2:25" ht="127.5" customHeight="1" x14ac:dyDescent="0.25">
      <c r="B30" s="13"/>
      <c r="C30" s="113" t="s">
        <v>39</v>
      </c>
      <c r="D30" s="113" t="s">
        <v>44</v>
      </c>
      <c r="E30" s="108" t="s">
        <v>86</v>
      </c>
      <c r="F30" s="113" t="s">
        <v>28</v>
      </c>
      <c r="G30" s="16"/>
      <c r="H30" s="105" t="s">
        <v>37</v>
      </c>
      <c r="I30" s="105"/>
      <c r="J30" s="46" t="s">
        <v>93</v>
      </c>
      <c r="K30" s="26" t="s">
        <v>30</v>
      </c>
      <c r="L30" s="17"/>
    </row>
    <row r="31" spans="2:25" ht="15.75" customHeight="1" thickBot="1" x14ac:dyDescent="0.3">
      <c r="B31" s="13"/>
      <c r="C31" s="119"/>
      <c r="D31" s="119"/>
      <c r="E31" s="120"/>
      <c r="F31" s="119"/>
      <c r="G31" s="16"/>
      <c r="H31" s="19" t="s">
        <v>31</v>
      </c>
      <c r="I31" s="19" t="s">
        <v>28</v>
      </c>
      <c r="J31" s="19" t="s">
        <v>28</v>
      </c>
      <c r="K31" s="19" t="s">
        <v>28</v>
      </c>
      <c r="L31" s="17"/>
    </row>
    <row r="32" spans="2:25" x14ac:dyDescent="0.25">
      <c r="B32" s="13"/>
      <c r="C32" s="33" t="s">
        <v>125</v>
      </c>
      <c r="D32" s="34">
        <v>500</v>
      </c>
      <c r="E32" s="34">
        <v>70</v>
      </c>
      <c r="F32" s="35">
        <v>2</v>
      </c>
      <c r="G32" s="16"/>
      <c r="H32" s="19">
        <f>IF(D32&lt;=500,IF(D32&gt;=300,D32-10,"Valeur NON OK"), "Valeur NON OK")</f>
        <v>490</v>
      </c>
      <c r="I32" s="19">
        <f>IF(F32="","-",F32*1)</f>
        <v>2</v>
      </c>
      <c r="J32" s="52">
        <f>IF(F32="","-",F32)</f>
        <v>2</v>
      </c>
      <c r="K32" s="19">
        <f>IF(F32="","-",F32)</f>
        <v>2</v>
      </c>
      <c r="L32" s="17"/>
    </row>
    <row r="33" spans="2:12" x14ac:dyDescent="0.25">
      <c r="B33" s="13"/>
      <c r="C33" s="4"/>
      <c r="D33" s="5"/>
      <c r="E33" s="5"/>
      <c r="F33" s="6"/>
      <c r="G33" s="16"/>
      <c r="H33" s="19" t="str">
        <f>IF(D33&lt;=500,IF(D33&gt;=300,D33-10,"Valeur NON OK"), "Valeur NON OK")</f>
        <v>Valeur NON OK</v>
      </c>
      <c r="I33" s="19" t="str">
        <f t="shared" ref="I33:I41" si="1">IF(F33="","-",F33*1)</f>
        <v>-</v>
      </c>
      <c r="J33" s="52" t="str">
        <f t="shared" ref="J33:J41" si="2">IF(F33="","-",F33)</f>
        <v>-</v>
      </c>
      <c r="K33" s="19" t="str">
        <f t="shared" ref="K33:K41" si="3">IF(F33="","-",F33)</f>
        <v>-</v>
      </c>
      <c r="L33" s="17"/>
    </row>
    <row r="34" spans="2:12" x14ac:dyDescent="0.25">
      <c r="B34" s="13"/>
      <c r="C34" s="4"/>
      <c r="D34" s="5"/>
      <c r="E34" s="5"/>
      <c r="F34" s="6"/>
      <c r="G34" s="16"/>
      <c r="H34" s="19" t="str">
        <f t="shared" ref="H34:H41" si="4">IF(D34&lt;=500,IF(D34&gt;=300,D34-10,"Valeur NON OK"), "Valeur NON OK")</f>
        <v>Valeur NON OK</v>
      </c>
      <c r="I34" s="19" t="str">
        <f t="shared" si="1"/>
        <v>-</v>
      </c>
      <c r="J34" s="52" t="str">
        <f t="shared" si="2"/>
        <v>-</v>
      </c>
      <c r="K34" s="19" t="str">
        <f t="shared" si="3"/>
        <v>-</v>
      </c>
      <c r="L34" s="17"/>
    </row>
    <row r="35" spans="2:12" x14ac:dyDescent="0.25">
      <c r="B35" s="13"/>
      <c r="C35" s="4"/>
      <c r="D35" s="5"/>
      <c r="E35" s="5"/>
      <c r="F35" s="6"/>
      <c r="G35" s="16"/>
      <c r="H35" s="19" t="str">
        <f t="shared" si="4"/>
        <v>Valeur NON OK</v>
      </c>
      <c r="I35" s="19" t="str">
        <f t="shared" si="1"/>
        <v>-</v>
      </c>
      <c r="J35" s="52" t="str">
        <f t="shared" si="2"/>
        <v>-</v>
      </c>
      <c r="K35" s="19" t="str">
        <f t="shared" si="3"/>
        <v>-</v>
      </c>
      <c r="L35" s="17"/>
    </row>
    <row r="36" spans="2:12" x14ac:dyDescent="0.25">
      <c r="B36" s="13"/>
      <c r="C36" s="4"/>
      <c r="D36" s="5"/>
      <c r="E36" s="5"/>
      <c r="F36" s="6"/>
      <c r="G36" s="16"/>
      <c r="H36" s="19" t="str">
        <f t="shared" si="4"/>
        <v>Valeur NON OK</v>
      </c>
      <c r="I36" s="19" t="str">
        <f t="shared" si="1"/>
        <v>-</v>
      </c>
      <c r="J36" s="52" t="str">
        <f t="shared" si="2"/>
        <v>-</v>
      </c>
      <c r="K36" s="19" t="str">
        <f t="shared" si="3"/>
        <v>-</v>
      </c>
      <c r="L36" s="17"/>
    </row>
    <row r="37" spans="2:12" x14ac:dyDescent="0.25">
      <c r="B37" s="13"/>
      <c r="C37" s="4"/>
      <c r="D37" s="5"/>
      <c r="E37" s="5"/>
      <c r="F37" s="6"/>
      <c r="G37" s="16"/>
      <c r="H37" s="19" t="str">
        <f t="shared" si="4"/>
        <v>Valeur NON OK</v>
      </c>
      <c r="I37" s="19" t="str">
        <f t="shared" si="1"/>
        <v>-</v>
      </c>
      <c r="J37" s="52" t="str">
        <f t="shared" si="2"/>
        <v>-</v>
      </c>
      <c r="K37" s="19" t="str">
        <f t="shared" si="3"/>
        <v>-</v>
      </c>
      <c r="L37" s="17"/>
    </row>
    <row r="38" spans="2:12" x14ac:dyDescent="0.25">
      <c r="B38" s="13"/>
      <c r="C38" s="4"/>
      <c r="D38" s="5"/>
      <c r="E38" s="5"/>
      <c r="F38" s="6"/>
      <c r="G38" s="16"/>
      <c r="H38" s="19" t="str">
        <f t="shared" si="4"/>
        <v>Valeur NON OK</v>
      </c>
      <c r="I38" s="19" t="str">
        <f t="shared" si="1"/>
        <v>-</v>
      </c>
      <c r="J38" s="52" t="str">
        <f t="shared" si="2"/>
        <v>-</v>
      </c>
      <c r="K38" s="19" t="str">
        <f t="shared" si="3"/>
        <v>-</v>
      </c>
      <c r="L38" s="17"/>
    </row>
    <row r="39" spans="2:12" x14ac:dyDescent="0.25">
      <c r="B39" s="13"/>
      <c r="C39" s="4"/>
      <c r="D39" s="5"/>
      <c r="E39" s="5"/>
      <c r="F39" s="6"/>
      <c r="G39" s="16"/>
      <c r="H39" s="19" t="str">
        <f t="shared" si="4"/>
        <v>Valeur NON OK</v>
      </c>
      <c r="I39" s="19" t="str">
        <f t="shared" si="1"/>
        <v>-</v>
      </c>
      <c r="J39" s="52" t="str">
        <f t="shared" si="2"/>
        <v>-</v>
      </c>
      <c r="K39" s="19" t="str">
        <f t="shared" si="3"/>
        <v>-</v>
      </c>
      <c r="L39" s="17"/>
    </row>
    <row r="40" spans="2:12" x14ac:dyDescent="0.25">
      <c r="B40" s="13"/>
      <c r="C40" s="4"/>
      <c r="D40" s="5"/>
      <c r="E40" s="5"/>
      <c r="F40" s="6"/>
      <c r="G40" s="16"/>
      <c r="H40" s="19" t="str">
        <f t="shared" si="4"/>
        <v>Valeur NON OK</v>
      </c>
      <c r="I40" s="19" t="str">
        <f t="shared" si="1"/>
        <v>-</v>
      </c>
      <c r="J40" s="52" t="str">
        <f t="shared" si="2"/>
        <v>-</v>
      </c>
      <c r="K40" s="19" t="str">
        <f t="shared" si="3"/>
        <v>-</v>
      </c>
      <c r="L40" s="17"/>
    </row>
    <row r="41" spans="2:12" ht="15.75" thickBot="1" x14ac:dyDescent="0.3">
      <c r="B41" s="13"/>
      <c r="C41" s="7"/>
      <c r="D41" s="8"/>
      <c r="E41" s="8"/>
      <c r="F41" s="9"/>
      <c r="G41" s="16"/>
      <c r="H41" s="19" t="str">
        <f t="shared" si="4"/>
        <v>Valeur NON OK</v>
      </c>
      <c r="I41" s="19" t="str">
        <f t="shared" si="1"/>
        <v>-</v>
      </c>
      <c r="J41" s="52" t="str">
        <f t="shared" si="2"/>
        <v>-</v>
      </c>
      <c r="K41" s="19" t="str">
        <f t="shared" si="3"/>
        <v>-</v>
      </c>
      <c r="L41" s="17"/>
    </row>
    <row r="42" spans="2:12" ht="15.75" thickBot="1" x14ac:dyDescent="0.3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2"/>
    </row>
  </sheetData>
  <mergeCells count="10">
    <mergeCell ref="C30:C31"/>
    <mergeCell ref="D30:D31"/>
    <mergeCell ref="E30:E31"/>
    <mergeCell ref="F30:F31"/>
    <mergeCell ref="H30:I30"/>
    <mergeCell ref="D2:K2"/>
    <mergeCell ref="C3:L3"/>
    <mergeCell ref="T2:U2"/>
    <mergeCell ref="C29:F29"/>
    <mergeCell ref="H29:J29"/>
  </mergeCells>
  <pageMargins left="0.25" right="0.25" top="0.75" bottom="0.75" header="0.3" footer="0.3"/>
  <pageSetup paperSize="9" scale="8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LISTE!$B$8:$B$12</xm:f>
          </x14:formula1>
          <xm:sqref>E32:E41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-0.249977111117893"/>
    <pageSetUpPr fitToPage="1"/>
  </sheetPr>
  <dimension ref="B1:AB56"/>
  <sheetViews>
    <sheetView topLeftCell="G1" workbookViewId="0">
      <selection activeCell="Y26" sqref="Y26"/>
    </sheetView>
  </sheetViews>
  <sheetFormatPr baseColWidth="10" defaultRowHeight="15" x14ac:dyDescent="0.25"/>
  <cols>
    <col min="1" max="1" width="5.7109375" customWidth="1"/>
    <col min="2" max="2" width="3.85546875" customWidth="1"/>
    <col min="3" max="3" width="13.7109375" bestFit="1" customWidth="1"/>
    <col min="4" max="5" width="12.140625" customWidth="1"/>
    <col min="6" max="6" width="6.140625" customWidth="1"/>
    <col min="7" max="7" width="9.7109375" bestFit="1" customWidth="1"/>
    <col min="8" max="8" width="11" customWidth="1"/>
    <col min="9" max="9" width="9.5703125" bestFit="1" customWidth="1"/>
    <col min="11" max="12" width="12.85546875" customWidth="1"/>
    <col min="14" max="14" width="8.7109375" customWidth="1"/>
    <col min="16" max="16" width="1.85546875" customWidth="1"/>
    <col min="18" max="19" width="0" hidden="1" customWidth="1"/>
    <col min="20" max="20" width="43.28515625" customWidth="1"/>
    <col min="21" max="21" width="12.85546875" bestFit="1" customWidth="1"/>
    <col min="22" max="22" width="42.85546875" bestFit="1" customWidth="1"/>
    <col min="23" max="23" width="12.85546875" bestFit="1" customWidth="1"/>
    <col min="26" max="26" width="27" bestFit="1" customWidth="1"/>
  </cols>
  <sheetData>
    <row r="1" spans="2:25" ht="15.75" thickBot="1" x14ac:dyDescent="0.3"/>
    <row r="2" spans="2:25" ht="78.75" customHeight="1" x14ac:dyDescent="0.25">
      <c r="B2" s="10"/>
      <c r="C2" s="11"/>
      <c r="D2" s="111" t="s">
        <v>98</v>
      </c>
      <c r="E2" s="111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2"/>
      <c r="T2" s="110" t="s">
        <v>57</v>
      </c>
      <c r="U2" s="110"/>
    </row>
    <row r="3" spans="2:25" x14ac:dyDescent="0.25">
      <c r="B3" s="13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7"/>
      <c r="T3" s="1" t="s">
        <v>58</v>
      </c>
      <c r="U3" s="1" t="s">
        <v>59</v>
      </c>
      <c r="V3" s="1" t="s">
        <v>38</v>
      </c>
      <c r="W3" s="1" t="s">
        <v>60</v>
      </c>
      <c r="X3" s="1" t="s">
        <v>61</v>
      </c>
      <c r="Y3" s="1" t="s">
        <v>62</v>
      </c>
    </row>
    <row r="4" spans="2:25" x14ac:dyDescent="0.25">
      <c r="B4" s="13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1"/>
      <c r="T4" s="1" t="s">
        <v>64</v>
      </c>
      <c r="U4" s="1">
        <f>IF(T4="","-",1)</f>
        <v>1</v>
      </c>
      <c r="V4" s="1" t="s">
        <v>79</v>
      </c>
      <c r="W4" s="1">
        <f>SUMIF(K9:K18,"60",L9:L18)*2</f>
        <v>4</v>
      </c>
      <c r="X4" s="1" t="s">
        <v>84</v>
      </c>
      <c r="Y4" s="1" t="s">
        <v>84</v>
      </c>
    </row>
    <row r="5" spans="2:25" x14ac:dyDescent="0.25">
      <c r="B5" s="13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1"/>
      <c r="T5" s="32" t="s">
        <v>76</v>
      </c>
      <c r="U5" s="1">
        <f t="shared" ref="U5:U17" si="0">IF(T5="","-",1)</f>
        <v>1</v>
      </c>
      <c r="V5" s="1" t="s">
        <v>75</v>
      </c>
      <c r="W5" s="1">
        <f>SUMIF(K9:K18,"60",L9:L18)*2</f>
        <v>4</v>
      </c>
      <c r="X5" s="1" t="s">
        <v>84</v>
      </c>
      <c r="Y5" s="1" t="s">
        <v>84</v>
      </c>
    </row>
    <row r="6" spans="2:25" ht="15.75" thickBot="1" x14ac:dyDescent="0.3">
      <c r="B6" s="13"/>
      <c r="C6" s="30"/>
      <c r="D6" s="30"/>
      <c r="E6" s="30"/>
      <c r="F6" s="30"/>
      <c r="G6" s="30"/>
      <c r="H6" s="67" t="s">
        <v>40</v>
      </c>
      <c r="I6" s="67"/>
      <c r="J6" s="67"/>
      <c r="K6" s="67"/>
      <c r="L6" s="67"/>
      <c r="M6" s="30"/>
      <c r="P6" s="31"/>
      <c r="T6" s="1" t="s">
        <v>65</v>
      </c>
      <c r="U6" s="1">
        <f t="shared" si="0"/>
        <v>1</v>
      </c>
      <c r="V6" s="1" t="s">
        <v>80</v>
      </c>
      <c r="W6" s="1">
        <f>SUMIF(K9:K18,"70",L9:L18)*2</f>
        <v>0</v>
      </c>
      <c r="X6" s="1" t="s">
        <v>84</v>
      </c>
      <c r="Y6" s="1" t="s">
        <v>84</v>
      </c>
    </row>
    <row r="7" spans="2:25" ht="18.75" customHeight="1" x14ac:dyDescent="0.25">
      <c r="B7" s="13"/>
      <c r="C7" s="30"/>
      <c r="D7" s="30"/>
      <c r="E7" s="30"/>
      <c r="F7" s="30"/>
      <c r="G7" s="30"/>
      <c r="H7" s="37" t="s">
        <v>39</v>
      </c>
      <c r="I7" s="37" t="s">
        <v>44</v>
      </c>
      <c r="J7" s="36" t="s">
        <v>100</v>
      </c>
      <c r="K7" s="36" t="s">
        <v>86</v>
      </c>
      <c r="L7" s="113" t="s">
        <v>28</v>
      </c>
      <c r="M7" s="113" t="s">
        <v>121</v>
      </c>
      <c r="N7" s="113" t="s">
        <v>126</v>
      </c>
      <c r="P7" s="31"/>
      <c r="T7" s="32" t="s">
        <v>74</v>
      </c>
      <c r="U7" s="1">
        <f t="shared" si="0"/>
        <v>1</v>
      </c>
      <c r="V7" s="1" t="s">
        <v>73</v>
      </c>
      <c r="W7" s="1">
        <f>SUMIF(K9:K18,"70",L9:L18)*2</f>
        <v>0</v>
      </c>
      <c r="X7" s="1" t="s">
        <v>84</v>
      </c>
      <c r="Y7" s="1" t="s">
        <v>84</v>
      </c>
    </row>
    <row r="8" spans="2:25" ht="15.75" customHeight="1" thickBot="1" x14ac:dyDescent="0.3">
      <c r="B8" s="13"/>
      <c r="C8" s="30"/>
      <c r="D8" s="30"/>
      <c r="E8" s="30"/>
      <c r="F8" s="30"/>
      <c r="G8" s="30"/>
      <c r="H8" s="39"/>
      <c r="I8" s="39"/>
      <c r="J8" s="40"/>
      <c r="K8" s="40"/>
      <c r="L8" s="119"/>
      <c r="M8" s="119"/>
      <c r="N8" s="119"/>
      <c r="P8" s="31"/>
      <c r="T8" s="1" t="s">
        <v>66</v>
      </c>
      <c r="U8" s="1">
        <f t="shared" si="0"/>
        <v>1</v>
      </c>
      <c r="V8" s="1" t="s">
        <v>81</v>
      </c>
      <c r="W8" s="1">
        <f>SUMIF(K9:K18,"80",L9:L18)*2</f>
        <v>0</v>
      </c>
      <c r="X8" s="1" t="s">
        <v>84</v>
      </c>
      <c r="Y8" s="1" t="s">
        <v>84</v>
      </c>
    </row>
    <row r="9" spans="2:25" x14ac:dyDescent="0.25">
      <c r="B9" s="13"/>
      <c r="C9" s="30"/>
      <c r="D9" s="30"/>
      <c r="E9" s="30"/>
      <c r="F9" s="30"/>
      <c r="G9" s="30"/>
      <c r="H9" s="54"/>
      <c r="I9" s="55">
        <v>2900</v>
      </c>
      <c r="J9" s="55">
        <v>30</v>
      </c>
      <c r="K9" s="55">
        <v>60</v>
      </c>
      <c r="L9" s="55">
        <v>2</v>
      </c>
      <c r="M9" s="55" t="s">
        <v>122</v>
      </c>
      <c r="N9" s="56"/>
      <c r="P9" s="31"/>
      <c r="T9" s="32" t="s">
        <v>74</v>
      </c>
      <c r="U9" s="1">
        <f t="shared" si="0"/>
        <v>1</v>
      </c>
      <c r="V9" s="1" t="s">
        <v>73</v>
      </c>
      <c r="W9" s="1">
        <f>SUMIF(K9:K18,"80",L9:L18)*2</f>
        <v>0</v>
      </c>
      <c r="X9" s="1" t="s">
        <v>84</v>
      </c>
      <c r="Y9" s="1" t="s">
        <v>84</v>
      </c>
    </row>
    <row r="10" spans="2:25" x14ac:dyDescent="0.25">
      <c r="B10" s="13"/>
      <c r="C10" s="30"/>
      <c r="D10" s="30"/>
      <c r="E10" s="30"/>
      <c r="F10" s="30"/>
      <c r="G10" s="30"/>
      <c r="H10" s="57"/>
      <c r="I10" s="58"/>
      <c r="J10" s="58"/>
      <c r="K10" s="58"/>
      <c r="L10" s="58"/>
      <c r="M10" s="58"/>
      <c r="N10" s="59"/>
      <c r="P10" s="31"/>
      <c r="T10" s="1" t="s">
        <v>67</v>
      </c>
      <c r="U10" s="1">
        <f t="shared" si="0"/>
        <v>1</v>
      </c>
      <c r="V10" s="1" t="s">
        <v>82</v>
      </c>
      <c r="W10" s="1">
        <f>SUMIF(K9:K18,"100",L9:L18)*2</f>
        <v>0</v>
      </c>
      <c r="X10" s="1" t="s">
        <v>84</v>
      </c>
      <c r="Y10" s="1" t="s">
        <v>84</v>
      </c>
    </row>
    <row r="11" spans="2:25" x14ac:dyDescent="0.25">
      <c r="B11" s="13"/>
      <c r="C11" s="30"/>
      <c r="D11" s="30"/>
      <c r="E11" s="30"/>
      <c r="F11" s="30"/>
      <c r="G11" s="30"/>
      <c r="H11" s="57"/>
      <c r="I11" s="58"/>
      <c r="J11" s="58"/>
      <c r="K11" s="58"/>
      <c r="L11" s="58"/>
      <c r="M11" s="58"/>
      <c r="N11" s="59"/>
      <c r="P11" s="31"/>
      <c r="T11" s="32" t="s">
        <v>72</v>
      </c>
      <c r="U11" s="1">
        <f t="shared" si="0"/>
        <v>1</v>
      </c>
      <c r="V11" s="1" t="s">
        <v>71</v>
      </c>
      <c r="W11" s="1">
        <f>SUMIF(K9:K18,"100",L9:L18)*2</f>
        <v>0</v>
      </c>
      <c r="X11" s="1" t="s">
        <v>84</v>
      </c>
      <c r="Y11" s="1" t="s">
        <v>84</v>
      </c>
    </row>
    <row r="12" spans="2:25" x14ac:dyDescent="0.25">
      <c r="B12" s="13"/>
      <c r="C12" s="30"/>
      <c r="D12" s="30"/>
      <c r="E12" s="30"/>
      <c r="F12" s="30"/>
      <c r="G12" s="30"/>
      <c r="H12" s="57"/>
      <c r="I12" s="58"/>
      <c r="J12" s="58"/>
      <c r="K12" s="58"/>
      <c r="L12" s="58"/>
      <c r="M12" s="58"/>
      <c r="N12" s="59"/>
      <c r="P12" s="31"/>
      <c r="T12" s="1" t="s">
        <v>68</v>
      </c>
      <c r="U12" s="1">
        <f t="shared" si="0"/>
        <v>1</v>
      </c>
      <c r="V12" s="1" t="s">
        <v>83</v>
      </c>
      <c r="W12" s="1">
        <f>SUMIF(K9:K18,"120",L9:L18)*2</f>
        <v>0</v>
      </c>
      <c r="X12" s="1" t="s">
        <v>84</v>
      </c>
      <c r="Y12" s="1" t="s">
        <v>84</v>
      </c>
    </row>
    <row r="13" spans="2:25" x14ac:dyDescent="0.25">
      <c r="B13" s="13"/>
      <c r="C13" s="30"/>
      <c r="D13" s="30"/>
      <c r="E13" s="30"/>
      <c r="F13" s="30"/>
      <c r="G13" s="30"/>
      <c r="H13" s="57"/>
      <c r="I13" s="58"/>
      <c r="J13" s="58"/>
      <c r="K13" s="58"/>
      <c r="L13" s="58"/>
      <c r="M13" s="58"/>
      <c r="N13" s="59"/>
      <c r="P13" s="31"/>
      <c r="T13" s="32" t="s">
        <v>70</v>
      </c>
      <c r="U13" s="1">
        <f t="shared" si="0"/>
        <v>1</v>
      </c>
      <c r="V13" s="1" t="s">
        <v>69</v>
      </c>
      <c r="W13" s="1">
        <f>SUMIF(K9:K18,"120",L9:L18)*2</f>
        <v>0</v>
      </c>
      <c r="X13" s="1" t="s">
        <v>84</v>
      </c>
      <c r="Y13" s="1" t="s">
        <v>84</v>
      </c>
    </row>
    <row r="14" spans="2:25" x14ac:dyDescent="0.25">
      <c r="B14" s="13"/>
      <c r="C14" s="16"/>
      <c r="D14" s="16"/>
      <c r="E14" s="16"/>
      <c r="F14" s="16"/>
      <c r="G14" s="16"/>
      <c r="H14" s="57"/>
      <c r="I14" s="58"/>
      <c r="J14" s="58"/>
      <c r="K14" s="58"/>
      <c r="L14" s="58"/>
      <c r="M14" s="58"/>
      <c r="N14" s="59"/>
      <c r="P14" s="17"/>
      <c r="T14" s="1" t="s">
        <v>114</v>
      </c>
      <c r="U14" s="1">
        <f t="shared" si="0"/>
        <v>1</v>
      </c>
      <c r="V14" s="1" t="s">
        <v>113</v>
      </c>
      <c r="W14" s="1">
        <f>SUM($L$9:$L$18)*1</f>
        <v>2</v>
      </c>
      <c r="X14" s="1" t="s">
        <v>84</v>
      </c>
      <c r="Y14" s="1" t="s">
        <v>84</v>
      </c>
    </row>
    <row r="15" spans="2:25" x14ac:dyDescent="0.25">
      <c r="B15" s="13"/>
      <c r="C15" s="16"/>
      <c r="D15" s="16"/>
      <c r="E15" s="16"/>
      <c r="F15" s="16"/>
      <c r="G15" s="16"/>
      <c r="H15" s="57"/>
      <c r="I15" s="58"/>
      <c r="J15" s="58"/>
      <c r="K15" s="58"/>
      <c r="L15" s="58"/>
      <c r="M15" s="58"/>
      <c r="N15" s="59"/>
      <c r="P15" s="17"/>
      <c r="T15" s="1" t="s">
        <v>115</v>
      </c>
      <c r="U15" s="1">
        <f t="shared" si="0"/>
        <v>1</v>
      </c>
      <c r="V15" s="1" t="s">
        <v>116</v>
      </c>
      <c r="W15" s="1">
        <f>SUM($L$9:$L$18)*1</f>
        <v>2</v>
      </c>
      <c r="X15" s="1" t="s">
        <v>84</v>
      </c>
      <c r="Y15" s="1" t="s">
        <v>84</v>
      </c>
    </row>
    <row r="16" spans="2:25" x14ac:dyDescent="0.25">
      <c r="B16" s="13"/>
      <c r="C16" s="16"/>
      <c r="D16" s="16"/>
      <c r="E16" s="16"/>
      <c r="F16" s="16"/>
      <c r="G16" s="16"/>
      <c r="H16" s="57"/>
      <c r="I16" s="58"/>
      <c r="J16" s="58"/>
      <c r="K16" s="58"/>
      <c r="L16" s="58"/>
      <c r="M16" s="58"/>
      <c r="N16" s="59"/>
      <c r="P16" s="17"/>
      <c r="T16" s="1" t="s">
        <v>118</v>
      </c>
      <c r="U16" s="1">
        <f t="shared" si="0"/>
        <v>1</v>
      </c>
      <c r="V16" s="1" t="s">
        <v>117</v>
      </c>
      <c r="W16" s="1">
        <f>SUM($L$9:$L$18)*1</f>
        <v>2</v>
      </c>
      <c r="X16" s="1" t="s">
        <v>84</v>
      </c>
      <c r="Y16" s="1" t="s">
        <v>84</v>
      </c>
    </row>
    <row r="17" spans="2:28" x14ac:dyDescent="0.25">
      <c r="B17" s="13"/>
      <c r="C17" s="16"/>
      <c r="D17" s="16"/>
      <c r="E17" s="16"/>
      <c r="F17" s="16"/>
      <c r="G17" s="16"/>
      <c r="H17" s="57"/>
      <c r="I17" s="58"/>
      <c r="J17" s="58"/>
      <c r="K17" s="58"/>
      <c r="L17" s="58"/>
      <c r="M17" s="58"/>
      <c r="N17" s="59"/>
      <c r="P17" s="17"/>
      <c r="T17" s="1" t="s">
        <v>119</v>
      </c>
      <c r="U17" s="65">
        <f t="shared" si="0"/>
        <v>1</v>
      </c>
      <c r="V17" s="1" t="s">
        <v>120</v>
      </c>
      <c r="W17" s="1">
        <f>SUM($L$9:$L$18)*1</f>
        <v>2</v>
      </c>
      <c r="X17" s="1" t="s">
        <v>84</v>
      </c>
      <c r="Y17" s="1" t="s">
        <v>84</v>
      </c>
    </row>
    <row r="18" spans="2:28" ht="15.75" thickBot="1" x14ac:dyDescent="0.3">
      <c r="B18" s="13"/>
      <c r="C18" s="16"/>
      <c r="D18" s="16"/>
      <c r="E18" s="16"/>
      <c r="F18" s="16"/>
      <c r="G18" s="16"/>
      <c r="H18" s="60"/>
      <c r="I18" s="61"/>
      <c r="J18" s="61"/>
      <c r="K18" s="61"/>
      <c r="L18" s="61"/>
      <c r="M18" s="61"/>
      <c r="N18" s="62"/>
      <c r="P18" s="17"/>
      <c r="T18" s="1" t="s">
        <v>47</v>
      </c>
      <c r="U18" s="1">
        <f t="shared" ref="U18:U26" si="1">IF(T18="","-",1)</f>
        <v>1</v>
      </c>
      <c r="V18" s="1" t="s">
        <v>48</v>
      </c>
      <c r="W18" s="1">
        <f>SUM($L$9:$L$18)*2</f>
        <v>4</v>
      </c>
      <c r="X18" s="1" t="s">
        <v>84</v>
      </c>
      <c r="Y18" s="1" t="s">
        <v>84</v>
      </c>
    </row>
    <row r="19" spans="2:28" ht="15.75" thickBot="1" x14ac:dyDescent="0.3">
      <c r="B19" s="13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  <c r="T19" s="1" t="s">
        <v>50</v>
      </c>
      <c r="U19" s="1">
        <f t="shared" si="1"/>
        <v>1</v>
      </c>
      <c r="V19" s="1" t="s">
        <v>49</v>
      </c>
      <c r="W19" s="1">
        <f>SUM($L$9:$L$18)*(2+2)</f>
        <v>8</v>
      </c>
      <c r="X19" s="1" t="s">
        <v>84</v>
      </c>
      <c r="Y19" s="1" t="s">
        <v>84</v>
      </c>
    </row>
    <row r="20" spans="2:28" ht="15" customHeight="1" x14ac:dyDescent="0.25">
      <c r="B20" s="13"/>
      <c r="C20" s="16"/>
      <c r="D20" s="16"/>
      <c r="E20" s="16"/>
      <c r="F20" s="16"/>
      <c r="G20" s="16"/>
      <c r="H20" s="16"/>
      <c r="I20" s="16"/>
      <c r="J20" s="16"/>
      <c r="K20" s="18"/>
      <c r="L20" s="25" t="s">
        <v>103</v>
      </c>
      <c r="M20" s="16"/>
      <c r="N20" s="16"/>
      <c r="O20" s="16"/>
      <c r="P20" s="17"/>
      <c r="T20" s="1" t="s">
        <v>52</v>
      </c>
      <c r="U20" s="1">
        <f t="shared" si="1"/>
        <v>1</v>
      </c>
      <c r="V20" s="1" t="s">
        <v>51</v>
      </c>
      <c r="W20" s="1">
        <f>SUM($L$9:$L$18)*(2+2)</f>
        <v>8</v>
      </c>
      <c r="X20" s="1" t="s">
        <v>84</v>
      </c>
      <c r="Y20" s="1" t="s">
        <v>84</v>
      </c>
    </row>
    <row r="21" spans="2:28" ht="15" customHeight="1" x14ac:dyDescent="0.25">
      <c r="B21" s="13"/>
      <c r="C21" s="16"/>
      <c r="D21" s="16"/>
      <c r="E21" s="16"/>
      <c r="F21" s="16"/>
      <c r="G21" s="16"/>
      <c r="H21" s="16"/>
      <c r="I21" s="16"/>
      <c r="J21" s="16"/>
      <c r="K21" s="53" t="s">
        <v>101</v>
      </c>
      <c r="L21" s="5"/>
      <c r="M21" s="16"/>
      <c r="N21" s="16"/>
      <c r="O21" s="16"/>
      <c r="P21" s="17"/>
      <c r="T21" s="1" t="s">
        <v>54</v>
      </c>
      <c r="U21" s="1">
        <f t="shared" si="1"/>
        <v>1</v>
      </c>
      <c r="V21" s="1" t="s">
        <v>53</v>
      </c>
      <c r="W21" s="1">
        <f>SUM($L$9:$L$18)*(2+2)</f>
        <v>8</v>
      </c>
      <c r="X21" s="1" t="s">
        <v>84</v>
      </c>
      <c r="Y21" s="1" t="s">
        <v>84</v>
      </c>
    </row>
    <row r="22" spans="2:28" x14ac:dyDescent="0.25">
      <c r="B22" s="13"/>
      <c r="C22" s="16"/>
      <c r="D22" s="16"/>
      <c r="E22" s="16"/>
      <c r="F22" s="16"/>
      <c r="G22" s="16"/>
      <c r="H22" s="16"/>
      <c r="I22" s="16"/>
      <c r="J22" s="16"/>
      <c r="K22" s="53" t="s">
        <v>102</v>
      </c>
      <c r="L22" s="5"/>
      <c r="M22" s="16"/>
      <c r="N22" s="16"/>
      <c r="O22" s="16"/>
      <c r="P22" s="17"/>
      <c r="T22" s="1" t="s">
        <v>56</v>
      </c>
      <c r="U22" s="1">
        <f t="shared" si="1"/>
        <v>1</v>
      </c>
      <c r="V22" s="1" t="s">
        <v>55</v>
      </c>
      <c r="W22" s="1">
        <f>SUM($L$9:$L$18)*2</f>
        <v>4</v>
      </c>
      <c r="X22" s="1" t="s">
        <v>84</v>
      </c>
      <c r="Y22" s="1" t="s">
        <v>84</v>
      </c>
    </row>
    <row r="23" spans="2:28" x14ac:dyDescent="0.25">
      <c r="B23" s="13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7"/>
      <c r="T23" s="66" t="s">
        <v>108</v>
      </c>
      <c r="U23" s="1">
        <f t="shared" si="1"/>
        <v>1</v>
      </c>
      <c r="V23" s="66" t="s">
        <v>109</v>
      </c>
      <c r="W23" s="1">
        <f>IF(M9="oui",SUM($L$9:$L$18)*1,"-")</f>
        <v>2</v>
      </c>
      <c r="X23" s="1" t="s">
        <v>84</v>
      </c>
      <c r="Y23" s="1" t="s">
        <v>84</v>
      </c>
    </row>
    <row r="24" spans="2:28" x14ac:dyDescent="0.25">
      <c r="B24" s="13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7"/>
      <c r="T24" s="66" t="s">
        <v>108</v>
      </c>
      <c r="U24" s="1">
        <f t="shared" si="1"/>
        <v>1</v>
      </c>
      <c r="V24" s="66" t="s">
        <v>110</v>
      </c>
      <c r="W24" s="1" t="str">
        <f>IF(M10="oui",SUM($L$9:$L$18)*1,"-")</f>
        <v>-</v>
      </c>
      <c r="X24" s="1" t="s">
        <v>84</v>
      </c>
      <c r="Y24" s="1" t="s">
        <v>84</v>
      </c>
    </row>
    <row r="25" spans="2:28" x14ac:dyDescent="0.25">
      <c r="B25" s="13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7"/>
      <c r="T25" s="66" t="s">
        <v>112</v>
      </c>
      <c r="U25" s="1">
        <f t="shared" si="1"/>
        <v>1</v>
      </c>
      <c r="V25" s="66" t="s">
        <v>111</v>
      </c>
      <c r="W25" s="1" t="str">
        <f>IF(M11="oui",SUM($L$9:$L$18)*1,"-")</f>
        <v>-</v>
      </c>
      <c r="X25" s="1" t="s">
        <v>84</v>
      </c>
      <c r="Y25" s="1" t="s">
        <v>84</v>
      </c>
    </row>
    <row r="26" spans="2:28" x14ac:dyDescent="0.25"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7"/>
      <c r="T26" s="66" t="s">
        <v>94</v>
      </c>
      <c r="U26" s="66">
        <f t="shared" si="1"/>
        <v>1</v>
      </c>
      <c r="V26" s="66" t="s">
        <v>95</v>
      </c>
      <c r="W26" s="66">
        <f>SUM($F$32:$F$41)*1</f>
        <v>2</v>
      </c>
      <c r="X26" s="66" t="s">
        <v>84</v>
      </c>
      <c r="Y26" s="66" t="s">
        <v>84</v>
      </c>
      <c r="Z26" s="2"/>
      <c r="AB26" s="24"/>
    </row>
    <row r="27" spans="2:28" x14ac:dyDescent="0.25">
      <c r="B27" s="1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7"/>
      <c r="Z27" s="2"/>
      <c r="AB27" s="24"/>
    </row>
    <row r="28" spans="2:28" x14ac:dyDescent="0.25">
      <c r="B28" s="1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7"/>
      <c r="Z28" s="2"/>
      <c r="AB28" s="24"/>
    </row>
    <row r="29" spans="2:28" x14ac:dyDescent="0.25">
      <c r="B29" s="13"/>
      <c r="G29" s="16"/>
      <c r="P29" s="17"/>
      <c r="Z29" s="2"/>
      <c r="AB29" s="24"/>
    </row>
    <row r="30" spans="2:28" ht="21.75" thickBot="1" x14ac:dyDescent="0.4">
      <c r="B30" s="13"/>
      <c r="C30" s="123" t="s">
        <v>29</v>
      </c>
      <c r="D30" s="123"/>
      <c r="E30" s="123"/>
      <c r="F30" s="123"/>
      <c r="G30" s="123"/>
      <c r="H30" s="123"/>
      <c r="I30" s="123"/>
      <c r="J30" s="123"/>
      <c r="L30">
        <f>I9/SIN(RADIANS(J9))</f>
        <v>5800.0000000000009</v>
      </c>
      <c r="P30" s="17"/>
      <c r="Z30" s="2"/>
      <c r="AB30" s="24"/>
    </row>
    <row r="31" spans="2:28" ht="45" x14ac:dyDescent="0.25">
      <c r="B31" s="13"/>
      <c r="C31" s="121" t="s">
        <v>104</v>
      </c>
      <c r="D31" s="122"/>
      <c r="E31" s="121" t="s">
        <v>104</v>
      </c>
      <c r="F31" s="122"/>
      <c r="G31" s="124" t="s">
        <v>105</v>
      </c>
      <c r="H31" s="125"/>
      <c r="I31" s="26" t="s">
        <v>30</v>
      </c>
      <c r="J31" s="46" t="s">
        <v>106</v>
      </c>
      <c r="K31" s="64" t="s">
        <v>107</v>
      </c>
      <c r="P31" s="17"/>
    </row>
    <row r="32" spans="2:28" ht="15" customHeight="1" x14ac:dyDescent="0.25">
      <c r="B32" s="13"/>
      <c r="C32" s="19" t="s">
        <v>31</v>
      </c>
      <c r="D32" s="19" t="s">
        <v>28</v>
      </c>
      <c r="E32" s="19" t="s">
        <v>31</v>
      </c>
      <c r="F32" s="19" t="s">
        <v>28</v>
      </c>
      <c r="G32" s="38" t="s">
        <v>31</v>
      </c>
      <c r="H32" s="38" t="s">
        <v>28</v>
      </c>
      <c r="I32" s="19" t="s">
        <v>28</v>
      </c>
      <c r="J32" s="51" t="s">
        <v>28</v>
      </c>
      <c r="K32" s="58" t="str">
        <f t="shared" ref="K32:K41" si="2">IF(H9="","-",H9)</f>
        <v>-</v>
      </c>
      <c r="P32" s="17"/>
    </row>
    <row r="33" spans="2:16" x14ac:dyDescent="0.25">
      <c r="B33" s="13"/>
      <c r="C33" s="19">
        <f t="shared" ref="C33:C42" si="3">IF(I9&lt;=2900,IF(I9&gt;=1500,I9-10,"Valeur non OK"),"Valeur non OK")</f>
        <v>2890</v>
      </c>
      <c r="D33" s="19">
        <f t="shared" ref="D33:D42" si="4">IF(L9="","-",L9*2)</f>
        <v>4</v>
      </c>
      <c r="E33" s="19">
        <f>IF(L9="","-",I9/SIN(RADIANS(J9)))</f>
        <v>5800.0000000000009</v>
      </c>
      <c r="F33" s="19">
        <f t="shared" ref="F33:F42" si="5">IF(L9="","-",L9)</f>
        <v>2</v>
      </c>
      <c r="G33" s="38">
        <f t="shared" ref="G33:G42" si="6">IF(I9&gt;1500,470,"-")</f>
        <v>470</v>
      </c>
      <c r="H33" s="38">
        <f>IF(L9="","-",L9)</f>
        <v>2</v>
      </c>
      <c r="I33" s="19">
        <f t="shared" ref="I33:I42" si="7">IF(L9="","-",L9*2)</f>
        <v>4</v>
      </c>
      <c r="J33" s="63">
        <f>IF(F33="","-",F33)</f>
        <v>2</v>
      </c>
      <c r="K33" s="58" t="str">
        <f t="shared" si="2"/>
        <v>-</v>
      </c>
      <c r="P33" s="17"/>
    </row>
    <row r="34" spans="2:16" x14ac:dyDescent="0.25">
      <c r="B34" s="13"/>
      <c r="C34" s="19" t="str">
        <f t="shared" si="3"/>
        <v>Valeur non OK</v>
      </c>
      <c r="D34" s="19" t="str">
        <f t="shared" si="4"/>
        <v>-</v>
      </c>
      <c r="E34" s="19" t="str">
        <f t="shared" ref="E34:E42" si="8">IF(L10="","-",470)</f>
        <v>-</v>
      </c>
      <c r="F34" s="19" t="str">
        <f t="shared" si="5"/>
        <v>-</v>
      </c>
      <c r="G34" s="38" t="str">
        <f t="shared" si="6"/>
        <v>-</v>
      </c>
      <c r="H34" s="38" t="str">
        <f t="shared" ref="H34:H42" si="9">IF(L10="","-",L10)</f>
        <v>-</v>
      </c>
      <c r="I34" s="19" t="str">
        <f t="shared" si="7"/>
        <v>-</v>
      </c>
      <c r="J34" s="63" t="str">
        <f t="shared" ref="J34:J42" si="10">IF(F34="","-",F34)</f>
        <v>-</v>
      </c>
      <c r="K34" s="58" t="str">
        <f t="shared" si="2"/>
        <v>-</v>
      </c>
      <c r="P34" s="17"/>
    </row>
    <row r="35" spans="2:16" x14ac:dyDescent="0.25">
      <c r="B35" s="13"/>
      <c r="C35" s="19" t="str">
        <f t="shared" si="3"/>
        <v>Valeur non OK</v>
      </c>
      <c r="D35" s="19" t="str">
        <f t="shared" si="4"/>
        <v>-</v>
      </c>
      <c r="E35" s="19" t="str">
        <f t="shared" si="8"/>
        <v>-</v>
      </c>
      <c r="F35" s="19" t="str">
        <f t="shared" si="5"/>
        <v>-</v>
      </c>
      <c r="G35" s="38" t="str">
        <f t="shared" si="6"/>
        <v>-</v>
      </c>
      <c r="H35" s="38" t="str">
        <f t="shared" si="9"/>
        <v>-</v>
      </c>
      <c r="I35" s="19" t="str">
        <f t="shared" si="7"/>
        <v>-</v>
      </c>
      <c r="J35" s="63" t="str">
        <f t="shared" si="10"/>
        <v>-</v>
      </c>
      <c r="K35" s="58" t="str">
        <f t="shared" si="2"/>
        <v>-</v>
      </c>
      <c r="P35" s="17"/>
    </row>
    <row r="36" spans="2:16" x14ac:dyDescent="0.25">
      <c r="B36" s="13"/>
      <c r="C36" s="19" t="str">
        <f t="shared" si="3"/>
        <v>Valeur non OK</v>
      </c>
      <c r="D36" s="19" t="str">
        <f t="shared" si="4"/>
        <v>-</v>
      </c>
      <c r="E36" s="19" t="str">
        <f t="shared" si="8"/>
        <v>-</v>
      </c>
      <c r="F36" s="19" t="str">
        <f t="shared" si="5"/>
        <v>-</v>
      </c>
      <c r="G36" s="38" t="str">
        <f t="shared" si="6"/>
        <v>-</v>
      </c>
      <c r="H36" s="38" t="str">
        <f t="shared" si="9"/>
        <v>-</v>
      </c>
      <c r="I36" s="19" t="str">
        <f t="shared" si="7"/>
        <v>-</v>
      </c>
      <c r="J36" s="63" t="str">
        <f t="shared" si="10"/>
        <v>-</v>
      </c>
      <c r="K36" s="58" t="str">
        <f t="shared" si="2"/>
        <v>-</v>
      </c>
      <c r="P36" s="17"/>
    </row>
    <row r="37" spans="2:16" x14ac:dyDescent="0.25">
      <c r="B37" s="13"/>
      <c r="C37" s="19" t="str">
        <f t="shared" si="3"/>
        <v>Valeur non OK</v>
      </c>
      <c r="D37" s="19" t="str">
        <f t="shared" si="4"/>
        <v>-</v>
      </c>
      <c r="E37" s="19" t="str">
        <f t="shared" si="8"/>
        <v>-</v>
      </c>
      <c r="F37" s="19" t="str">
        <f t="shared" si="5"/>
        <v>-</v>
      </c>
      <c r="G37" s="38" t="str">
        <f t="shared" si="6"/>
        <v>-</v>
      </c>
      <c r="H37" s="38" t="str">
        <f t="shared" si="9"/>
        <v>-</v>
      </c>
      <c r="I37" s="19" t="str">
        <f t="shared" si="7"/>
        <v>-</v>
      </c>
      <c r="J37" s="63" t="str">
        <f t="shared" si="10"/>
        <v>-</v>
      </c>
      <c r="K37" s="58" t="str">
        <f t="shared" si="2"/>
        <v>-</v>
      </c>
      <c r="P37" s="17"/>
    </row>
    <row r="38" spans="2:16" x14ac:dyDescent="0.25">
      <c r="B38" s="13"/>
      <c r="C38" s="19" t="str">
        <f t="shared" si="3"/>
        <v>Valeur non OK</v>
      </c>
      <c r="D38" s="19" t="str">
        <f t="shared" si="4"/>
        <v>-</v>
      </c>
      <c r="E38" s="19" t="str">
        <f t="shared" si="8"/>
        <v>-</v>
      </c>
      <c r="F38" s="19" t="str">
        <f t="shared" si="5"/>
        <v>-</v>
      </c>
      <c r="G38" s="38" t="str">
        <f t="shared" si="6"/>
        <v>-</v>
      </c>
      <c r="H38" s="38" t="str">
        <f t="shared" si="9"/>
        <v>-</v>
      </c>
      <c r="I38" s="19" t="str">
        <f t="shared" si="7"/>
        <v>-</v>
      </c>
      <c r="J38" s="63" t="str">
        <f t="shared" si="10"/>
        <v>-</v>
      </c>
      <c r="K38" s="58" t="str">
        <f t="shared" si="2"/>
        <v>-</v>
      </c>
      <c r="P38" s="17"/>
    </row>
    <row r="39" spans="2:16" x14ac:dyDescent="0.25">
      <c r="B39" s="13"/>
      <c r="C39" s="19" t="str">
        <f t="shared" si="3"/>
        <v>Valeur non OK</v>
      </c>
      <c r="D39" s="19" t="str">
        <f t="shared" si="4"/>
        <v>-</v>
      </c>
      <c r="E39" s="19" t="str">
        <f t="shared" si="8"/>
        <v>-</v>
      </c>
      <c r="F39" s="19" t="str">
        <f t="shared" si="5"/>
        <v>-</v>
      </c>
      <c r="G39" s="38" t="str">
        <f t="shared" si="6"/>
        <v>-</v>
      </c>
      <c r="H39" s="38" t="str">
        <f t="shared" si="9"/>
        <v>-</v>
      </c>
      <c r="I39" s="19" t="str">
        <f t="shared" si="7"/>
        <v>-</v>
      </c>
      <c r="J39" s="63" t="str">
        <f t="shared" si="10"/>
        <v>-</v>
      </c>
      <c r="K39" s="58" t="str">
        <f t="shared" si="2"/>
        <v>-</v>
      </c>
      <c r="P39" s="17"/>
    </row>
    <row r="40" spans="2:16" x14ac:dyDescent="0.25">
      <c r="B40" s="13"/>
      <c r="C40" s="19" t="str">
        <f t="shared" si="3"/>
        <v>Valeur non OK</v>
      </c>
      <c r="D40" s="19" t="str">
        <f t="shared" si="4"/>
        <v>-</v>
      </c>
      <c r="E40" s="19" t="str">
        <f t="shared" si="8"/>
        <v>-</v>
      </c>
      <c r="F40" s="19" t="str">
        <f t="shared" si="5"/>
        <v>-</v>
      </c>
      <c r="G40" s="38" t="str">
        <f t="shared" si="6"/>
        <v>-</v>
      </c>
      <c r="H40" s="38" t="str">
        <f t="shared" si="9"/>
        <v>-</v>
      </c>
      <c r="I40" s="19" t="str">
        <f t="shared" si="7"/>
        <v>-</v>
      </c>
      <c r="J40" s="63" t="str">
        <f t="shared" si="10"/>
        <v>-</v>
      </c>
      <c r="K40" s="58" t="str">
        <f t="shared" si="2"/>
        <v>-</v>
      </c>
      <c r="P40" s="17"/>
    </row>
    <row r="41" spans="2:16" x14ac:dyDescent="0.25">
      <c r="B41" s="13"/>
      <c r="C41" s="19" t="str">
        <f t="shared" si="3"/>
        <v>Valeur non OK</v>
      </c>
      <c r="D41" s="19" t="str">
        <f t="shared" si="4"/>
        <v>-</v>
      </c>
      <c r="E41" s="19" t="str">
        <f t="shared" si="8"/>
        <v>-</v>
      </c>
      <c r="F41" s="19" t="str">
        <f t="shared" si="5"/>
        <v>-</v>
      </c>
      <c r="G41" s="38" t="str">
        <f t="shared" si="6"/>
        <v>-</v>
      </c>
      <c r="H41" s="38" t="str">
        <f t="shared" si="9"/>
        <v>-</v>
      </c>
      <c r="I41" s="19" t="str">
        <f t="shared" si="7"/>
        <v>-</v>
      </c>
      <c r="J41" s="63" t="str">
        <f t="shared" si="10"/>
        <v>-</v>
      </c>
      <c r="K41" s="58" t="str">
        <f t="shared" si="2"/>
        <v>-</v>
      </c>
      <c r="P41" s="17"/>
    </row>
    <row r="42" spans="2:16" ht="15.75" thickBot="1" x14ac:dyDescent="0.3">
      <c r="B42" s="20"/>
      <c r="C42" s="19" t="str">
        <f t="shared" si="3"/>
        <v>Valeur non OK</v>
      </c>
      <c r="D42" s="19" t="str">
        <f t="shared" si="4"/>
        <v>-</v>
      </c>
      <c r="E42" s="19" t="str">
        <f t="shared" si="8"/>
        <v>-</v>
      </c>
      <c r="F42" s="19" t="str">
        <f t="shared" si="5"/>
        <v>-</v>
      </c>
      <c r="G42" s="38" t="str">
        <f t="shared" si="6"/>
        <v>-</v>
      </c>
      <c r="H42" s="38" t="str">
        <f t="shared" si="9"/>
        <v>-</v>
      </c>
      <c r="I42" s="19" t="str">
        <f t="shared" si="7"/>
        <v>-</v>
      </c>
      <c r="J42" s="63" t="str">
        <f t="shared" si="10"/>
        <v>-</v>
      </c>
      <c r="K42" s="58" t="str">
        <f t="shared" ref="K42" si="11">IF(J19="","-",J19)</f>
        <v>-</v>
      </c>
      <c r="L42" s="21"/>
      <c r="M42" s="21"/>
      <c r="N42" s="21"/>
      <c r="O42" s="21"/>
      <c r="P42" s="22"/>
    </row>
    <row r="43" spans="2:16" ht="9" customHeight="1" x14ac:dyDescent="0.25"/>
    <row r="44" spans="2:16" ht="45" customHeight="1" x14ac:dyDescent="0.35">
      <c r="C44" s="27" t="s">
        <v>29</v>
      </c>
      <c r="D44" s="28"/>
      <c r="E44" s="28"/>
      <c r="F44" s="28"/>
      <c r="G44" s="28"/>
      <c r="H44" s="29"/>
      <c r="I44" s="18"/>
    </row>
    <row r="45" spans="2:16" ht="45" x14ac:dyDescent="0.25">
      <c r="C45" s="26" t="s">
        <v>37</v>
      </c>
      <c r="D45" s="26"/>
      <c r="E45" s="26" t="s">
        <v>36</v>
      </c>
      <c r="F45" s="26"/>
      <c r="G45" s="26" t="s">
        <v>41</v>
      </c>
      <c r="H45" s="26"/>
      <c r="I45" s="26" t="s">
        <v>30</v>
      </c>
    </row>
    <row r="46" spans="2:16" x14ac:dyDescent="0.25">
      <c r="C46" s="19" t="s">
        <v>31</v>
      </c>
      <c r="D46" s="19" t="s">
        <v>28</v>
      </c>
      <c r="E46" s="19" t="s">
        <v>31</v>
      </c>
      <c r="F46" s="19" t="s">
        <v>28</v>
      </c>
      <c r="G46" s="19" t="s">
        <v>31</v>
      </c>
      <c r="H46" s="19" t="s">
        <v>28</v>
      </c>
      <c r="I46" s="19" t="s">
        <v>28</v>
      </c>
    </row>
    <row r="47" spans="2:16" x14ac:dyDescent="0.25">
      <c r="C47" s="19">
        <f t="shared" ref="C47:C56" si="12">IF(D33="","-",D33-5)</f>
        <v>-1</v>
      </c>
      <c r="D47" s="19">
        <f>IF(F33="","-",F33*2)</f>
        <v>4</v>
      </c>
      <c r="E47" s="19">
        <f t="shared" ref="E47:E56" si="13">IF(F33="","-",470)</f>
        <v>470</v>
      </c>
      <c r="F47" s="19">
        <f t="shared" ref="F47:F56" si="14">IF(F33="","-",F33)</f>
        <v>2</v>
      </c>
      <c r="G47" s="19" t="str">
        <f t="shared" ref="G47:G56" si="15">IF(D33&gt;1500,470,"-")</f>
        <v>-</v>
      </c>
      <c r="H47" s="19" t="str">
        <f t="shared" ref="H47:H56" si="16">IF(D33&gt;1500,F33,"-")</f>
        <v>-</v>
      </c>
      <c r="I47" s="19">
        <f t="shared" ref="I47:I56" si="17">IF(F33="","-",F33*2)</f>
        <v>4</v>
      </c>
    </row>
    <row r="48" spans="2:16" x14ac:dyDescent="0.25">
      <c r="C48" s="19" t="e">
        <f t="shared" si="12"/>
        <v>#VALUE!</v>
      </c>
      <c r="D48" s="19" t="e">
        <f t="shared" ref="D48:D56" si="18">IF(C34="","-",F34*2)</f>
        <v>#VALUE!</v>
      </c>
      <c r="E48" s="19">
        <f t="shared" si="13"/>
        <v>470</v>
      </c>
      <c r="F48" s="19" t="str">
        <f t="shared" si="14"/>
        <v>-</v>
      </c>
      <c r="G48" s="19">
        <f t="shared" si="15"/>
        <v>470</v>
      </c>
      <c r="H48" s="19" t="str">
        <f t="shared" si="16"/>
        <v>-</v>
      </c>
      <c r="I48" s="19" t="e">
        <f t="shared" si="17"/>
        <v>#VALUE!</v>
      </c>
    </row>
    <row r="49" spans="3:9" x14ac:dyDescent="0.25">
      <c r="C49" s="19" t="e">
        <f t="shared" si="12"/>
        <v>#VALUE!</v>
      </c>
      <c r="D49" s="19" t="e">
        <f t="shared" si="18"/>
        <v>#VALUE!</v>
      </c>
      <c r="E49" s="19">
        <f t="shared" si="13"/>
        <v>470</v>
      </c>
      <c r="F49" s="19" t="str">
        <f t="shared" si="14"/>
        <v>-</v>
      </c>
      <c r="G49" s="19">
        <f t="shared" si="15"/>
        <v>470</v>
      </c>
      <c r="H49" s="19" t="str">
        <f t="shared" si="16"/>
        <v>-</v>
      </c>
      <c r="I49" s="19" t="e">
        <f t="shared" si="17"/>
        <v>#VALUE!</v>
      </c>
    </row>
    <row r="50" spans="3:9" x14ac:dyDescent="0.25">
      <c r="C50" s="19" t="e">
        <f t="shared" si="12"/>
        <v>#VALUE!</v>
      </c>
      <c r="D50" s="19" t="e">
        <f t="shared" si="18"/>
        <v>#VALUE!</v>
      </c>
      <c r="E50" s="19">
        <f t="shared" si="13"/>
        <v>470</v>
      </c>
      <c r="F50" s="19" t="str">
        <f t="shared" si="14"/>
        <v>-</v>
      </c>
      <c r="G50" s="19">
        <f t="shared" si="15"/>
        <v>470</v>
      </c>
      <c r="H50" s="19" t="str">
        <f t="shared" si="16"/>
        <v>-</v>
      </c>
      <c r="I50" s="19" t="e">
        <f t="shared" si="17"/>
        <v>#VALUE!</v>
      </c>
    </row>
    <row r="51" spans="3:9" x14ac:dyDescent="0.25">
      <c r="C51" s="19" t="e">
        <f t="shared" si="12"/>
        <v>#VALUE!</v>
      </c>
      <c r="D51" s="19" t="e">
        <f t="shared" si="18"/>
        <v>#VALUE!</v>
      </c>
      <c r="E51" s="19">
        <f t="shared" si="13"/>
        <v>470</v>
      </c>
      <c r="F51" s="19" t="str">
        <f t="shared" si="14"/>
        <v>-</v>
      </c>
      <c r="G51" s="19">
        <f t="shared" si="15"/>
        <v>470</v>
      </c>
      <c r="H51" s="19" t="str">
        <f t="shared" si="16"/>
        <v>-</v>
      </c>
      <c r="I51" s="19" t="e">
        <f t="shared" si="17"/>
        <v>#VALUE!</v>
      </c>
    </row>
    <row r="52" spans="3:9" x14ac:dyDescent="0.25">
      <c r="C52" s="19" t="e">
        <f t="shared" si="12"/>
        <v>#VALUE!</v>
      </c>
      <c r="D52" s="19" t="e">
        <f t="shared" si="18"/>
        <v>#VALUE!</v>
      </c>
      <c r="E52" s="19">
        <f t="shared" si="13"/>
        <v>470</v>
      </c>
      <c r="F52" s="19" t="str">
        <f t="shared" si="14"/>
        <v>-</v>
      </c>
      <c r="G52" s="19">
        <f t="shared" si="15"/>
        <v>470</v>
      </c>
      <c r="H52" s="19" t="str">
        <f t="shared" si="16"/>
        <v>-</v>
      </c>
      <c r="I52" s="19" t="e">
        <f t="shared" si="17"/>
        <v>#VALUE!</v>
      </c>
    </row>
    <row r="53" spans="3:9" x14ac:dyDescent="0.25">
      <c r="C53" s="19" t="e">
        <f t="shared" si="12"/>
        <v>#VALUE!</v>
      </c>
      <c r="D53" s="19" t="e">
        <f t="shared" si="18"/>
        <v>#VALUE!</v>
      </c>
      <c r="E53" s="19">
        <f t="shared" si="13"/>
        <v>470</v>
      </c>
      <c r="F53" s="19" t="str">
        <f t="shared" si="14"/>
        <v>-</v>
      </c>
      <c r="G53" s="19">
        <f t="shared" si="15"/>
        <v>470</v>
      </c>
      <c r="H53" s="19" t="str">
        <f t="shared" si="16"/>
        <v>-</v>
      </c>
      <c r="I53" s="19" t="e">
        <f t="shared" si="17"/>
        <v>#VALUE!</v>
      </c>
    </row>
    <row r="54" spans="3:9" x14ac:dyDescent="0.25">
      <c r="C54" s="19" t="e">
        <f t="shared" si="12"/>
        <v>#VALUE!</v>
      </c>
      <c r="D54" s="19" t="e">
        <f t="shared" si="18"/>
        <v>#VALUE!</v>
      </c>
      <c r="E54" s="19">
        <f t="shared" si="13"/>
        <v>470</v>
      </c>
      <c r="F54" s="19" t="str">
        <f t="shared" si="14"/>
        <v>-</v>
      </c>
      <c r="G54" s="19">
        <f t="shared" si="15"/>
        <v>470</v>
      </c>
      <c r="H54" s="19" t="str">
        <f t="shared" si="16"/>
        <v>-</v>
      </c>
      <c r="I54" s="19" t="e">
        <f t="shared" si="17"/>
        <v>#VALUE!</v>
      </c>
    </row>
    <row r="55" spans="3:9" x14ac:dyDescent="0.25">
      <c r="C55" s="19" t="e">
        <f t="shared" si="12"/>
        <v>#VALUE!</v>
      </c>
      <c r="D55" s="19" t="e">
        <f t="shared" si="18"/>
        <v>#VALUE!</v>
      </c>
      <c r="E55" s="19">
        <f t="shared" si="13"/>
        <v>470</v>
      </c>
      <c r="F55" s="19" t="str">
        <f t="shared" si="14"/>
        <v>-</v>
      </c>
      <c r="G55" s="19">
        <f t="shared" si="15"/>
        <v>470</v>
      </c>
      <c r="H55" s="19" t="str">
        <f t="shared" si="16"/>
        <v>-</v>
      </c>
      <c r="I55" s="19" t="e">
        <f t="shared" si="17"/>
        <v>#VALUE!</v>
      </c>
    </row>
    <row r="56" spans="3:9" x14ac:dyDescent="0.25">
      <c r="C56" s="19" t="e">
        <f t="shared" si="12"/>
        <v>#VALUE!</v>
      </c>
      <c r="D56" s="19" t="e">
        <f t="shared" si="18"/>
        <v>#VALUE!</v>
      </c>
      <c r="E56" s="19">
        <f t="shared" si="13"/>
        <v>470</v>
      </c>
      <c r="F56" s="19" t="str">
        <f t="shared" si="14"/>
        <v>-</v>
      </c>
      <c r="G56" s="19">
        <f t="shared" si="15"/>
        <v>470</v>
      </c>
      <c r="H56" s="19" t="str">
        <f t="shared" si="16"/>
        <v>-</v>
      </c>
      <c r="I56" s="19" t="e">
        <f t="shared" si="17"/>
        <v>#VALUE!</v>
      </c>
    </row>
  </sheetData>
  <mergeCells count="10">
    <mergeCell ref="T2:U2"/>
    <mergeCell ref="L7:L8"/>
    <mergeCell ref="N7:N8"/>
    <mergeCell ref="M7:M8"/>
    <mergeCell ref="C31:D31"/>
    <mergeCell ref="E31:F31"/>
    <mergeCell ref="C30:J30"/>
    <mergeCell ref="G31:H31"/>
    <mergeCell ref="D2:O2"/>
    <mergeCell ref="C3:P3"/>
  </mergeCells>
  <pageMargins left="0.25" right="0.25" top="0.75" bottom="0.75" header="0.3" footer="0.3"/>
  <pageSetup paperSize="9" scale="87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LISTE!$B$8:$B$12</xm:f>
          </x14:formula1>
          <xm:sqref>K9:K18</xm:sqref>
        </x14:dataValidation>
        <x14:dataValidation type="list" allowBlank="1" showInputMessage="1" showErrorMessage="1">
          <x14:formula1>
            <xm:f>LISTE!$B$14:$B$15</xm:f>
          </x14:formula1>
          <xm:sqref>M9:M18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7:H32"/>
  <sheetViews>
    <sheetView topLeftCell="A4" workbookViewId="0">
      <selection activeCell="C19" sqref="C19"/>
    </sheetView>
  </sheetViews>
  <sheetFormatPr baseColWidth="10" defaultRowHeight="15" x14ac:dyDescent="0.25"/>
  <cols>
    <col min="2" max="2" width="46.85546875" customWidth="1"/>
    <col min="3" max="3" width="29.42578125" customWidth="1"/>
    <col min="4" max="4" width="24.28515625" customWidth="1"/>
    <col min="5" max="5" width="24.85546875" customWidth="1"/>
    <col min="6" max="6" width="42.85546875" bestFit="1" customWidth="1"/>
    <col min="10" max="10" width="34.42578125" bestFit="1" customWidth="1"/>
  </cols>
  <sheetData>
    <row r="7" spans="2:8" x14ac:dyDescent="0.25">
      <c r="B7" s="3" t="s">
        <v>22</v>
      </c>
      <c r="C7" s="3" t="s">
        <v>78</v>
      </c>
      <c r="D7" s="3" t="s">
        <v>23</v>
      </c>
      <c r="E7" s="3" t="s">
        <v>24</v>
      </c>
      <c r="F7" s="3" t="s">
        <v>77</v>
      </c>
    </row>
    <row r="8" spans="2:8" x14ac:dyDescent="0.25">
      <c r="B8" s="2">
        <v>60</v>
      </c>
      <c r="C8" s="2" t="s">
        <v>79</v>
      </c>
      <c r="D8" t="s">
        <v>64</v>
      </c>
      <c r="E8" s="24" t="s">
        <v>76</v>
      </c>
      <c r="F8" t="s">
        <v>75</v>
      </c>
    </row>
    <row r="9" spans="2:8" x14ac:dyDescent="0.25">
      <c r="B9" s="2">
        <v>70</v>
      </c>
      <c r="C9" s="2" t="s">
        <v>80</v>
      </c>
      <c r="D9" t="s">
        <v>65</v>
      </c>
      <c r="E9" s="24" t="s">
        <v>74</v>
      </c>
      <c r="F9" t="s">
        <v>73</v>
      </c>
    </row>
    <row r="10" spans="2:8" x14ac:dyDescent="0.25">
      <c r="B10" s="2">
        <v>80</v>
      </c>
      <c r="C10" s="2" t="s">
        <v>81</v>
      </c>
      <c r="D10" t="s">
        <v>66</v>
      </c>
      <c r="E10" s="24" t="s">
        <v>74</v>
      </c>
      <c r="F10" t="s">
        <v>73</v>
      </c>
    </row>
    <row r="11" spans="2:8" x14ac:dyDescent="0.25">
      <c r="B11" s="2">
        <v>100</v>
      </c>
      <c r="C11" s="2" t="s">
        <v>82</v>
      </c>
      <c r="D11" t="s">
        <v>67</v>
      </c>
      <c r="E11" s="24" t="s">
        <v>72</v>
      </c>
      <c r="F11" t="s">
        <v>71</v>
      </c>
    </row>
    <row r="12" spans="2:8" x14ac:dyDescent="0.25">
      <c r="B12" s="2">
        <v>120</v>
      </c>
      <c r="C12" s="2" t="s">
        <v>83</v>
      </c>
      <c r="D12" t="s">
        <v>68</v>
      </c>
      <c r="E12" s="24" t="s">
        <v>70</v>
      </c>
      <c r="F12" t="s">
        <v>69</v>
      </c>
    </row>
    <row r="14" spans="2:8" x14ac:dyDescent="0.25">
      <c r="B14" t="s">
        <v>122</v>
      </c>
      <c r="C14" s="68" t="s">
        <v>127</v>
      </c>
      <c r="D14">
        <v>15</v>
      </c>
    </row>
    <row r="15" spans="2:8" x14ac:dyDescent="0.25">
      <c r="B15" t="s">
        <v>123</v>
      </c>
      <c r="D15">
        <v>30</v>
      </c>
      <c r="H15" s="24"/>
    </row>
    <row r="16" spans="2:8" x14ac:dyDescent="0.25">
      <c r="D16">
        <v>45</v>
      </c>
      <c r="H16" s="24"/>
    </row>
    <row r="17" spans="2:8" x14ac:dyDescent="0.25">
      <c r="H17" s="24"/>
    </row>
    <row r="18" spans="2:8" x14ac:dyDescent="0.25">
      <c r="H18" s="24"/>
    </row>
    <row r="21" spans="2:8" x14ac:dyDescent="0.25">
      <c r="B21" s="3" t="s">
        <v>25</v>
      </c>
      <c r="C21" s="3"/>
    </row>
    <row r="22" spans="2:8" x14ac:dyDescent="0.25">
      <c r="B22" t="s">
        <v>17</v>
      </c>
      <c r="D22" t="s">
        <v>16</v>
      </c>
      <c r="E22" t="s">
        <v>63</v>
      </c>
    </row>
    <row r="23" spans="2:8" x14ac:dyDescent="0.25">
      <c r="B23" t="s">
        <v>26</v>
      </c>
      <c r="D23" t="s">
        <v>27</v>
      </c>
    </row>
    <row r="24" spans="2:8" x14ac:dyDescent="0.25">
      <c r="B24" t="s">
        <v>32</v>
      </c>
      <c r="D24" t="s">
        <v>33</v>
      </c>
    </row>
    <row r="25" spans="2:8" x14ac:dyDescent="0.25">
      <c r="B25" t="s">
        <v>34</v>
      </c>
      <c r="D25" t="s">
        <v>35</v>
      </c>
    </row>
    <row r="26" spans="2:8" x14ac:dyDescent="0.25">
      <c r="B26" t="s">
        <v>42</v>
      </c>
      <c r="D26" t="s">
        <v>43</v>
      </c>
    </row>
    <row r="27" spans="2:8" x14ac:dyDescent="0.25">
      <c r="B27" t="s">
        <v>45</v>
      </c>
      <c r="D27" t="s">
        <v>46</v>
      </c>
    </row>
    <row r="28" spans="2:8" x14ac:dyDescent="0.25">
      <c r="B28" t="s">
        <v>48</v>
      </c>
      <c r="D28" t="s">
        <v>47</v>
      </c>
    </row>
    <row r="29" spans="2:8" x14ac:dyDescent="0.25">
      <c r="B29" t="s">
        <v>49</v>
      </c>
      <c r="D29" t="s">
        <v>50</v>
      </c>
    </row>
    <row r="30" spans="2:8" x14ac:dyDescent="0.25">
      <c r="B30" t="s">
        <v>51</v>
      </c>
      <c r="D30" t="s">
        <v>52</v>
      </c>
    </row>
    <row r="31" spans="2:8" x14ac:dyDescent="0.25">
      <c r="B31" t="s">
        <v>53</v>
      </c>
      <c r="D31" t="s">
        <v>54</v>
      </c>
    </row>
    <row r="32" spans="2:8" x14ac:dyDescent="0.25">
      <c r="B32" t="s">
        <v>55</v>
      </c>
      <c r="D32" t="s">
        <v>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Recap</vt:lpstr>
      <vt:lpstr>Quincallerie</vt:lpstr>
      <vt:lpstr>Support Renvoi</vt:lpstr>
      <vt:lpstr>Groupe Moteur</vt:lpstr>
      <vt:lpstr>Support Corniere</vt:lpstr>
      <vt:lpstr>Support V</vt:lpstr>
      <vt:lpstr>LISTE</vt:lpstr>
      <vt:lpstr>'Groupe Moteur'!Zone_d_impression</vt:lpstr>
      <vt:lpstr>'Support Corniere'!Zone_d_impression</vt:lpstr>
      <vt:lpstr>'Support Renvoi'!Zone_d_impression</vt:lpstr>
      <vt:lpstr>'Support V'!Zone_d_impression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ledevehat</dc:creator>
  <cp:lastModifiedBy>Pascal Richard</cp:lastModifiedBy>
  <cp:lastPrinted>2018-09-25T07:02:56Z</cp:lastPrinted>
  <dcterms:created xsi:type="dcterms:W3CDTF">2018-09-14T06:37:45Z</dcterms:created>
  <dcterms:modified xsi:type="dcterms:W3CDTF">2018-09-27T12:19:19Z</dcterms:modified>
</cp:coreProperties>
</file>