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202300"/>
  <mc:AlternateContent xmlns:mc="http://schemas.openxmlformats.org/markup-compatibility/2006">
    <mc:Choice Requires="x15">
      <x15ac:absPath xmlns:x15ac="http://schemas.microsoft.com/office/spreadsheetml/2010/11/ac" url="F:\#Finance#\Risk Management\"/>
    </mc:Choice>
  </mc:AlternateContent>
  <xr:revisionPtr revIDLastSave="0" documentId="13_ncr:1_{49149A70-231D-40BD-BC6E-A2474B6BDA1D}" xr6:coauthVersionLast="47" xr6:coauthVersionMax="47" xr10:uidLastSave="{00000000-0000-0000-0000-000000000000}"/>
  <bookViews>
    <workbookView xWindow="-120" yWindow="-120" windowWidth="29040" windowHeight="17640" tabRatio="710" firstSheet="3" activeTab="4" xr2:uid="{453DA50F-A818-4A3E-AA0F-3921CE7D1356}"/>
  </bookViews>
  <sheets>
    <sheet name="Sheet1" sheetId="6" r:id="rId1"/>
    <sheet name="Risk Reward" sheetId="1" r:id="rId2"/>
    <sheet name="Test Purchases" sheetId="20" r:id="rId3"/>
    <sheet name="WAC for 1 asset" sheetId="21" r:id="rId4"/>
    <sheet name="Spot Transactions" sheetId="14"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2" i="14" l="1" a="1"/>
  <c r="N2" i="14" s="1"/>
  <c r="M3" i="14"/>
  <c r="N3" i="14" s="1" a="1"/>
  <c r="N3" i="14" s="1"/>
  <c r="M4" i="14"/>
  <c r="N4" i="14" s="1" a="1"/>
  <c r="N4" i="14" s="1"/>
  <c r="M5" i="14"/>
  <c r="M6" i="14"/>
  <c r="M7" i="14"/>
  <c r="M8" i="14"/>
  <c r="M9" i="14"/>
  <c r="M10" i="14"/>
  <c r="M11" i="14"/>
  <c r="K10" i="14"/>
  <c r="K11" i="14"/>
  <c r="N12" i="21"/>
  <c r="O20" i="21"/>
  <c r="M12" i="21"/>
  <c r="M13" i="21"/>
  <c r="M14" i="21"/>
  <c r="M15" i="21"/>
  <c r="M16" i="21"/>
  <c r="M17" i="21"/>
  <c r="M18" i="21"/>
  <c r="M19" i="21"/>
  <c r="M20" i="21"/>
  <c r="M21" i="21"/>
  <c r="I21" i="21"/>
  <c r="J21" i="21" s="1"/>
  <c r="H21" i="21"/>
  <c r="G21" i="21"/>
  <c r="I20" i="21"/>
  <c r="K20" i="21" s="1"/>
  <c r="H20" i="21"/>
  <c r="G20" i="21"/>
  <c r="L20" i="21" s="1"/>
  <c r="O19" i="21"/>
  <c r="I19" i="21"/>
  <c r="K19" i="21" s="1"/>
  <c r="H19" i="21"/>
  <c r="G19" i="21"/>
  <c r="L19" i="21" s="1"/>
  <c r="I18" i="21"/>
  <c r="K18" i="21" s="1"/>
  <c r="H18" i="21"/>
  <c r="G18" i="21"/>
  <c r="O17" i="21"/>
  <c r="I17" i="21"/>
  <c r="K17" i="21" s="1"/>
  <c r="H17" i="21"/>
  <c r="G17" i="21"/>
  <c r="L17" i="21" s="1"/>
  <c r="O16" i="21"/>
  <c r="I16" i="21"/>
  <c r="K16" i="21" s="1"/>
  <c r="H16" i="21"/>
  <c r="G16" i="21"/>
  <c r="L16" i="21" s="1"/>
  <c r="I15" i="21"/>
  <c r="K15" i="21" s="1"/>
  <c r="H15" i="21"/>
  <c r="G15" i="21"/>
  <c r="O14" i="21"/>
  <c r="L14" i="21"/>
  <c r="I14" i="21"/>
  <c r="K14" i="21" s="1"/>
  <c r="H14" i="21"/>
  <c r="G14" i="21"/>
  <c r="O13" i="21"/>
  <c r="I13" i="21"/>
  <c r="K13" i="21" s="1"/>
  <c r="H13" i="21"/>
  <c r="G13" i="21"/>
  <c r="L13" i="21" s="1"/>
  <c r="O12" i="21"/>
  <c r="L12" i="21"/>
  <c r="K12" i="21"/>
  <c r="I12" i="21"/>
  <c r="J12" i="21" s="1"/>
  <c r="H12" i="21"/>
  <c r="G12" i="21"/>
  <c r="G11" i="14"/>
  <c r="H11" i="14"/>
  <c r="I11" i="14"/>
  <c r="G10" i="14"/>
  <c r="L10" i="14" s="1"/>
  <c r="H10" i="14"/>
  <c r="S10" i="14"/>
  <c r="I10" i="14"/>
  <c r="O3" i="14"/>
  <c r="O4" i="14"/>
  <c r="O6" i="14"/>
  <c r="O7" i="14"/>
  <c r="O9" i="14"/>
  <c r="O10" i="14"/>
  <c r="O12" i="14"/>
  <c r="O13" i="14"/>
  <c r="O14" i="14"/>
  <c r="O15" i="14"/>
  <c r="O16" i="14"/>
  <c r="N12" i="14" a="1"/>
  <c r="N12" i="14" s="1"/>
  <c r="N13" i="14" a="1"/>
  <c r="N13" i="14" s="1"/>
  <c r="N14" i="14" a="1"/>
  <c r="N14" i="14" s="1"/>
  <c r="G9" i="14"/>
  <c r="L9" i="14" s="1"/>
  <c r="H9" i="14"/>
  <c r="I9" i="14"/>
  <c r="K9" i="14" s="1"/>
  <c r="Q9" i="14"/>
  <c r="M12" i="14"/>
  <c r="M13" i="14"/>
  <c r="M14" i="14"/>
  <c r="H8" i="14"/>
  <c r="S3" i="14"/>
  <c r="S4" i="14"/>
  <c r="S6" i="14"/>
  <c r="S7" i="14"/>
  <c r="S9" i="14"/>
  <c r="S2" i="14"/>
  <c r="O2" i="14"/>
  <c r="M2" i="14"/>
  <c r="P2" i="14"/>
  <c r="I8" i="14"/>
  <c r="K8" i="14" s="1"/>
  <c r="Q3" i="14"/>
  <c r="Q4" i="14"/>
  <c r="Q6" i="14"/>
  <c r="Q2" i="14"/>
  <c r="G2" i="14"/>
  <c r="H2" i="14"/>
  <c r="I2" i="14"/>
  <c r="J2" i="14" s="1"/>
  <c r="K2" i="14"/>
  <c r="L2" i="14"/>
  <c r="E6" i="21"/>
  <c r="F2" i="21"/>
  <c r="H3" i="21"/>
  <c r="H5" i="21"/>
  <c r="H2" i="21"/>
  <c r="E5" i="21"/>
  <c r="E3" i="21"/>
  <c r="E2" i="21"/>
  <c r="F8" i="20"/>
  <c r="F9" i="20" s="1"/>
  <c r="G9" i="20" s="1"/>
  <c r="I9" i="20" s="1"/>
  <c r="D3" i="20"/>
  <c r="C3" i="20"/>
  <c r="T8" i="20" s="1"/>
  <c r="F3" i="20"/>
  <c r="Q7" i="20" a="1"/>
  <c r="Q7" i="20" s="1"/>
  <c r="T7" i="20"/>
  <c r="E15" i="20"/>
  <c r="E14" i="20"/>
  <c r="E8" i="20"/>
  <c r="E9" i="20"/>
  <c r="E10" i="20"/>
  <c r="E3" i="20" s="1"/>
  <c r="E11" i="20"/>
  <c r="E12" i="20"/>
  <c r="E13" i="20"/>
  <c r="H3" i="14"/>
  <c r="H4" i="14"/>
  <c r="H5" i="14"/>
  <c r="H6" i="14"/>
  <c r="H7" i="14"/>
  <c r="G4" i="14"/>
  <c r="L4" i="14" s="1"/>
  <c r="G5" i="14"/>
  <c r="G6" i="14"/>
  <c r="G7" i="14"/>
  <c r="G8" i="14"/>
  <c r="G3" i="14"/>
  <c r="I6" i="14"/>
  <c r="J6" i="14" s="1"/>
  <c r="I7" i="14"/>
  <c r="J7" i="14" s="1"/>
  <c r="X7" i="14"/>
  <c r="W12" i="14"/>
  <c r="X8" i="14"/>
  <c r="I5" i="14"/>
  <c r="K5" i="14" s="1"/>
  <c r="I4" i="14"/>
  <c r="K4" i="14" s="1"/>
  <c r="I3" i="14"/>
  <c r="K3" i="14" s="1"/>
  <c r="E22" i="1"/>
  <c r="E21" i="1"/>
  <c r="L20" i="1"/>
  <c r="K20" i="1"/>
  <c r="E20" i="1"/>
  <c r="L19" i="1"/>
  <c r="K19" i="1"/>
  <c r="E19" i="1"/>
  <c r="L18" i="1"/>
  <c r="K18" i="1"/>
  <c r="E18" i="1"/>
  <c r="L17" i="1"/>
  <c r="K17" i="1"/>
  <c r="E17" i="1"/>
  <c r="L16" i="1"/>
  <c r="K16" i="1"/>
  <c r="E16" i="1"/>
  <c r="L15" i="1"/>
  <c r="K15" i="1"/>
  <c r="E15" i="1"/>
  <c r="L14" i="1"/>
  <c r="K14" i="1"/>
  <c r="E14" i="1"/>
  <c r="L13" i="1"/>
  <c r="K13" i="1"/>
  <c r="E13" i="1"/>
  <c r="L12" i="1"/>
  <c r="K12" i="1"/>
  <c r="E12" i="1"/>
  <c r="L11" i="1"/>
  <c r="K11" i="1"/>
  <c r="E11" i="1"/>
  <c r="L10" i="1"/>
  <c r="K10" i="1"/>
  <c r="E10" i="1"/>
  <c r="L9" i="1"/>
  <c r="K9" i="1"/>
  <c r="E9" i="1"/>
  <c r="L8" i="1"/>
  <c r="K8" i="1"/>
  <c r="E8" i="1"/>
  <c r="L7" i="1"/>
  <c r="K7" i="1"/>
  <c r="E7" i="1"/>
  <c r="L6" i="1"/>
  <c r="K6" i="1"/>
  <c r="E6" i="1"/>
  <c r="L5" i="1"/>
  <c r="K5" i="1"/>
  <c r="E5" i="1"/>
  <c r="L4" i="1"/>
  <c r="K4" i="1"/>
  <c r="E4" i="1"/>
  <c r="N6" i="14" l="1" a="1"/>
  <c r="N6" i="14" s="1"/>
  <c r="N9" i="14" a="1"/>
  <c r="N9" i="14" s="1"/>
  <c r="N11" i="14" a="1"/>
  <c r="N11" i="14" s="1"/>
  <c r="N7" i="14" a="1"/>
  <c r="N7" i="14" s="1"/>
  <c r="N8" i="14" s="1" a="1"/>
  <c r="N8" i="14" s="1"/>
  <c r="N5" i="14" a="1"/>
  <c r="N5" i="14" s="1"/>
  <c r="O5" i="14" s="1"/>
  <c r="G2" i="21"/>
  <c r="N13" i="21"/>
  <c r="N14" i="21" s="1"/>
  <c r="N15" i="21" s="1"/>
  <c r="J15" i="21"/>
  <c r="L15" i="21" s="1"/>
  <c r="J13" i="21"/>
  <c r="L21" i="21"/>
  <c r="J17" i="21"/>
  <c r="J19" i="21"/>
  <c r="J14" i="21"/>
  <c r="J16" i="21"/>
  <c r="J18" i="21"/>
  <c r="L18" i="21" s="1"/>
  <c r="J20" i="21"/>
  <c r="K21" i="21"/>
  <c r="J11" i="14"/>
  <c r="L11" i="14"/>
  <c r="J10" i="14"/>
  <c r="P3" i="14"/>
  <c r="P4" i="14" s="1"/>
  <c r="P5" i="14" s="1"/>
  <c r="P6" i="14" s="1"/>
  <c r="P7" i="14" s="1"/>
  <c r="P8" i="14" s="1"/>
  <c r="Q8" i="14" s="1"/>
  <c r="J9" i="14"/>
  <c r="J8" i="14"/>
  <c r="F3" i="21"/>
  <c r="F4" i="21" s="1"/>
  <c r="F5" i="21" s="1"/>
  <c r="F6" i="21" s="1"/>
  <c r="L3" i="14"/>
  <c r="L6" i="14"/>
  <c r="L7" i="14"/>
  <c r="G3" i="20"/>
  <c r="T9" i="20"/>
  <c r="H8" i="20"/>
  <c r="H9" i="20"/>
  <c r="G8" i="20"/>
  <c r="I8" i="20" s="1"/>
  <c r="F10" i="20"/>
  <c r="K7" i="14"/>
  <c r="K6" i="14"/>
  <c r="J3" i="14"/>
  <c r="J4" i="14"/>
  <c r="J5" i="14"/>
  <c r="L5" i="14" s="1"/>
  <c r="N10" i="14" l="1" a="1"/>
  <c r="N10" i="14" s="1"/>
  <c r="O15" i="21"/>
  <c r="N16" i="21"/>
  <c r="N17" i="21" s="1"/>
  <c r="N18" i="21" s="1"/>
  <c r="O18" i="21" s="1"/>
  <c r="O8" i="14"/>
  <c r="P9" i="14"/>
  <c r="S5" i="14"/>
  <c r="L8" i="14"/>
  <c r="Q7" i="14"/>
  <c r="Q5" i="14"/>
  <c r="G3" i="21"/>
  <c r="G4" i="21" s="1"/>
  <c r="H10" i="20"/>
  <c r="G10" i="20"/>
  <c r="I10" i="20" s="1"/>
  <c r="F11" i="20"/>
  <c r="N19" i="21" l="1"/>
  <c r="N20" i="21" s="1"/>
  <c r="N21" i="21" s="1"/>
  <c r="O21" i="21" s="1"/>
  <c r="W2" i="14"/>
  <c r="S8" i="14"/>
  <c r="G5" i="21"/>
  <c r="G6" i="21" s="1"/>
  <c r="H6" i="21" s="1"/>
  <c r="H4" i="21"/>
  <c r="G11" i="20"/>
  <c r="I11" i="20" s="1"/>
  <c r="H11" i="20"/>
  <c r="F12" i="20"/>
  <c r="W16" i="14"/>
  <c r="O11" i="14" l="1"/>
  <c r="S11" i="14"/>
  <c r="F13" i="20"/>
  <c r="F14" i="20" s="1"/>
  <c r="H12" i="20"/>
  <c r="G12" i="20"/>
  <c r="I12" i="20" s="1"/>
  <c r="H13" i="20" l="1"/>
  <c r="G13" i="20"/>
  <c r="F15" i="20"/>
  <c r="H14" i="20"/>
  <c r="G14" i="20"/>
  <c r="I14" i="20" s="1"/>
  <c r="G15" i="20" l="1"/>
  <c r="I15" i="20" s="1"/>
  <c r="H15" i="20"/>
  <c r="Q8" i="20" l="1"/>
  <c r="Q9" i="20"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<sst xmlns="http://schemas.openxmlformats.org/spreadsheetml/2006/main" count="271" uniqueCount="189">
  <si>
    <t>Retour nécessaire %</t>
  </si>
  <si>
    <t>Perte %</t>
  </si>
  <si>
    <t>Reward</t>
  </si>
  <si>
    <t>Risk</t>
  </si>
  <si>
    <t>Winrate %</t>
  </si>
  <si>
    <t>Trade</t>
  </si>
  <si>
    <t>Loss Rate %</t>
  </si>
  <si>
    <t>Date</t>
  </si>
  <si>
    <t>Gain/Prix</t>
  </si>
  <si>
    <t>Exemple de Stratégie Basée sur le Risk/Reward</t>
  </si>
  <si>
    <t>Cas 1 : R/R = 1.5 (Stratégie prudente)</t>
  </si>
  <si>
    <r>
      <t>Objectif 1 (50%)</t>
    </r>
    <r>
      <rPr>
        <sz val="11"/>
        <color theme="1"/>
        <rFont val="Aptos Narrow"/>
        <family val="2"/>
        <scheme val="minor"/>
      </rPr>
      <t xml:space="preserve"> : Vendre 50% de vos coins pour sécuriser des gains rapides.</t>
    </r>
  </si>
  <si>
    <r>
      <t>Objectif 2 (30%)</t>
    </r>
    <r>
      <rPr>
        <sz val="11"/>
        <color theme="1"/>
        <rFont val="Aptos Narrow"/>
        <family val="2"/>
        <scheme val="minor"/>
      </rPr>
      <t xml:space="preserve"> : Vendre 30% pour profiter d’une hausse modérée.</t>
    </r>
  </si>
  <si>
    <r>
      <t>Objectif 3 (20%)</t>
    </r>
    <r>
      <rPr>
        <sz val="11"/>
        <color theme="1"/>
        <rFont val="Aptos Narrow"/>
        <family val="2"/>
        <scheme val="minor"/>
      </rPr>
      <t xml:space="preserve"> : Garder 20% pour tenter de maximiser les profits.</t>
    </r>
  </si>
  <si>
    <t>Cas 2 : R/R = 2.5 (Stratégie équilibrée)</t>
  </si>
  <si>
    <r>
      <t>Objectif 1 (30%)</t>
    </r>
    <r>
      <rPr>
        <sz val="11"/>
        <color theme="1"/>
        <rFont val="Aptos Narrow"/>
        <family val="2"/>
        <scheme val="minor"/>
      </rPr>
      <t xml:space="preserve"> : Vendre 30% de vos coins pour réduire les risques.</t>
    </r>
  </si>
  <si>
    <r>
      <t>Objectif 2 (40%)</t>
    </r>
    <r>
      <rPr>
        <sz val="11"/>
        <color theme="1"/>
        <rFont val="Aptos Narrow"/>
        <family val="2"/>
        <scheme val="minor"/>
      </rPr>
      <t xml:space="preserve"> : Vendre 40% pour capturer une hausse significative.</t>
    </r>
  </si>
  <si>
    <r>
      <t>Objectif 3 (30%)</t>
    </r>
    <r>
      <rPr>
        <sz val="11"/>
        <color theme="1"/>
        <rFont val="Aptos Narrow"/>
        <family val="2"/>
        <scheme val="minor"/>
      </rPr>
      <t xml:space="preserve"> : Garder 30% pour maximiser les profits.</t>
    </r>
  </si>
  <si>
    <t>Cas 3 : R/R = 4.0 (Stratégie ambitieuse)</t>
  </si>
  <si>
    <r>
      <t>Objectif 1 (20%)</t>
    </r>
    <r>
      <rPr>
        <sz val="11"/>
        <color theme="1"/>
        <rFont val="Aptos Narrow"/>
        <family val="2"/>
        <scheme val="minor"/>
      </rPr>
      <t xml:space="preserve"> : Vendre 20% de vos coins pour limiter le risque initial.</t>
    </r>
  </si>
  <si>
    <r>
      <t>Objectif 2 (30%)</t>
    </r>
    <r>
      <rPr>
        <sz val="11"/>
        <color theme="1"/>
        <rFont val="Aptos Narrow"/>
        <family val="2"/>
        <scheme val="minor"/>
      </rPr>
      <t xml:space="preserve"> : Vendre 30% pour capturer une hausse intermédiaire.</t>
    </r>
  </si>
  <si>
    <r>
      <t>Objectif 3 (50%)</t>
    </r>
    <r>
      <rPr>
        <sz val="11"/>
        <color theme="1"/>
        <rFont val="Aptos Narrow"/>
        <family val="2"/>
        <scheme val="minor"/>
      </rPr>
      <t xml:space="preserve"> : Garder 50% pour profiter d’un gain maximal.</t>
    </r>
  </si>
  <si>
    <t>Objectifs 1</t>
  </si>
  <si>
    <t>Objectifs 2</t>
  </si>
  <si>
    <t>Objectifs 3</t>
  </si>
  <si>
    <r>
      <t>Définition</t>
    </r>
    <r>
      <rPr>
        <sz val="11"/>
        <color theme="1"/>
        <rFont val="Aptos Narrow"/>
        <family val="2"/>
        <scheme val="minor"/>
      </rPr>
      <t xml:space="preserve"> : C’est le montant brut que vous gagnez en vendant vos coins à un prix cible donné, avant de prendre en compte vos frais et le montant initial investi.</t>
    </r>
  </si>
  <si>
    <t>Profit &amp; Loss</t>
  </si>
  <si>
    <r>
      <t>Définition</t>
    </r>
    <r>
      <rPr>
        <sz val="11"/>
        <color theme="1"/>
        <rFont val="Aptos Narrow"/>
        <family val="2"/>
        <scheme val="minor"/>
      </rPr>
      <t xml:space="preserve"> : C’est le bénéfice ou la perte nette réalisée après avoir déduit votre investissement initial et les frais.</t>
    </r>
  </si>
  <si>
    <t>Type</t>
  </si>
  <si>
    <t>Buy</t>
  </si>
  <si>
    <t>Category/Narrative</t>
  </si>
  <si>
    <t>AI &amp; Big Data</t>
  </si>
  <si>
    <t>DeFi</t>
  </si>
  <si>
    <t>Gaming </t>
  </si>
  <si>
    <t>DePIN</t>
  </si>
  <si>
    <t>Real World Assets</t>
  </si>
  <si>
    <t>AVAX</t>
  </si>
  <si>
    <t>Chainlink</t>
  </si>
  <si>
    <t>Hedera</t>
  </si>
  <si>
    <t>Uniswap</t>
  </si>
  <si>
    <t>Aave</t>
  </si>
  <si>
    <t>Dai</t>
  </si>
  <si>
    <t>NEAR</t>
  </si>
  <si>
    <t>ICP</t>
  </si>
  <si>
    <t>RENDER</t>
  </si>
  <si>
    <t>FET</t>
  </si>
  <si>
    <t>TAO</t>
  </si>
  <si>
    <t>GRT</t>
  </si>
  <si>
    <t>FIL</t>
  </si>
  <si>
    <t>THETA</t>
  </si>
  <si>
    <t>Arweave</t>
  </si>
  <si>
    <t>IOTA</t>
  </si>
  <si>
    <t>HNT</t>
  </si>
  <si>
    <t>AKT</t>
  </si>
  <si>
    <t>VEChain</t>
  </si>
  <si>
    <t>OM (mantra)</t>
  </si>
  <si>
    <t>Ondo</t>
  </si>
  <si>
    <t>MDR</t>
  </si>
  <si>
    <t>QNT</t>
  </si>
  <si>
    <t>XDC</t>
  </si>
  <si>
    <t>OM</t>
  </si>
  <si>
    <t>STX</t>
  </si>
  <si>
    <t>imx</t>
  </si>
  <si>
    <t>floki</t>
  </si>
  <si>
    <t>sand</t>
  </si>
  <si>
    <t>gala</t>
  </si>
  <si>
    <t>beam</t>
  </si>
  <si>
    <t>egld</t>
  </si>
  <si>
    <t>Virtual</t>
  </si>
  <si>
    <t>AIOZ</t>
  </si>
  <si>
    <t>Qubic</t>
  </si>
  <si>
    <t>TP 1</t>
  </si>
  <si>
    <t>TP2</t>
  </si>
  <si>
    <t>TP3</t>
  </si>
  <si>
    <t>ZE 1</t>
  </si>
  <si>
    <t>ZE2</t>
  </si>
  <si>
    <t>6-6.5</t>
  </si>
  <si>
    <t>4-5</t>
  </si>
  <si>
    <t>12</t>
  </si>
  <si>
    <t>15</t>
  </si>
  <si>
    <t>18-20</t>
  </si>
  <si>
    <t>SL1</t>
  </si>
  <si>
    <t>SL2</t>
  </si>
  <si>
    <t>Alerte de Prix</t>
  </si>
  <si>
    <t>Ordres Limites</t>
  </si>
  <si>
    <t>Achat : $6.50, $5.00, $4.00.</t>
  </si>
  <si>
    <t>Vente : $12.00, $15.00, $18.00</t>
  </si>
  <si>
    <t>Buy Limit</t>
  </si>
  <si>
    <t>Sell Limit</t>
  </si>
  <si>
    <t>Trailing Stop</t>
  </si>
  <si>
    <t>12-20</t>
  </si>
  <si>
    <t>4-6</t>
  </si>
  <si>
    <t>It’s generally a good idea to have a fixed risk-reward ratio (R:R) that aligns with your overall trading strategy, but it doesn't always have to be the same for every individual trade. Here’s why:</t>
  </si>
  <si>
    <r>
      <t>1. Fixed R:R as a Guideline</t>
    </r>
    <r>
      <rPr>
        <sz val="11"/>
        <color theme="1"/>
        <rFont val="Aptos Narrow"/>
        <family val="2"/>
        <scheme val="minor"/>
      </rPr>
      <t>: Having a fixed risk-reward ratio, like 1:2 (risking 1 unit to make 2 units), helps you maintain consistency in your trading approach. It provides a clear framework for evaluating trades before you enter them, helping to prevent emotional decision-making and ensuring you’re aiming for profitable setups over the long term.</t>
    </r>
  </si>
  <si>
    <r>
      <t>2. Adjusting R:R Based on Market Conditions</t>
    </r>
    <r>
      <rPr>
        <sz val="11"/>
        <color theme="1"/>
        <rFont val="Aptos Narrow"/>
        <family val="2"/>
        <scheme val="minor"/>
      </rPr>
      <t>: However, depending on the trade setup and market conditions, you may choose to adjust your risk-reward ratio. For example:</t>
    </r>
  </si>
  <si>
    <r>
      <t>Volatility</t>
    </r>
    <r>
      <rPr>
        <sz val="11"/>
        <color theme="1"/>
        <rFont val="Aptos Narrow"/>
        <family val="2"/>
        <scheme val="minor"/>
      </rPr>
      <t>: In highly volatile markets, you might opt for a wider R:R (e.g., 1:3 or 1:4) to account for larger price swings.</t>
    </r>
  </si>
  <si>
    <r>
      <t>Trade Quality</t>
    </r>
    <r>
      <rPr>
        <sz val="11"/>
        <color theme="1"/>
        <rFont val="Aptos Narrow"/>
        <family val="2"/>
        <scheme val="minor"/>
      </rPr>
      <t>: If you’re confident in a particular setup and the risk is relatively low, you might adjust to a more favorable risk-reward ratio.</t>
    </r>
  </si>
  <si>
    <r>
      <t>Trade Type</t>
    </r>
    <r>
      <rPr>
        <sz val="11"/>
        <color theme="1"/>
        <rFont val="Aptos Narrow"/>
        <family val="2"/>
        <scheme val="minor"/>
      </rPr>
      <t>: For scalping, your risk-reward ratio might be smaller (like 1:1), while for swing or position trading, it could be higher (1:3 or more).</t>
    </r>
  </si>
  <si>
    <r>
      <t>3. Flexibility Within a Framework</t>
    </r>
    <r>
      <rPr>
        <sz val="11"/>
        <color theme="1"/>
        <rFont val="Aptos Narrow"/>
        <family val="2"/>
        <scheme val="minor"/>
      </rPr>
      <t>: The key is to maintain flexibility within your overall trading plan. If you’re adjusting the risk-reward ratio for each trade, ensure it’s based on a systematic approach and consistent with your risk tolerance and goals.</t>
    </r>
  </si>
  <si>
    <t>In summary, while a fixed risk-reward ratio can provide a good baseline, it’s okay to adjust it based on the specifics of each trade and the market environment, as long as you have a clear rationale for doing so.</t>
  </si>
  <si>
    <r>
      <t xml:space="preserve">Whether you should use a </t>
    </r>
    <r>
      <rPr>
        <b/>
        <sz val="11"/>
        <color theme="1"/>
        <rFont val="Aptos Narrow"/>
        <family val="2"/>
        <scheme val="minor"/>
      </rPr>
      <t>fixed Risk-Reward (R:R) ratio</t>
    </r>
    <r>
      <rPr>
        <sz val="11"/>
        <color theme="1"/>
        <rFont val="Aptos Narrow"/>
        <family val="2"/>
        <scheme val="minor"/>
      </rPr>
      <t xml:space="preserve"> or let it calculate separately for each trade depends on your trading strategy and goals. Here’s a breakdown of the pros and cons of each approach to help you decide:</t>
    </r>
  </si>
  <si>
    <t>1. Fixed Risk-Reward Ratio</t>
  </si>
  <si>
    <t>Pros:</t>
  </si>
  <si>
    <r>
      <t>Consistency</t>
    </r>
    <r>
      <rPr>
        <sz val="11"/>
        <color theme="1"/>
        <rFont val="Aptos Narrow"/>
        <family val="2"/>
        <scheme val="minor"/>
      </rPr>
      <t xml:space="preserve">: Using a fixed </t>
    </r>
    <r>
      <rPr>
        <b/>
        <sz val="11"/>
        <color theme="1"/>
        <rFont val="Aptos Narrow"/>
        <family val="2"/>
        <scheme val="minor"/>
      </rPr>
      <t>R:R ratio</t>
    </r>
    <r>
      <rPr>
        <sz val="11"/>
        <color theme="1"/>
        <rFont val="Aptos Narrow"/>
        <family val="2"/>
        <scheme val="minor"/>
      </rPr>
      <t xml:space="preserve"> ensures that all your trades follow the same risk management rules, helping you maintain a uniform approach to risk and reward across all trades.</t>
    </r>
  </si>
  <si>
    <r>
      <t>Easier to Manage</t>
    </r>
    <r>
      <rPr>
        <sz val="11"/>
        <color theme="1"/>
        <rFont val="Aptos Narrow"/>
        <family val="2"/>
        <scheme val="minor"/>
      </rPr>
      <t>: You don’t have to adjust calculations for each trade individually. The formulas will be simpler and quicker to apply.</t>
    </r>
  </si>
  <si>
    <r>
      <t>Psychological Clarity</t>
    </r>
    <r>
      <rPr>
        <sz val="11"/>
        <color theme="1"/>
        <rFont val="Aptos Narrow"/>
        <family val="2"/>
        <scheme val="minor"/>
      </rPr>
      <t xml:space="preserve">: A fixed </t>
    </r>
    <r>
      <rPr>
        <b/>
        <sz val="11"/>
        <color theme="1"/>
        <rFont val="Aptos Narrow"/>
        <family val="2"/>
        <scheme val="minor"/>
      </rPr>
      <t>R:R ratio</t>
    </r>
    <r>
      <rPr>
        <sz val="11"/>
        <color theme="1"/>
        <rFont val="Aptos Narrow"/>
        <family val="2"/>
        <scheme val="minor"/>
      </rPr>
      <t xml:space="preserve"> can make decision-making easier, as you have a clear predefined target for your risk and reward expectations.</t>
    </r>
  </si>
  <si>
    <t>Cons:</t>
  </si>
  <si>
    <r>
      <t>Inflexibility</t>
    </r>
    <r>
      <rPr>
        <sz val="11"/>
        <color theme="1"/>
        <rFont val="Aptos Narrow"/>
        <family val="2"/>
        <scheme val="minor"/>
      </rPr>
      <t xml:space="preserve">: A fixed </t>
    </r>
    <r>
      <rPr>
        <b/>
        <sz val="11"/>
        <color theme="1"/>
        <rFont val="Aptos Narrow"/>
        <family val="2"/>
        <scheme val="minor"/>
      </rPr>
      <t>R:R ratio</t>
    </r>
    <r>
      <rPr>
        <sz val="11"/>
        <color theme="1"/>
        <rFont val="Aptos Narrow"/>
        <family val="2"/>
        <scheme val="minor"/>
      </rPr>
      <t xml:space="preserve"> might not always align with the market conditions or the specific trade setup. For example, some trades might have a naturally higher risk (e.g., a volatile stock), which may require a larger reward to justify the risk.</t>
    </r>
  </si>
  <si>
    <r>
      <t>May not Optimize Profit</t>
    </r>
    <r>
      <rPr>
        <sz val="11"/>
        <color theme="1"/>
        <rFont val="Aptos Narrow"/>
        <family val="2"/>
        <scheme val="minor"/>
      </rPr>
      <t xml:space="preserve">: By using a fixed </t>
    </r>
    <r>
      <rPr>
        <b/>
        <sz val="11"/>
        <color theme="1"/>
        <rFont val="Aptos Narrow"/>
        <family val="2"/>
        <scheme val="minor"/>
      </rPr>
      <t>R:R</t>
    </r>
    <r>
      <rPr>
        <sz val="11"/>
        <color theme="1"/>
        <rFont val="Aptos Narrow"/>
        <family val="2"/>
        <scheme val="minor"/>
      </rPr>
      <t>, you might miss out on trades where the potential reward could be greater than the typical ratio you set.</t>
    </r>
  </si>
  <si>
    <t>2. Calculating R:R Separately for Each Trade</t>
  </si>
  <si>
    <r>
      <t>Tailored to Each Trade</t>
    </r>
    <r>
      <rPr>
        <sz val="11"/>
        <color theme="1"/>
        <rFont val="Aptos Narrow"/>
        <family val="2"/>
        <scheme val="minor"/>
      </rPr>
      <t xml:space="preserve">: Calculating </t>
    </r>
    <r>
      <rPr>
        <b/>
        <sz val="11"/>
        <color theme="1"/>
        <rFont val="Aptos Narrow"/>
        <family val="2"/>
        <scheme val="minor"/>
      </rPr>
      <t>R:R</t>
    </r>
    <r>
      <rPr>
        <sz val="11"/>
        <color theme="1"/>
        <rFont val="Aptos Narrow"/>
        <family val="2"/>
        <scheme val="minor"/>
      </rPr>
      <t xml:space="preserve"> separately allows you to adapt to different market conditions and the unique aspects of each trade. For instance, a trade with a smaller stop-loss might warrant a lower </t>
    </r>
    <r>
      <rPr>
        <b/>
        <sz val="11"/>
        <color theme="1"/>
        <rFont val="Aptos Narrow"/>
        <family val="2"/>
        <scheme val="minor"/>
      </rPr>
      <t>R:R</t>
    </r>
    <r>
      <rPr>
        <sz val="11"/>
        <color theme="1"/>
        <rFont val="Aptos Narrow"/>
        <family val="2"/>
        <scheme val="minor"/>
      </rPr>
      <t xml:space="preserve">, while a higher volatility trade could justify a larger </t>
    </r>
    <r>
      <rPr>
        <b/>
        <sz val="11"/>
        <color theme="1"/>
        <rFont val="Aptos Narrow"/>
        <family val="2"/>
        <scheme val="minor"/>
      </rPr>
      <t>R:R</t>
    </r>
    <r>
      <rPr>
        <sz val="11"/>
        <color theme="1"/>
        <rFont val="Aptos Narrow"/>
        <family val="2"/>
        <scheme val="minor"/>
      </rPr>
      <t>.</t>
    </r>
  </si>
  <si>
    <r>
      <t>Potential for Higher Returns</t>
    </r>
    <r>
      <rPr>
        <sz val="11"/>
        <color theme="1"/>
        <rFont val="Aptos Narrow"/>
        <family val="2"/>
        <scheme val="minor"/>
      </rPr>
      <t>: By calculating the ratio for each trade, you could potentially capture higher rewards in favorable market conditions, increasing your overall profitability.</t>
    </r>
  </si>
  <si>
    <r>
      <t>More Flexibility</t>
    </r>
    <r>
      <rPr>
        <sz val="11"/>
        <color theme="1"/>
        <rFont val="Aptos Narrow"/>
        <family val="2"/>
        <scheme val="minor"/>
      </rPr>
      <t>: This approach provides flexibility to adjust your risk-reward expectations based on your confidence in the trade, your analysis, or other factors.</t>
    </r>
  </si>
  <si>
    <r>
      <t>Inconsistent Risk Management</t>
    </r>
    <r>
      <rPr>
        <sz val="11"/>
        <color theme="1"/>
        <rFont val="Aptos Narrow"/>
        <family val="2"/>
        <scheme val="minor"/>
      </rPr>
      <t xml:space="preserve">: Without a fixed </t>
    </r>
    <r>
      <rPr>
        <b/>
        <sz val="11"/>
        <color theme="1"/>
        <rFont val="Aptos Narrow"/>
        <family val="2"/>
        <scheme val="minor"/>
      </rPr>
      <t>R:R ratio</t>
    </r>
    <r>
      <rPr>
        <sz val="11"/>
        <color theme="1"/>
        <rFont val="Aptos Narrow"/>
        <family val="2"/>
        <scheme val="minor"/>
      </rPr>
      <t>, your risk management might become inconsistent, which can be problematic if you’re not careful. Some trades could end up risking too much or not offering enough reward compared to the risk.</t>
    </r>
  </si>
  <si>
    <r>
      <t>Complexity</t>
    </r>
    <r>
      <rPr>
        <sz val="11"/>
        <color theme="1"/>
        <rFont val="Aptos Narrow"/>
        <family val="2"/>
        <scheme val="minor"/>
      </rPr>
      <t xml:space="preserve">: You’ll need to manually adjust the </t>
    </r>
    <r>
      <rPr>
        <b/>
        <sz val="11"/>
        <color theme="1"/>
        <rFont val="Aptos Narrow"/>
        <family val="2"/>
        <scheme val="minor"/>
      </rPr>
      <t>R:R ratio</t>
    </r>
    <r>
      <rPr>
        <sz val="11"/>
        <color theme="1"/>
        <rFont val="Aptos Narrow"/>
        <family val="2"/>
        <scheme val="minor"/>
      </rPr>
      <t xml:space="preserve"> for each trade, which could make it harder to track and analyze in the long run. More effort goes into calculating the right risk-reward for each setup.</t>
    </r>
  </si>
  <si>
    <t>Which Option to Choose?</t>
  </si>
  <si>
    <r>
      <t>Fixed R:R Ratio</t>
    </r>
    <r>
      <rPr>
        <sz val="11"/>
        <color theme="1"/>
        <rFont val="Aptos Narrow"/>
        <family val="2"/>
        <scheme val="minor"/>
      </rPr>
      <t xml:space="preserve">: If you prefer </t>
    </r>
    <r>
      <rPr>
        <b/>
        <sz val="11"/>
        <color theme="1"/>
        <rFont val="Aptos Narrow"/>
        <family val="2"/>
        <scheme val="minor"/>
      </rPr>
      <t>discipline and consistency</t>
    </r>
    <r>
      <rPr>
        <sz val="11"/>
        <color theme="1"/>
        <rFont val="Aptos Narrow"/>
        <family val="2"/>
        <scheme val="minor"/>
      </rPr>
      <t xml:space="preserve"> in your trading approach and want to ensure uniform risk management across your trades, a </t>
    </r>
    <r>
      <rPr>
        <b/>
        <sz val="11"/>
        <color theme="1"/>
        <rFont val="Aptos Narrow"/>
        <family val="2"/>
        <scheme val="minor"/>
      </rPr>
      <t>fixed R:R ratio</t>
    </r>
    <r>
      <rPr>
        <sz val="11"/>
        <color theme="1"/>
        <rFont val="Aptos Narrow"/>
        <family val="2"/>
        <scheme val="minor"/>
      </rPr>
      <t xml:space="preserve"> is the better choice. It simplifies your process and is easier to manage.</t>
    </r>
  </si>
  <si>
    <r>
      <t>Separate R:R for Each Trade</t>
    </r>
    <r>
      <rPr>
        <sz val="11"/>
        <color theme="1"/>
        <rFont val="Aptos Narrow"/>
        <family val="2"/>
        <scheme val="minor"/>
      </rPr>
      <t xml:space="preserve">: If you’re comfortable with a more </t>
    </r>
    <r>
      <rPr>
        <b/>
        <sz val="11"/>
        <color theme="1"/>
        <rFont val="Aptos Narrow"/>
        <family val="2"/>
        <scheme val="minor"/>
      </rPr>
      <t>flexible</t>
    </r>
    <r>
      <rPr>
        <sz val="11"/>
        <color theme="1"/>
        <rFont val="Aptos Narrow"/>
        <family val="2"/>
        <scheme val="minor"/>
      </rPr>
      <t xml:space="preserve"> approach and can adjust your risk-reward expectations based on the specific trade setup, calculating </t>
    </r>
    <r>
      <rPr>
        <b/>
        <sz val="11"/>
        <color theme="1"/>
        <rFont val="Aptos Narrow"/>
        <family val="2"/>
        <scheme val="minor"/>
      </rPr>
      <t>R:R</t>
    </r>
    <r>
      <rPr>
        <sz val="11"/>
        <color theme="1"/>
        <rFont val="Aptos Narrow"/>
        <family val="2"/>
        <scheme val="minor"/>
      </rPr>
      <t xml:space="preserve"> for each trade may help you adapt better to different market conditions and potentially increase profitability.</t>
    </r>
  </si>
  <si>
    <t>My Suggestion:</t>
  </si>
  <si>
    <r>
      <t xml:space="preserve">If you are new to trading or prefer a more structured approach, starting with a </t>
    </r>
    <r>
      <rPr>
        <b/>
        <sz val="11"/>
        <color theme="1"/>
        <rFont val="Aptos Narrow"/>
        <family val="2"/>
        <scheme val="minor"/>
      </rPr>
      <t>fixed R:R ratio</t>
    </r>
    <r>
      <rPr>
        <sz val="11"/>
        <color theme="1"/>
        <rFont val="Aptos Narrow"/>
        <family val="2"/>
        <scheme val="minor"/>
      </rPr>
      <t xml:space="preserve"> (like 1:2, 1:3) can be a safer and more straightforward option. As you gain more experience and confidence in your analysis, you can experiment with adjusting the </t>
    </r>
    <r>
      <rPr>
        <b/>
        <sz val="11"/>
        <color theme="1"/>
        <rFont val="Aptos Narrow"/>
        <family val="2"/>
        <scheme val="minor"/>
      </rPr>
      <t>R:R</t>
    </r>
    <r>
      <rPr>
        <sz val="11"/>
        <color theme="1"/>
        <rFont val="Aptos Narrow"/>
        <family val="2"/>
        <scheme val="minor"/>
      </rPr>
      <t xml:space="preserve"> ratio based on individual trade conditions.</t>
    </r>
  </si>
  <si>
    <t>Would you like help setting this up in your spreadsheet based on your choice?</t>
  </si>
  <si>
    <t>Deposit</t>
  </si>
  <si>
    <t>Sell</t>
  </si>
  <si>
    <t>Coin</t>
  </si>
  <si>
    <t>BTC</t>
  </si>
  <si>
    <t>Quantity</t>
  </si>
  <si>
    <t>Unit Price</t>
  </si>
  <si>
    <t>Comment</t>
  </si>
  <si>
    <t xml:space="preserve">Deposit / Withdrawal Amount </t>
  </si>
  <si>
    <t>https://chatgpt.com/c/67779bac-33e4-8006-b116-a20031cba65e</t>
  </si>
  <si>
    <t>Fees (coin)</t>
  </si>
  <si>
    <t>Net Quantity</t>
  </si>
  <si>
    <t>Fees (value)</t>
  </si>
  <si>
    <t>Transaction Fee %</t>
  </si>
  <si>
    <t>Quantity Sold</t>
  </si>
  <si>
    <t xml:space="preserve">Balance change </t>
  </si>
  <si>
    <t>Available Balance</t>
  </si>
  <si>
    <t>Starting Fiat Balance</t>
  </si>
  <si>
    <t>Convert to Stablecoins</t>
  </si>
  <si>
    <t xml:space="preserve">Current Fiat Balance </t>
  </si>
  <si>
    <t xml:space="preserve">Own Capital </t>
  </si>
  <si>
    <t>Difference Available balance and Own Capital</t>
  </si>
  <si>
    <t>Own Capital</t>
  </si>
  <si>
    <t>Profits</t>
  </si>
  <si>
    <t>money deposits</t>
  </si>
  <si>
    <t>Running rP/L</t>
  </si>
  <si>
    <t>Remaining quantity</t>
  </si>
  <si>
    <t>FIFO</t>
  </si>
  <si>
    <t>Running uP/L</t>
  </si>
  <si>
    <t>Currentprice</t>
  </si>
  <si>
    <t>Total Costs</t>
  </si>
  <si>
    <t>Total Proceeds</t>
  </si>
  <si>
    <t>Selling Price</t>
  </si>
  <si>
    <t>Purchase Date</t>
  </si>
  <si>
    <t xml:space="preserve">Qty </t>
  </si>
  <si>
    <t>Cost of Qty purchased</t>
  </si>
  <si>
    <t>Units Sold</t>
  </si>
  <si>
    <t>Units Remaining</t>
  </si>
  <si>
    <t>Cost of goods sold</t>
  </si>
  <si>
    <t>Inventory Value</t>
  </si>
  <si>
    <t>Revenue</t>
  </si>
  <si>
    <t>COGS</t>
  </si>
  <si>
    <t>Profit</t>
  </si>
  <si>
    <t>Total quantity sold</t>
  </si>
  <si>
    <t>Total Quantity Purchased</t>
  </si>
  <si>
    <t>Units remaining</t>
  </si>
  <si>
    <t>total cost</t>
  </si>
  <si>
    <t>Unit sold</t>
  </si>
  <si>
    <t>unit remaining</t>
  </si>
  <si>
    <t>Total unit</t>
  </si>
  <si>
    <t>Average price</t>
  </si>
  <si>
    <t>Average cost  of remaining units</t>
  </si>
  <si>
    <t>COGS (wac)</t>
  </si>
  <si>
    <t>Inventory</t>
  </si>
  <si>
    <t>Cogs</t>
  </si>
  <si>
    <t>buy</t>
  </si>
  <si>
    <t>sell</t>
  </si>
  <si>
    <t>date</t>
  </si>
  <si>
    <t>type</t>
  </si>
  <si>
    <t>qty</t>
  </si>
  <si>
    <t>unit price</t>
  </si>
  <si>
    <t>total costs</t>
  </si>
  <si>
    <t>remaining quantite</t>
  </si>
  <si>
    <t>WAC</t>
  </si>
  <si>
    <t>WAC (1 asset)</t>
  </si>
  <si>
    <t>COGS (1asset)</t>
  </si>
  <si>
    <t>Asset</t>
  </si>
  <si>
    <t>X</t>
  </si>
  <si>
    <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</si>
</sst>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quot;£&quot;* #,##0.00_-;_-&quot;£&quot;* &quot;-&quot;??_-;_-@_-"/>
    <numFmt numFmtId="164" formatCode="0.0%"/>
    <numFmt numFmtId="165" formatCode="0.0"/>
    <numFmt numFmtId="171" formatCode="_ [$€-413]\ * #,##0.00_ ;_ [$€-413]\ * \-#,##0.00_ ;_ [$€-413]\ * &quot;-&quot;??_ ;_ @_ "/>
    <numFmt numFmtId="173" formatCode="#,##0\ [$€-1];[Red]\-#,##0\ [$€-1]"/>
    <numFmt numFmtId="174" formatCode="#,##0.00\ [$€-1];[Red]\-#,##0.00\ [$€-1]"/>
    <numFmt numFmtId="175" formatCode="#,##0.000"/>
  </numFmts>
  <fonts count="6" x14ac:knownFonts="1">
    <font>
      <sz val="11"/>
      <color theme="1"/>
      <name val="Aptos Narrow"/>
      <family val="2"/>
      <scheme val="minor"/>
    </font>
    <font>
      <sz val="11"/>
      <color theme="1"/>
      <name val="Aptos Narrow"/>
      <family val="2"/>
      <scheme val="minor"/>
    </font>
    <font>
      <b/>
      <sz val="11"/>
      <color theme="1"/>
      <name val="Aptos Narrow"/>
      <family val="2"/>
      <scheme val="minor"/>
    </font>
    <font>
      <b/>
      <sz val="13.5"/>
      <color theme="1"/>
      <name val="Aptos Narrow"/>
      <family val="2"/>
      <scheme val="minor"/>
    </font>
    <font>
      <b/>
      <sz val="12"/>
      <color theme="1"/>
      <name val="Aptos Narrow"/>
      <family val="2"/>
      <scheme val="minor"/>
    </font>
    <font>
      <b/>
      <i/>
      <sz val="11"/>
      <color theme="1"/>
      <name val="Aptos Narrow"/>
      <family val="2"/>
      <scheme val="minor"/>
    </font>
  </fonts>
  <fills count="6">
    <fill>
      <patternFill patternType="none"/>
    </fill>
    <fill>
      <patternFill patternType="gray125"/>
    </fill>
    <fill>
      <patternFill patternType="solid">
        <fgColor rgb="FFFFFF00"/>
        <bgColor indexed="64"/>
      </patternFill>
    </fill>
    <fill>
      <patternFill patternType="solid">
        <fgColor theme="5" tint="0.79998168889431442"/>
        <bgColor indexed="64"/>
      </patternFill>
    </fill>
    <fill>
      <patternFill patternType="solid">
        <fgColor theme="9" tint="0.59999389629810485"/>
        <bgColor indexed="64"/>
      </patternFill>
    </fill>
    <fill>
      <patternFill patternType="solid">
        <fgColor theme="3" tint="0.89999084444715716"/>
        <bgColor indexed="64"/>
      </patternFill>
    </fill>
  </fills>
  <borders count="3">
    <border>
      <left/>
      <right/>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2">
    <xf numFmtId="0" fontId="0" fillId="0" borderId="0"/>
    <xf numFmtId="9" fontId="1" fillId="0" borderId="0" applyFont="0" applyFill="0" applyBorder="0" applyAlignment="0" applyProtection="0"/>
  </cellStyleXfs>
  <cellXfs count="49">
    <xf numFmtId="0" fontId="0" fillId="0" borderId="0" xfId="0"/>
    <xf numFmtId="0" fontId="2" fillId="0" borderId="0" xfId="0" applyFont="1"/>
    <xf numFmtId="2" fontId="0" fillId="0" borderId="0" xfId="0" applyNumberFormat="1"/>
    <xf numFmtId="164" fontId="0" fillId="0" borderId="0" xfId="1" applyNumberFormat="1" applyFont="1"/>
    <xf numFmtId="0" fontId="2" fillId="0" borderId="0" xfId="0" applyFont="1" applyAlignment="1">
      <alignment horizontal="center" vertical="center"/>
    </xf>
    <xf numFmtId="165" fontId="0" fillId="0" borderId="0" xfId="0" applyNumberFormat="1"/>
    <xf numFmtId="9" fontId="0" fillId="0" borderId="0" xfId="1" applyFont="1"/>
    <xf numFmtId="0" fontId="3" fillId="0" borderId="0" xfId="0" applyFont="1" applyAlignment="1">
      <alignment vertical="center"/>
    </xf>
    <xf numFmtId="0" fontId="4" fillId="0" borderId="0" xfId="0" applyFont="1" applyAlignment="1">
      <alignment vertical="center"/>
    </xf>
    <xf numFmtId="0" fontId="0" fillId="0" borderId="0" xfId="0" applyAlignment="1">
      <alignment horizontal="left" vertical="center" indent="1"/>
    </xf>
    <xf numFmtId="0" fontId="2" fillId="0" borderId="0" xfId="0" applyFont="1" applyAlignment="1">
      <alignment horizontal="left" vertical="center" indent="1"/>
    </xf>
    <xf numFmtId="164" fontId="2" fillId="0" borderId="0" xfId="1" applyNumberFormat="1" applyFont="1"/>
    <xf numFmtId="0" fontId="0" fillId="0" borderId="0" xfId="0" applyAlignment="1">
      <alignment vertical="center" wrapText="1"/>
    </xf>
    <xf numFmtId="0" fontId="5" fillId="0" borderId="0" xfId="0" applyFont="1"/>
    <xf numFmtId="49" fontId="0" fillId="0" borderId="0" xfId="0" applyNumberFormat="1"/>
    <xf numFmtId="171" fontId="0" fillId="0" borderId="0" xfId="0" applyNumberFormat="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left" vertical="center" indent="2"/>
    </xf>
    <xf numFmtId="171" fontId="0" fillId="0" borderId="0" xfId="0" applyNumberFormat="1"/>
    <xf numFmtId="10" fontId="0" fillId="0" borderId="0" xfId="0" applyNumberFormat="1" applyAlignment="1">
      <alignment vertical="center" wrapText="1"/>
    </xf>
    <xf numFmtId="0" fontId="0" fillId="0" borderId="1" xfId="0" applyBorder="1"/>
    <xf numFmtId="0" fontId="0" fillId="0" borderId="2" xfId="0" applyBorder="1"/>
    <xf numFmtId="14" fontId="0" fillId="0" borderId="0" xfId="0" applyNumberFormat="1" applyAlignment="1">
      <alignment vertical="center" wrapText="1"/>
    </xf>
    <xf numFmtId="173" fontId="0" fillId="0" borderId="0" xfId="0" applyNumberFormat="1"/>
    <xf numFmtId="0" fontId="0" fillId="0" borderId="0" xfId="0" applyAlignment="1">
      <alignment horizontal="center" vertical="center" wrapText="1"/>
    </xf>
    <xf numFmtId="14" fontId="0" fillId="0" borderId="0" xfId="0" applyNumberFormat="1" applyAlignment="1">
      <alignment horizontal="center" vertical="center" wrapText="1"/>
    </xf>
    <xf numFmtId="171" fontId="0" fillId="0" borderId="0" xfId="0" applyNumberFormat="1" applyAlignment="1">
      <alignment horizontal="center" vertical="center" wrapText="1"/>
    </xf>
    <xf numFmtId="0" fontId="0" fillId="2" borderId="0" xfId="0" applyFill="1"/>
    <xf numFmtId="173" fontId="0" fillId="0" borderId="0" xfId="0" applyNumberFormat="1" applyAlignment="1">
      <alignment horizontal="center" vertical="center" wrapText="1"/>
    </xf>
    <xf numFmtId="171" fontId="2" fillId="0" borderId="0" xfId="0" applyNumberFormat="1" applyFont="1" applyAlignment="1">
      <alignment horizontal="center" vertical="center" wrapText="1"/>
    </xf>
    <xf numFmtId="164" fontId="1" fillId="2" borderId="0" xfId="1" applyNumberFormat="1" applyFont="1" applyFill="1"/>
    <xf numFmtId="174" fontId="0" fillId="0" borderId="0" xfId="0" applyNumberFormat="1"/>
    <xf numFmtId="175" fontId="2" fillId="0" borderId="0" xfId="0" applyNumberFormat="1" applyFont="1" applyAlignment="1">
      <alignment horizontal="center" vertical="center" wrapText="1"/>
    </xf>
    <xf numFmtId="175" fontId="0" fillId="0" borderId="0" xfId="0" applyNumberFormat="1" applyAlignment="1">
      <alignment horizontal="center" vertical="center" wrapText="1"/>
    </xf>
    <xf numFmtId="175" fontId="0" fillId="0" borderId="0" xfId="0" applyNumberFormat="1"/>
    <xf numFmtId="0" fontId="0" fillId="0" borderId="0" xfId="0" applyAlignment="1">
      <alignment horizontal="left" vertical="center" wrapText="1"/>
    </xf>
    <xf numFmtId="44" fontId="0" fillId="0" borderId="0" xfId="0" applyNumberFormat="1"/>
    <xf numFmtId="14" fontId="0" fillId="0" borderId="0" xfId="0" applyNumberFormat="1"/>
    <xf numFmtId="173" fontId="0" fillId="0" borderId="0" xfId="0" applyNumberFormat="1" applyAlignment="1">
      <alignment horizontal="center" vertical="center"/>
    </xf>
    <xf numFmtId="0" fontId="0" fillId="3" borderId="0" xfId="0" applyFill="1" applyAlignment="1">
      <alignment vertical="center" wrapText="1"/>
    </xf>
    <xf numFmtId="0" fontId="0" fillId="4" borderId="0" xfId="0" applyFill="1" applyAlignment="1">
      <alignment vertical="center" wrapText="1"/>
    </xf>
    <xf numFmtId="0" fontId="2" fillId="3" borderId="0" xfId="0" applyFont="1" applyFill="1" applyAlignment="1">
      <alignment horizontal="center" vertical="center" wrapText="1"/>
    </xf>
    <xf numFmtId="171" fontId="0" fillId="3" borderId="0" xfId="0" applyNumberFormat="1" applyFill="1" applyAlignment="1">
      <alignment horizontal="center" vertical="center" wrapText="1"/>
    </xf>
    <xf numFmtId="0" fontId="0" fillId="3" borderId="0" xfId="0" applyFill="1" applyAlignment="1">
      <alignment horizontal="center" vertical="center" wrapText="1"/>
    </xf>
    <xf numFmtId="0" fontId="2" fillId="5" borderId="0" xfId="0" applyFont="1" applyFill="1" applyAlignment="1">
      <alignment horizontal="center" vertical="center" wrapText="1"/>
    </xf>
    <xf numFmtId="0" fontId="0" fillId="5" borderId="0" xfId="0" applyFill="1" applyAlignment="1">
      <alignment horizontal="center" vertical="center" wrapText="1"/>
    </xf>
    <xf numFmtId="171" fontId="0" fillId="5" borderId="0" xfId="0" applyNumberFormat="1" applyFill="1" applyAlignment="1">
      <alignment horizontal="center" vertical="center" wrapText="1"/>
    </xf>
    <xf numFmtId="0" fontId="0" fillId="5" borderId="0" xfId="0" applyFill="1"/>
    <xf numFmtId="0" fontId="2" fillId="0" borderId="0" xfId="0" applyFont="1" applyAlignment="1">
      <alignment horizontal="center"/>
    </xf>
  </cellXfs>
  <cellStyles count="2">
    <cellStyle name="Normal" xfId="0" builtinId="0"/>
    <cellStyle name="Percent" xfId="1" builtinId="5"/>
  </cellStyles>
  <dxfs count="6">
    <dxf>
      <numFmt numFmtId="0" formatCode="General"/>
    </dxf>
    <dxf>
      <numFmt numFmtId="0" formatCode="General"/>
    </dxf>
    <dxf>
      <numFmt numFmtId="0" formatCode="General"/>
    </dxf>
    <dxf>
      <numFmt numFmtId="0" formatCode="General"/>
    </dxf>
    <dxf>
      <numFmt numFmtId="0" formatCode="General"/>
    </dxf>
    <dxf>
      <numFmt numFmtId="19" formatCode="dd/mm/yyyy"/>
    </dxf>
  </dxfs>
  <tableStyles count="0" defaultTableStyle="TableStyleMedium2" defaultPivotStyle="PivotStyleLight16"/>
  <colors>
    <mruColors>
      <color rgb="FFDC242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B409E79-8412-478D-B8F1-39074E6F2DE3}" name="Table13" displayName="Table13" ref="B7:I15" totalsRowShown="0">
  <autoFilter ref="B7:I15" xr:uid="{1AD3BE3C-7DB9-4217-A31B-53D7455BFE73}"/>
  <tableColumns count="8">
    <tableColumn id="1" xr3:uid="{056CEAEB-1C48-4515-9AC9-F709D15C8FD7}" name="Purchase Date" dataDxfId="5"/>
    <tableColumn id="2" xr3:uid="{EC86A7E6-FF7B-46CF-9D3D-D39858F79FF4}" name="Qty "/>
    <tableColumn id="3" xr3:uid="{3E5694AE-BAF0-4944-8EB0-B8688F5C2A61}" name="Unit Price"/>
    <tableColumn id="4" xr3:uid="{1FF80891-C834-4BA6-989D-7918FAC62442}" name="Cost of Qty purchased" dataDxfId="4">
      <calculatedColumnFormula>Table13[[#This Row],[Qty ]]*Table13[[#This Row],[Unit Price]]</calculatedColumnFormula>
    </tableColumn>
    <tableColumn id="5" xr3:uid="{DF007BD7-6756-484B-9D74-1AB10151C662}" name="Units Sold" dataDxfId="3">
      <calculatedColumnFormula>MIN(C8,SUM(Table1[Quantity Sold])-SUM(F$7:F7))</calculatedColumnFormula>
    </tableColumn>
    <tableColumn id="6" xr3:uid="{4DCF29A8-EFD1-412A-A4CE-F4D2C54B394B}" name="Units Remaining" dataDxfId="2">
      <calculatedColumnFormula>Table13[[#This Row],[Qty ]]-Table13[[#This Row],[Units Sold]]</calculatedColumnFormula>
    </tableColumn>
    <tableColumn id="7" xr3:uid="{D709D32C-A818-47AA-908C-8C01E21C46A4}" name="Cost of goods sold" dataDxfId="1">
      <calculatedColumnFormula>Table13[[#This Row],[Units Sold]]*Table13[[#This Row],[Unit Price]]</calculatedColumnFormula>
    </tableColumn>
    <tableColumn id="8" xr3:uid="{8CDB07F0-9A28-40F7-A20A-F2E83330B8D6}" name="Inventory Value" dataDxfId="0">
      <calculatedColumnFormula>Table13[[#This Row],[Units Remaining]]*Table13[[#This Row],[Unit Price]]</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AD3BE3C-7DB9-4217-A31B-53D7455BFE73}" name="Table1" displayName="Table1" ref="K7:M13" totalsRowShown="0">
  <autoFilter ref="K7:M13" xr:uid="{1AD3BE3C-7DB9-4217-A31B-53D7455BFE73}"/>
  <tableColumns count="3">
    <tableColumn id="1" xr3:uid="{0A8D1C1D-1A29-435F-B11F-C4C79BE21348}" name="Date"/>
    <tableColumn id="2" xr3:uid="{E81B5B8C-1ACA-4910-96A2-312FE50533F8}" name="Quantity Sold"/>
    <tableColumn id="3" xr3:uid="{B69F516F-EF6F-48CA-AC4B-354D1D7F9420}" name="Selling Price"/>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D1F671-32E7-41B1-824B-A81112412657}">
  <dimension ref="B2:R38"/>
  <sheetViews>
    <sheetView workbookViewId="0">
      <selection activeCell="G44" sqref="G44"/>
    </sheetView>
  </sheetViews>
  <sheetFormatPr defaultRowHeight="15" x14ac:dyDescent="0.25"/>
  <cols>
    <col min="3" max="3" width="12.85546875" bestFit="1" customWidth="1"/>
    <col min="4" max="4" width="14.85546875" bestFit="1" customWidth="1"/>
    <col min="5" max="5" width="14.85546875" customWidth="1"/>
    <col min="12" max="12" width="24.140625" bestFit="1" customWidth="1"/>
    <col min="13" max="13" width="24.140625" customWidth="1"/>
    <col min="14" max="14" width="14.42578125" bestFit="1" customWidth="1"/>
  </cols>
  <sheetData>
    <row r="2" spans="2:8" x14ac:dyDescent="0.25">
      <c r="B2" s="48" t="s">
        <v>30</v>
      </c>
      <c r="C2" s="48"/>
      <c r="D2" s="48"/>
      <c r="E2" s="48"/>
      <c r="F2" s="48"/>
      <c r="G2" s="48"/>
      <c r="H2" s="48"/>
    </row>
    <row r="3" spans="2:8" x14ac:dyDescent="0.25">
      <c r="B3" s="13" t="s">
        <v>31</v>
      </c>
      <c r="C3" s="13" t="s">
        <v>32</v>
      </c>
      <c r="D3" s="13" t="s">
        <v>33</v>
      </c>
      <c r="E3" s="13"/>
      <c r="F3" s="13" t="s">
        <v>34</v>
      </c>
      <c r="G3" s="13" t="s">
        <v>35</v>
      </c>
      <c r="H3" s="1"/>
    </row>
    <row r="4" spans="2:8" x14ac:dyDescent="0.25">
      <c r="B4" t="s">
        <v>42</v>
      </c>
      <c r="C4" t="s">
        <v>38</v>
      </c>
      <c r="D4" t="s">
        <v>62</v>
      </c>
      <c r="F4" t="s">
        <v>48</v>
      </c>
      <c r="G4" t="s">
        <v>55</v>
      </c>
    </row>
    <row r="5" spans="2:8" x14ac:dyDescent="0.25">
      <c r="B5" t="s">
        <v>43</v>
      </c>
      <c r="C5" t="s">
        <v>39</v>
      </c>
      <c r="D5" t="s">
        <v>63</v>
      </c>
      <c r="F5" t="s">
        <v>49</v>
      </c>
      <c r="G5" t="s">
        <v>56</v>
      </c>
    </row>
    <row r="6" spans="2:8" x14ac:dyDescent="0.25">
      <c r="B6" t="s">
        <v>44</v>
      </c>
      <c r="C6" t="s">
        <v>40</v>
      </c>
      <c r="D6" t="s">
        <v>64</v>
      </c>
      <c r="F6" t="s">
        <v>50</v>
      </c>
      <c r="G6" t="s">
        <v>57</v>
      </c>
    </row>
    <row r="7" spans="2:8" x14ac:dyDescent="0.25">
      <c r="B7" t="s">
        <v>45</v>
      </c>
      <c r="C7" t="s">
        <v>41</v>
      </c>
      <c r="D7" t="s">
        <v>65</v>
      </c>
      <c r="F7" t="s">
        <v>51</v>
      </c>
      <c r="G7" t="s">
        <v>58</v>
      </c>
    </row>
    <row r="8" spans="2:8" x14ac:dyDescent="0.25">
      <c r="B8" t="s">
        <v>46</v>
      </c>
      <c r="C8" t="s">
        <v>60</v>
      </c>
      <c r="D8" t="s">
        <v>66</v>
      </c>
      <c r="F8" t="s">
        <v>52</v>
      </c>
      <c r="G8" t="s">
        <v>51</v>
      </c>
    </row>
    <row r="9" spans="2:8" x14ac:dyDescent="0.25">
      <c r="B9" t="s">
        <v>47</v>
      </c>
      <c r="C9" t="s">
        <v>61</v>
      </c>
      <c r="D9" t="s">
        <v>67</v>
      </c>
      <c r="F9" t="s">
        <v>53</v>
      </c>
      <c r="G9" t="s">
        <v>59</v>
      </c>
    </row>
    <row r="10" spans="2:8" x14ac:dyDescent="0.25">
      <c r="B10" t="s">
        <v>68</v>
      </c>
    </row>
    <row r="11" spans="2:8" x14ac:dyDescent="0.25">
      <c r="B11" t="s">
        <v>69</v>
      </c>
    </row>
    <row r="12" spans="2:8" x14ac:dyDescent="0.25">
      <c r="B12" t="s">
        <v>70</v>
      </c>
      <c r="C12" t="s">
        <v>36</v>
      </c>
      <c r="F12" t="s">
        <v>44</v>
      </c>
      <c r="G12" t="s">
        <v>36</v>
      </c>
    </row>
    <row r="13" spans="2:8" x14ac:dyDescent="0.25">
      <c r="C13" t="s">
        <v>37</v>
      </c>
      <c r="F13" t="s">
        <v>46</v>
      </c>
      <c r="G13" t="s">
        <v>37</v>
      </c>
    </row>
    <row r="14" spans="2:8" x14ac:dyDescent="0.25">
      <c r="C14" t="s">
        <v>47</v>
      </c>
      <c r="G14" t="s">
        <v>54</v>
      </c>
    </row>
    <row r="20" spans="3:18" x14ac:dyDescent="0.25">
      <c r="N20" s="48" t="s">
        <v>84</v>
      </c>
      <c r="O20" s="48"/>
      <c r="P20" s="48" t="s">
        <v>89</v>
      </c>
      <c r="Q20" s="48"/>
    </row>
    <row r="21" spans="3:18" x14ac:dyDescent="0.25">
      <c r="C21" s="13" t="s">
        <v>31</v>
      </c>
      <c r="D21" s="1" t="s">
        <v>74</v>
      </c>
      <c r="E21" s="1" t="s">
        <v>75</v>
      </c>
      <c r="F21" s="1" t="s">
        <v>71</v>
      </c>
      <c r="G21" s="1" t="s">
        <v>72</v>
      </c>
      <c r="H21" s="1" t="s">
        <v>73</v>
      </c>
      <c r="I21" s="1" t="s">
        <v>81</v>
      </c>
      <c r="J21" s="1" t="s">
        <v>82</v>
      </c>
      <c r="L21" s="1" t="s">
        <v>83</v>
      </c>
      <c r="M21" s="1" t="s">
        <v>83</v>
      </c>
      <c r="N21" s="1" t="s">
        <v>87</v>
      </c>
      <c r="O21" s="1" t="s">
        <v>88</v>
      </c>
    </row>
    <row r="22" spans="3:18" x14ac:dyDescent="0.25">
      <c r="C22" t="s">
        <v>42</v>
      </c>
      <c r="D22" s="14" t="s">
        <v>76</v>
      </c>
      <c r="E22" s="14" t="s">
        <v>77</v>
      </c>
      <c r="F22" s="14" t="s">
        <v>78</v>
      </c>
      <c r="G22" s="14" t="s">
        <v>79</v>
      </c>
      <c r="H22" s="14" t="s">
        <v>80</v>
      </c>
      <c r="I22" s="14">
        <v>5.5</v>
      </c>
      <c r="J22" s="14">
        <v>4</v>
      </c>
      <c r="K22" s="14"/>
      <c r="L22" s="14" t="s">
        <v>85</v>
      </c>
      <c r="M22" s="14" t="s">
        <v>86</v>
      </c>
      <c r="N22" s="14" t="s">
        <v>91</v>
      </c>
      <c r="O22" s="14" t="s">
        <v>90</v>
      </c>
      <c r="P22" s="14"/>
      <c r="Q22" s="14"/>
      <c r="R22" s="14"/>
    </row>
    <row r="23" spans="3:18" x14ac:dyDescent="0.25">
      <c r="C23" t="s">
        <v>43</v>
      </c>
      <c r="D23" s="14"/>
      <c r="E23" s="14"/>
      <c r="F23" s="14"/>
      <c r="G23" s="14"/>
      <c r="H23" s="14"/>
      <c r="I23" s="14"/>
      <c r="J23" s="14"/>
      <c r="K23" s="14"/>
      <c r="L23" s="14"/>
      <c r="M23" s="14"/>
      <c r="N23" s="14"/>
      <c r="O23" s="14"/>
      <c r="P23" s="14"/>
      <c r="Q23" s="14"/>
      <c r="R23" s="14"/>
    </row>
    <row r="24" spans="3:18" x14ac:dyDescent="0.25">
      <c r="C24" t="s">
        <v>44</v>
      </c>
      <c r="D24" s="14"/>
      <c r="E24" s="14"/>
      <c r="F24" s="14"/>
      <c r="G24" s="14"/>
      <c r="H24" s="14"/>
      <c r="I24" s="14"/>
      <c r="J24" s="14"/>
      <c r="K24" s="14"/>
      <c r="L24" s="14"/>
      <c r="M24" s="14"/>
      <c r="N24" s="14"/>
      <c r="O24" s="14"/>
      <c r="P24" s="14"/>
      <c r="Q24" s="14"/>
      <c r="R24" s="14"/>
    </row>
    <row r="25" spans="3:18" x14ac:dyDescent="0.25">
      <c r="C25" t="s">
        <v>45</v>
      </c>
      <c r="D25" s="14"/>
      <c r="E25" s="14"/>
      <c r="F25" s="14"/>
      <c r="G25" s="14"/>
      <c r="H25" s="14"/>
      <c r="I25" s="14"/>
      <c r="J25" s="14"/>
      <c r="K25" s="14"/>
      <c r="L25" s="14"/>
      <c r="M25" s="14"/>
      <c r="N25" s="14"/>
      <c r="O25" s="14"/>
      <c r="P25" s="14"/>
      <c r="Q25" s="14"/>
      <c r="R25" s="14"/>
    </row>
    <row r="26" spans="3:18" x14ac:dyDescent="0.25">
      <c r="C26" t="s">
        <v>46</v>
      </c>
      <c r="D26" s="14"/>
      <c r="E26" s="14"/>
      <c r="F26" s="14"/>
      <c r="G26" s="14"/>
      <c r="H26" s="14"/>
      <c r="I26" s="14"/>
      <c r="J26" s="14"/>
      <c r="K26" s="14"/>
      <c r="L26" s="14"/>
      <c r="M26" s="14"/>
      <c r="N26" s="14"/>
      <c r="O26" s="14"/>
      <c r="P26" s="14"/>
      <c r="Q26" s="14"/>
      <c r="R26" s="14"/>
    </row>
    <row r="27" spans="3:18" x14ac:dyDescent="0.25">
      <c r="C27" t="s">
        <v>47</v>
      </c>
      <c r="D27" s="14"/>
      <c r="E27" s="14"/>
      <c r="F27" s="14"/>
      <c r="G27" s="14"/>
      <c r="H27" s="14"/>
      <c r="I27" s="14"/>
      <c r="J27" s="14"/>
      <c r="K27" s="14"/>
      <c r="L27" s="14"/>
      <c r="M27" s="14"/>
      <c r="N27" s="14"/>
      <c r="O27" s="14"/>
      <c r="P27" s="14"/>
      <c r="Q27" s="14"/>
      <c r="R27" s="14"/>
    </row>
    <row r="28" spans="3:18" x14ac:dyDescent="0.25">
      <c r="C28" t="s">
        <v>68</v>
      </c>
      <c r="D28" s="14"/>
      <c r="E28" s="14"/>
      <c r="F28" s="14"/>
      <c r="G28" s="14"/>
      <c r="H28" s="14"/>
      <c r="I28" s="14"/>
      <c r="J28" s="14"/>
      <c r="K28" s="14"/>
      <c r="L28" s="14"/>
      <c r="M28" s="14"/>
      <c r="N28" s="14"/>
      <c r="O28" s="14"/>
      <c r="P28" s="14"/>
      <c r="Q28" s="14"/>
      <c r="R28" s="14"/>
    </row>
    <row r="29" spans="3:18" x14ac:dyDescent="0.25">
      <c r="C29" t="s">
        <v>69</v>
      </c>
      <c r="D29" s="14"/>
      <c r="E29" s="14"/>
      <c r="F29" s="14"/>
      <c r="G29" s="14"/>
      <c r="H29" s="14"/>
      <c r="I29" s="14"/>
      <c r="J29" s="14"/>
      <c r="K29" s="14"/>
      <c r="L29" s="14"/>
      <c r="M29" s="14"/>
      <c r="N29" s="14"/>
      <c r="O29" s="14"/>
      <c r="P29" s="14"/>
      <c r="Q29" s="14"/>
      <c r="R29" s="14"/>
    </row>
    <row r="30" spans="3:18" x14ac:dyDescent="0.25">
      <c r="C30" t="s">
        <v>70</v>
      </c>
      <c r="D30" s="14"/>
      <c r="E30" s="14"/>
      <c r="F30" s="14"/>
      <c r="G30" s="14"/>
      <c r="H30" s="14"/>
      <c r="I30" s="14"/>
      <c r="J30" s="14"/>
      <c r="K30" s="14"/>
      <c r="L30" s="14"/>
      <c r="M30" s="14"/>
      <c r="N30" s="14"/>
      <c r="O30" s="14"/>
      <c r="P30" s="14"/>
      <c r="Q30" s="14"/>
      <c r="R30" s="14"/>
    </row>
    <row r="31" spans="3:18" x14ac:dyDescent="0.25">
      <c r="D31" s="14"/>
      <c r="E31" s="14"/>
      <c r="F31" s="14"/>
      <c r="G31" s="14"/>
      <c r="H31" s="14"/>
      <c r="I31" s="14"/>
      <c r="J31" s="14"/>
      <c r="K31" s="14"/>
      <c r="L31" s="14"/>
      <c r="M31" s="14"/>
      <c r="N31" s="14"/>
      <c r="O31" s="14"/>
      <c r="P31" s="14"/>
      <c r="Q31" s="14"/>
      <c r="R31" s="14"/>
    </row>
    <row r="32" spans="3:18" x14ac:dyDescent="0.25">
      <c r="D32" s="14"/>
      <c r="E32" s="14"/>
      <c r="F32" s="14"/>
      <c r="G32" s="14"/>
      <c r="H32" s="14"/>
      <c r="I32" s="14"/>
      <c r="J32" s="14"/>
      <c r="K32" s="14"/>
      <c r="L32" s="14"/>
      <c r="M32" s="14"/>
      <c r="N32" s="14"/>
      <c r="O32" s="14"/>
      <c r="P32" s="14"/>
      <c r="Q32" s="14"/>
      <c r="R32" s="14"/>
    </row>
    <row r="33" spans="4:18" x14ac:dyDescent="0.25">
      <c r="D33" s="14"/>
      <c r="E33" s="14"/>
      <c r="F33" s="14"/>
      <c r="G33" s="14"/>
      <c r="H33" s="14"/>
      <c r="I33" s="14"/>
      <c r="J33" s="14"/>
      <c r="K33" s="14"/>
      <c r="L33" s="14"/>
      <c r="M33" s="14"/>
      <c r="N33" s="14"/>
      <c r="O33" s="14"/>
      <c r="P33" s="14"/>
      <c r="Q33" s="14"/>
      <c r="R33" s="14"/>
    </row>
    <row r="34" spans="4:18" x14ac:dyDescent="0.25">
      <c r="D34" s="14"/>
      <c r="E34" s="14"/>
      <c r="F34" s="14"/>
      <c r="G34" s="14"/>
      <c r="H34" s="14"/>
      <c r="I34" s="14"/>
      <c r="J34" s="14"/>
      <c r="K34" s="14"/>
      <c r="L34" s="14"/>
      <c r="M34" s="14"/>
      <c r="N34" s="14"/>
      <c r="O34" s="14"/>
      <c r="P34" s="14"/>
      <c r="Q34" s="14"/>
      <c r="R34" s="14"/>
    </row>
    <row r="35" spans="4:18" x14ac:dyDescent="0.25">
      <c r="D35" s="14"/>
      <c r="E35" s="14"/>
      <c r="F35" s="14"/>
      <c r="G35" s="14"/>
      <c r="H35" s="14"/>
      <c r="I35" s="14"/>
      <c r="J35" s="14"/>
      <c r="K35" s="14"/>
      <c r="L35" s="14"/>
      <c r="M35" s="14"/>
      <c r="N35" s="14"/>
      <c r="O35" s="14"/>
      <c r="P35" s="14"/>
      <c r="Q35" s="14"/>
      <c r="R35" s="14"/>
    </row>
    <row r="36" spans="4:18" x14ac:dyDescent="0.25">
      <c r="D36" s="14"/>
      <c r="E36" s="14"/>
      <c r="F36" s="14"/>
      <c r="G36" s="14"/>
      <c r="H36" s="14"/>
      <c r="I36" s="14"/>
      <c r="J36" s="14"/>
      <c r="K36" s="14"/>
      <c r="L36" s="14"/>
      <c r="M36" s="14"/>
      <c r="N36" s="14"/>
      <c r="O36" s="14"/>
      <c r="P36" s="14"/>
      <c r="Q36" s="14"/>
      <c r="R36" s="14"/>
    </row>
    <row r="37" spans="4:18" x14ac:dyDescent="0.25">
      <c r="D37" s="14"/>
      <c r="E37" s="14"/>
      <c r="F37" s="14"/>
      <c r="G37" s="14"/>
      <c r="H37" s="14"/>
      <c r="I37" s="14"/>
      <c r="J37" s="14"/>
      <c r="K37" s="14"/>
      <c r="L37" s="14"/>
      <c r="M37" s="14"/>
      <c r="N37" s="14"/>
      <c r="O37" s="14"/>
      <c r="P37" s="14"/>
      <c r="Q37" s="14"/>
      <c r="R37" s="14"/>
    </row>
    <row r="38" spans="4:18" x14ac:dyDescent="0.25">
      <c r="D38" s="14"/>
      <c r="E38" s="14"/>
      <c r="F38" s="14"/>
      <c r="G38" s="14"/>
      <c r="H38" s="14"/>
      <c r="I38" s="14"/>
      <c r="J38" s="14"/>
      <c r="K38" s="14"/>
      <c r="L38" s="14"/>
      <c r="M38" s="14"/>
      <c r="N38" s="14"/>
      <c r="O38" s="14"/>
      <c r="P38" s="14"/>
      <c r="Q38" s="14"/>
      <c r="R38" s="14"/>
    </row>
  </sheetData>
  <mergeCells count="3">
    <mergeCell ref="B2:H2"/>
    <mergeCell ref="N20:O20"/>
    <mergeCell ref="P20:Q2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0B0886-923C-49A5-B9A9-6DD7E006FD47}">
  <dimension ref="C2:AA98"/>
  <sheetViews>
    <sheetView zoomScale="130" zoomScaleNormal="130" workbookViewId="0">
      <selection activeCell="W21" sqref="W21"/>
    </sheetView>
  </sheetViews>
  <sheetFormatPr defaultRowHeight="15" x14ac:dyDescent="0.25"/>
  <cols>
    <col min="3" max="3" width="8.140625" bestFit="1" customWidth="1"/>
    <col min="4" max="4" width="19" bestFit="1" customWidth="1"/>
    <col min="5" max="5" width="19.7109375" bestFit="1" customWidth="1"/>
    <col min="11" max="11" width="12.42578125" customWidth="1"/>
    <col min="12" max="12" width="11.28515625" bestFit="1" customWidth="1"/>
    <col min="14" max="16" width="10.7109375" bestFit="1" customWidth="1"/>
    <col min="18" max="18" width="11.5703125" customWidth="1"/>
  </cols>
  <sheetData>
    <row r="2" spans="4:27" x14ac:dyDescent="0.25">
      <c r="I2" s="1"/>
      <c r="J2" s="1"/>
      <c r="K2" s="48" t="s">
        <v>5</v>
      </c>
      <c r="L2" s="48"/>
    </row>
    <row r="3" spans="4:27" x14ac:dyDescent="0.25">
      <c r="D3" s="4" t="s">
        <v>1</v>
      </c>
      <c r="E3" s="4" t="s">
        <v>0</v>
      </c>
      <c r="I3" s="1" t="s">
        <v>2</v>
      </c>
      <c r="J3" s="1" t="s">
        <v>3</v>
      </c>
      <c r="K3" s="1" t="s">
        <v>4</v>
      </c>
      <c r="L3" s="1" t="s">
        <v>6</v>
      </c>
      <c r="N3" s="1" t="s">
        <v>22</v>
      </c>
      <c r="O3" s="1" t="s">
        <v>23</v>
      </c>
      <c r="P3" s="1" t="s">
        <v>24</v>
      </c>
      <c r="R3" s="16"/>
      <c r="S3" s="16"/>
      <c r="T3" s="16"/>
      <c r="U3" s="16"/>
      <c r="V3" s="16"/>
      <c r="W3" s="16"/>
      <c r="X3" s="16"/>
      <c r="Y3" s="16"/>
      <c r="Z3" s="16"/>
      <c r="AA3" s="16"/>
    </row>
    <row r="4" spans="4:27" x14ac:dyDescent="0.25">
      <c r="D4">
        <v>5</v>
      </c>
      <c r="E4" s="5">
        <f>(D4/(100-D4))*100</f>
        <v>5.2631578947368416</v>
      </c>
      <c r="I4">
        <v>1</v>
      </c>
      <c r="J4">
        <v>1</v>
      </c>
      <c r="K4" s="3">
        <f t="shared" ref="K4:K20" si="0">1/(I4+J4)</f>
        <v>0.5</v>
      </c>
      <c r="L4" s="3">
        <f>1-K4</f>
        <v>0.5</v>
      </c>
      <c r="R4" s="12"/>
      <c r="S4" s="12"/>
      <c r="T4" s="19"/>
      <c r="U4" s="19"/>
      <c r="V4" s="19"/>
      <c r="W4" s="19"/>
      <c r="X4" s="19"/>
      <c r="Y4" s="19"/>
      <c r="Z4" s="19"/>
      <c r="AA4" s="19"/>
    </row>
    <row r="5" spans="4:27" x14ac:dyDescent="0.25">
      <c r="D5">
        <v>10</v>
      </c>
      <c r="E5" s="5">
        <f t="shared" ref="E5:E22" si="1">(D5/(100-D5))*100</f>
        <v>11.111111111111111</v>
      </c>
      <c r="I5" s="1">
        <v>1.5</v>
      </c>
      <c r="J5" s="1">
        <v>1</v>
      </c>
      <c r="K5" s="11">
        <f t="shared" si="0"/>
        <v>0.4</v>
      </c>
      <c r="L5" s="11">
        <f t="shared" ref="L5:L20" si="2">1-K5</f>
        <v>0.6</v>
      </c>
      <c r="N5" s="6">
        <v>0.5</v>
      </c>
      <c r="O5" s="6">
        <v>0.3</v>
      </c>
      <c r="P5" s="6">
        <v>0.2</v>
      </c>
      <c r="R5" s="12"/>
      <c r="S5" s="12"/>
      <c r="T5" s="19"/>
      <c r="U5" s="19"/>
      <c r="V5" s="19"/>
      <c r="W5" s="19"/>
      <c r="X5" s="19"/>
      <c r="Y5" s="19"/>
      <c r="Z5" s="19"/>
      <c r="AA5" s="19"/>
    </row>
    <row r="6" spans="4:27" x14ac:dyDescent="0.25">
      <c r="D6">
        <v>15</v>
      </c>
      <c r="E6" s="5">
        <f t="shared" si="1"/>
        <v>17.647058823529413</v>
      </c>
      <c r="I6">
        <v>2</v>
      </c>
      <c r="J6">
        <v>1</v>
      </c>
      <c r="K6" s="3">
        <f t="shared" si="0"/>
        <v>0.33333333333333331</v>
      </c>
      <c r="L6" s="3">
        <f t="shared" si="2"/>
        <v>0.66666666666666674</v>
      </c>
      <c r="R6" s="12"/>
      <c r="S6" s="12"/>
      <c r="T6" s="19"/>
      <c r="U6" s="19"/>
      <c r="V6" s="19"/>
      <c r="W6" s="19"/>
      <c r="X6" s="19"/>
      <c r="Y6" s="19"/>
      <c r="Z6" s="19"/>
      <c r="AA6" s="19"/>
    </row>
    <row r="7" spans="4:27" x14ac:dyDescent="0.25">
      <c r="D7">
        <v>20</v>
      </c>
      <c r="E7" s="5">
        <f t="shared" si="1"/>
        <v>25</v>
      </c>
      <c r="I7">
        <v>2.2999999999999998</v>
      </c>
      <c r="J7">
        <v>1</v>
      </c>
      <c r="K7" s="3">
        <f t="shared" si="0"/>
        <v>0.30303030303030304</v>
      </c>
      <c r="L7" s="3">
        <f t="shared" si="2"/>
        <v>0.69696969696969702</v>
      </c>
      <c r="R7" s="12"/>
      <c r="S7" s="12"/>
      <c r="T7" s="19"/>
      <c r="U7" s="19"/>
      <c r="V7" s="19"/>
      <c r="W7" s="19"/>
      <c r="X7" s="19"/>
      <c r="Y7" s="19"/>
      <c r="Z7" s="19"/>
      <c r="AA7" s="19"/>
    </row>
    <row r="8" spans="4:27" x14ac:dyDescent="0.25">
      <c r="D8">
        <v>25</v>
      </c>
      <c r="E8" s="5">
        <f t="shared" si="1"/>
        <v>33.333333333333329</v>
      </c>
      <c r="I8" s="1">
        <v>2.5</v>
      </c>
      <c r="J8" s="1">
        <v>1</v>
      </c>
      <c r="K8" s="11">
        <f t="shared" si="0"/>
        <v>0.2857142857142857</v>
      </c>
      <c r="L8" s="11">
        <f t="shared" si="2"/>
        <v>0.7142857142857143</v>
      </c>
      <c r="N8" s="6">
        <v>0.3</v>
      </c>
      <c r="O8" s="6">
        <v>0.4</v>
      </c>
      <c r="P8" s="6">
        <v>0.3</v>
      </c>
      <c r="R8" s="12"/>
      <c r="S8" s="12"/>
      <c r="T8" s="19"/>
      <c r="U8" s="19"/>
      <c r="V8" s="19"/>
      <c r="W8" s="19"/>
      <c r="X8" s="19"/>
      <c r="Y8" s="19"/>
      <c r="Z8" s="19"/>
      <c r="AA8" s="19"/>
    </row>
    <row r="9" spans="4:27" x14ac:dyDescent="0.25">
      <c r="D9">
        <v>30</v>
      </c>
      <c r="E9" s="5">
        <f t="shared" si="1"/>
        <v>42.857142857142854</v>
      </c>
      <c r="I9">
        <v>3</v>
      </c>
      <c r="J9">
        <v>1</v>
      </c>
      <c r="K9" s="3">
        <f t="shared" si="0"/>
        <v>0.25</v>
      </c>
      <c r="L9" s="3">
        <f t="shared" si="2"/>
        <v>0.75</v>
      </c>
      <c r="R9" s="12"/>
      <c r="S9" s="12"/>
      <c r="T9" s="19"/>
      <c r="U9" s="19"/>
      <c r="V9" s="19"/>
      <c r="W9" s="19"/>
      <c r="X9" s="19"/>
      <c r="Y9" s="19"/>
      <c r="Z9" s="19"/>
      <c r="AA9" s="19"/>
    </row>
    <row r="10" spans="4:27" x14ac:dyDescent="0.25">
      <c r="D10">
        <v>35</v>
      </c>
      <c r="E10" s="5">
        <f t="shared" si="1"/>
        <v>53.846153846153847</v>
      </c>
      <c r="I10" s="1">
        <v>4</v>
      </c>
      <c r="J10" s="1">
        <v>1</v>
      </c>
      <c r="K10" s="11">
        <f t="shared" si="0"/>
        <v>0.2</v>
      </c>
      <c r="L10" s="11">
        <f t="shared" si="2"/>
        <v>0.8</v>
      </c>
      <c r="N10" s="6">
        <v>0.2</v>
      </c>
      <c r="O10" s="6">
        <v>0.3</v>
      </c>
      <c r="P10" s="6">
        <v>0.5</v>
      </c>
      <c r="R10" s="12"/>
      <c r="S10" s="12"/>
      <c r="T10" s="19"/>
      <c r="U10" s="19"/>
      <c r="V10" s="19"/>
      <c r="W10" s="19"/>
      <c r="X10" s="19"/>
      <c r="Y10" s="19"/>
      <c r="Z10" s="19"/>
      <c r="AA10" s="19"/>
    </row>
    <row r="11" spans="4:27" x14ac:dyDescent="0.25">
      <c r="D11">
        <v>40</v>
      </c>
      <c r="E11" s="5">
        <f t="shared" si="1"/>
        <v>66.666666666666657</v>
      </c>
      <c r="I11">
        <v>4.5</v>
      </c>
      <c r="J11">
        <v>1</v>
      </c>
      <c r="K11" s="3">
        <f t="shared" si="0"/>
        <v>0.18181818181818182</v>
      </c>
      <c r="L11" s="3">
        <f t="shared" si="2"/>
        <v>0.81818181818181812</v>
      </c>
      <c r="R11" s="12"/>
      <c r="S11" s="12"/>
      <c r="T11" s="19"/>
      <c r="U11" s="19"/>
      <c r="V11" s="19"/>
      <c r="W11" s="19"/>
      <c r="X11" s="19"/>
      <c r="Y11" s="19"/>
      <c r="Z11" s="19"/>
      <c r="AA11" s="19"/>
    </row>
    <row r="12" spans="4:27" x14ac:dyDescent="0.25">
      <c r="D12">
        <v>45</v>
      </c>
      <c r="E12" s="5">
        <f t="shared" si="1"/>
        <v>81.818181818181827</v>
      </c>
      <c r="I12">
        <v>3.5</v>
      </c>
      <c r="J12">
        <v>1</v>
      </c>
      <c r="K12" s="3">
        <f t="shared" si="0"/>
        <v>0.22222222222222221</v>
      </c>
      <c r="L12" s="3">
        <f t="shared" si="2"/>
        <v>0.77777777777777779</v>
      </c>
      <c r="R12" s="12"/>
      <c r="S12" s="12"/>
      <c r="T12" s="19"/>
      <c r="U12" s="19"/>
      <c r="V12" s="19"/>
      <c r="W12" s="19"/>
      <c r="X12" s="19"/>
      <c r="Y12" s="19"/>
      <c r="Z12" s="19"/>
      <c r="AA12" s="19"/>
    </row>
    <row r="13" spans="4:27" x14ac:dyDescent="0.25">
      <c r="D13">
        <v>50</v>
      </c>
      <c r="E13" s="5">
        <f t="shared" si="1"/>
        <v>100</v>
      </c>
      <c r="I13">
        <v>5</v>
      </c>
      <c r="J13">
        <v>1</v>
      </c>
      <c r="K13" s="3">
        <f t="shared" si="0"/>
        <v>0.16666666666666666</v>
      </c>
      <c r="L13" s="3">
        <f t="shared" si="2"/>
        <v>0.83333333333333337</v>
      </c>
      <c r="R13" s="12"/>
      <c r="S13" s="12"/>
      <c r="T13" s="19"/>
      <c r="U13" s="19"/>
      <c r="V13" s="19"/>
      <c r="W13" s="19"/>
      <c r="X13" s="19"/>
      <c r="Y13" s="19"/>
      <c r="Z13" s="19"/>
      <c r="AA13" s="19"/>
    </row>
    <row r="14" spans="4:27" x14ac:dyDescent="0.25">
      <c r="D14">
        <v>55</v>
      </c>
      <c r="E14" s="5">
        <f t="shared" si="1"/>
        <v>122.22222222222223</v>
      </c>
      <c r="I14">
        <v>5.5</v>
      </c>
      <c r="J14">
        <v>1</v>
      </c>
      <c r="K14" s="3">
        <f t="shared" si="0"/>
        <v>0.15384615384615385</v>
      </c>
      <c r="L14" s="3">
        <f t="shared" si="2"/>
        <v>0.84615384615384615</v>
      </c>
      <c r="R14" s="12"/>
      <c r="S14" s="12"/>
      <c r="T14" s="19"/>
      <c r="U14" s="19"/>
      <c r="V14" s="19"/>
      <c r="W14" s="19"/>
      <c r="X14" s="19"/>
      <c r="Y14" s="19"/>
      <c r="Z14" s="19"/>
      <c r="AA14" s="19"/>
    </row>
    <row r="15" spans="4:27" x14ac:dyDescent="0.25">
      <c r="D15">
        <v>60</v>
      </c>
      <c r="E15" s="5">
        <f t="shared" si="1"/>
        <v>150</v>
      </c>
      <c r="I15">
        <v>6</v>
      </c>
      <c r="J15">
        <v>1</v>
      </c>
      <c r="K15" s="3">
        <f t="shared" si="0"/>
        <v>0.14285714285714285</v>
      </c>
      <c r="L15" s="3">
        <f t="shared" si="2"/>
        <v>0.85714285714285721</v>
      </c>
      <c r="R15" s="12"/>
      <c r="S15" s="12"/>
      <c r="T15" s="19"/>
      <c r="U15" s="19"/>
      <c r="V15" s="19"/>
      <c r="W15" s="19"/>
      <c r="X15" s="19"/>
      <c r="Y15" s="19"/>
      <c r="Z15" s="19"/>
      <c r="AA15" s="19"/>
    </row>
    <row r="16" spans="4:27" x14ac:dyDescent="0.25">
      <c r="D16">
        <v>65</v>
      </c>
      <c r="E16" s="5">
        <f t="shared" si="1"/>
        <v>185.71428571428572</v>
      </c>
      <c r="I16">
        <v>6.5</v>
      </c>
      <c r="J16">
        <v>1</v>
      </c>
      <c r="K16" s="3">
        <f t="shared" si="0"/>
        <v>0.13333333333333333</v>
      </c>
      <c r="L16" s="3">
        <f t="shared" si="2"/>
        <v>0.8666666666666667</v>
      </c>
      <c r="R16" s="12"/>
      <c r="S16" s="12"/>
      <c r="T16" s="19"/>
      <c r="U16" s="19"/>
      <c r="V16" s="19"/>
      <c r="W16" s="19"/>
      <c r="X16" s="19"/>
      <c r="Y16" s="19"/>
      <c r="Z16" s="19"/>
      <c r="AA16" s="19"/>
    </row>
    <row r="17" spans="4:27" x14ac:dyDescent="0.25">
      <c r="D17">
        <v>70</v>
      </c>
      <c r="E17" s="5">
        <f t="shared" si="1"/>
        <v>233.33333333333334</v>
      </c>
      <c r="I17">
        <v>3.46</v>
      </c>
      <c r="J17">
        <v>1</v>
      </c>
      <c r="K17" s="3">
        <f t="shared" si="0"/>
        <v>0.22421524663677131</v>
      </c>
      <c r="L17" s="3">
        <f t="shared" si="2"/>
        <v>0.77578475336322872</v>
      </c>
      <c r="R17" s="12"/>
      <c r="S17" s="12"/>
      <c r="T17" s="19"/>
      <c r="U17" s="19"/>
      <c r="V17" s="19"/>
      <c r="W17" s="19"/>
      <c r="X17" s="19"/>
      <c r="Y17" s="19"/>
      <c r="Z17" s="19"/>
      <c r="AA17" s="19"/>
    </row>
    <row r="18" spans="4:27" x14ac:dyDescent="0.25">
      <c r="D18">
        <v>75</v>
      </c>
      <c r="E18" s="5">
        <f t="shared" si="1"/>
        <v>300</v>
      </c>
      <c r="I18">
        <v>11.2</v>
      </c>
      <c r="J18">
        <v>1</v>
      </c>
      <c r="K18" s="3">
        <f t="shared" si="0"/>
        <v>8.1967213114754106E-2</v>
      </c>
      <c r="L18" s="3">
        <f t="shared" si="2"/>
        <v>0.91803278688524592</v>
      </c>
      <c r="R18" s="12"/>
      <c r="S18" s="12"/>
      <c r="T18" s="19"/>
      <c r="U18" s="19"/>
      <c r="V18" s="19"/>
      <c r="W18" s="19"/>
      <c r="X18" s="19"/>
      <c r="Y18" s="19"/>
      <c r="Z18" s="19"/>
      <c r="AA18" s="19"/>
    </row>
    <row r="19" spans="4:27" x14ac:dyDescent="0.25">
      <c r="D19">
        <v>80</v>
      </c>
      <c r="E19" s="5">
        <f t="shared" si="1"/>
        <v>400</v>
      </c>
      <c r="I19">
        <v>45</v>
      </c>
      <c r="J19">
        <v>1</v>
      </c>
      <c r="K19" s="3">
        <f t="shared" si="0"/>
        <v>2.1739130434782608E-2</v>
      </c>
      <c r="L19" s="3">
        <f t="shared" si="2"/>
        <v>0.97826086956521741</v>
      </c>
      <c r="R19" s="12"/>
      <c r="S19" s="12"/>
      <c r="T19" s="19"/>
      <c r="U19" s="19"/>
      <c r="V19" s="19"/>
      <c r="W19" s="19"/>
      <c r="X19" s="19"/>
      <c r="Y19" s="19"/>
      <c r="Z19" s="19"/>
      <c r="AA19" s="19"/>
    </row>
    <row r="20" spans="4:27" x14ac:dyDescent="0.25">
      <c r="D20">
        <v>85</v>
      </c>
      <c r="E20" s="5">
        <f t="shared" si="1"/>
        <v>566.66666666666674</v>
      </c>
      <c r="I20">
        <v>0.5</v>
      </c>
      <c r="J20">
        <v>1</v>
      </c>
      <c r="K20" s="3">
        <f t="shared" si="0"/>
        <v>0.66666666666666663</v>
      </c>
      <c r="L20" s="3">
        <f t="shared" si="2"/>
        <v>0.33333333333333337</v>
      </c>
      <c r="R20" s="12"/>
      <c r="S20" s="12"/>
      <c r="T20" s="19"/>
      <c r="U20" s="19"/>
      <c r="V20" s="19"/>
      <c r="W20" s="19"/>
      <c r="X20" s="19"/>
      <c r="Y20" s="19"/>
      <c r="Z20" s="19"/>
      <c r="AA20" s="19"/>
    </row>
    <row r="21" spans="4:27" ht="15.75" thickBot="1" x14ac:dyDescent="0.3">
      <c r="D21">
        <v>90</v>
      </c>
      <c r="E21" s="5">
        <f t="shared" si="1"/>
        <v>900</v>
      </c>
      <c r="X21" s="20"/>
      <c r="Y21" s="21"/>
    </row>
    <row r="22" spans="4:27" x14ac:dyDescent="0.25">
      <c r="D22">
        <v>95</v>
      </c>
      <c r="E22" s="5">
        <f t="shared" si="1"/>
        <v>1900</v>
      </c>
    </row>
    <row r="23" spans="4:27" x14ac:dyDescent="0.25">
      <c r="E23" s="2"/>
    </row>
    <row r="25" spans="4:27" ht="18" x14ac:dyDescent="0.25">
      <c r="L25" s="7" t="s">
        <v>8</v>
      </c>
    </row>
    <row r="26" spans="4:27" x14ac:dyDescent="0.25">
      <c r="L26" s="9"/>
    </row>
    <row r="27" spans="4:27" x14ac:dyDescent="0.25">
      <c r="L27" s="10" t="s">
        <v>25</v>
      </c>
    </row>
    <row r="28" spans="4:27" ht="18" x14ac:dyDescent="0.25">
      <c r="D28" s="7" t="s">
        <v>9</v>
      </c>
    </row>
    <row r="30" spans="4:27" ht="18" x14ac:dyDescent="0.25">
      <c r="D30" s="8" t="s">
        <v>10</v>
      </c>
      <c r="L30" s="7" t="s">
        <v>26</v>
      </c>
    </row>
    <row r="31" spans="4:27" x14ac:dyDescent="0.25">
      <c r="D31" s="9"/>
      <c r="L31" s="9"/>
    </row>
    <row r="32" spans="4:27" x14ac:dyDescent="0.25">
      <c r="D32" s="10" t="s">
        <v>11</v>
      </c>
      <c r="L32" s="10" t="s">
        <v>27</v>
      </c>
    </row>
    <row r="33" spans="4:14" x14ac:dyDescent="0.25">
      <c r="D33" s="10" t="s">
        <v>12</v>
      </c>
    </row>
    <row r="34" spans="4:14" x14ac:dyDescent="0.25">
      <c r="D34" s="10" t="s">
        <v>13</v>
      </c>
    </row>
    <row r="36" spans="4:14" ht="15.75" x14ac:dyDescent="0.25">
      <c r="D36" s="8" t="s">
        <v>14</v>
      </c>
    </row>
    <row r="37" spans="4:14" x14ac:dyDescent="0.25">
      <c r="D37" s="9"/>
    </row>
    <row r="38" spans="4:14" x14ac:dyDescent="0.25">
      <c r="D38" s="10" t="s">
        <v>15</v>
      </c>
    </row>
    <row r="39" spans="4:14" x14ac:dyDescent="0.25">
      <c r="D39" s="10" t="s">
        <v>16</v>
      </c>
    </row>
    <row r="40" spans="4:14" x14ac:dyDescent="0.25">
      <c r="D40" s="10" t="s">
        <v>17</v>
      </c>
    </row>
    <row r="41" spans="4:14" x14ac:dyDescent="0.25">
      <c r="N41" t="s">
        <v>92</v>
      </c>
    </row>
    <row r="42" spans="4:14" ht="15.75" x14ac:dyDescent="0.25">
      <c r="D42" s="8" t="s">
        <v>18</v>
      </c>
      <c r="N42" s="9"/>
    </row>
    <row r="43" spans="4:14" x14ac:dyDescent="0.25">
      <c r="D43" s="9"/>
      <c r="N43" s="10" t="s">
        <v>93</v>
      </c>
    </row>
    <row r="44" spans="4:14" x14ac:dyDescent="0.25">
      <c r="D44" s="10" t="s">
        <v>19</v>
      </c>
      <c r="N44" s="9"/>
    </row>
    <row r="45" spans="4:14" x14ac:dyDescent="0.25">
      <c r="D45" s="10" t="s">
        <v>20</v>
      </c>
      <c r="N45" s="10" t="s">
        <v>94</v>
      </c>
    </row>
    <row r="46" spans="4:14" x14ac:dyDescent="0.25">
      <c r="D46" s="10" t="s">
        <v>21</v>
      </c>
      <c r="N46" s="9"/>
    </row>
    <row r="47" spans="4:14" x14ac:dyDescent="0.25">
      <c r="N47" s="9"/>
    </row>
    <row r="48" spans="4:14" x14ac:dyDescent="0.25">
      <c r="N48" s="17" t="s">
        <v>95</v>
      </c>
    </row>
    <row r="49" spans="3:14" x14ac:dyDescent="0.25">
      <c r="N49" s="17" t="s">
        <v>96</v>
      </c>
    </row>
    <row r="50" spans="3:14" x14ac:dyDescent="0.25">
      <c r="N50" s="17" t="s">
        <v>97</v>
      </c>
    </row>
    <row r="51" spans="3:14" x14ac:dyDescent="0.25">
      <c r="N51" s="9"/>
    </row>
    <row r="52" spans="3:14" x14ac:dyDescent="0.25">
      <c r="N52" s="10" t="s">
        <v>98</v>
      </c>
    </row>
    <row r="54" spans="3:14" x14ac:dyDescent="0.25">
      <c r="N54" t="s">
        <v>99</v>
      </c>
    </row>
    <row r="60" spans="3:14" x14ac:dyDescent="0.25">
      <c r="C60" t="s">
        <v>100</v>
      </c>
    </row>
    <row r="62" spans="3:14" ht="18" x14ac:dyDescent="0.25">
      <c r="C62" s="7" t="s">
        <v>101</v>
      </c>
    </row>
    <row r="63" spans="3:14" x14ac:dyDescent="0.25">
      <c r="C63" s="9"/>
    </row>
    <row r="64" spans="3:14" x14ac:dyDescent="0.25">
      <c r="C64" s="10" t="s">
        <v>102</v>
      </c>
    </row>
    <row r="65" spans="3:3" x14ac:dyDescent="0.25">
      <c r="C65" s="17" t="s">
        <v>103</v>
      </c>
    </row>
    <row r="66" spans="3:3" x14ac:dyDescent="0.25">
      <c r="C66" s="17" t="s">
        <v>104</v>
      </c>
    </row>
    <row r="67" spans="3:3" x14ac:dyDescent="0.25">
      <c r="C67" s="17" t="s">
        <v>105</v>
      </c>
    </row>
    <row r="68" spans="3:3" x14ac:dyDescent="0.25">
      <c r="C68" s="10" t="s">
        <v>106</v>
      </c>
    </row>
    <row r="69" spans="3:3" x14ac:dyDescent="0.25">
      <c r="C69" s="17" t="s">
        <v>107</v>
      </c>
    </row>
    <row r="70" spans="3:3" x14ac:dyDescent="0.25">
      <c r="C70" s="17" t="s">
        <v>108</v>
      </c>
    </row>
    <row r="72" spans="3:3" ht="18" x14ac:dyDescent="0.25">
      <c r="C72" s="7" t="s">
        <v>109</v>
      </c>
    </row>
    <row r="73" spans="3:3" x14ac:dyDescent="0.25">
      <c r="C73" s="9"/>
    </row>
    <row r="74" spans="3:3" x14ac:dyDescent="0.25">
      <c r="C74" s="10" t="s">
        <v>102</v>
      </c>
    </row>
    <row r="75" spans="3:3" x14ac:dyDescent="0.25">
      <c r="C75" s="9"/>
    </row>
    <row r="76" spans="3:3" x14ac:dyDescent="0.25">
      <c r="C76" s="9"/>
    </row>
    <row r="77" spans="3:3" x14ac:dyDescent="0.25">
      <c r="C77" s="17" t="s">
        <v>110</v>
      </c>
    </row>
    <row r="78" spans="3:3" x14ac:dyDescent="0.25">
      <c r="C78" s="17" t="s">
        <v>111</v>
      </c>
    </row>
    <row r="79" spans="3:3" x14ac:dyDescent="0.25">
      <c r="C79" s="17" t="s">
        <v>112</v>
      </c>
    </row>
    <row r="80" spans="3:3" x14ac:dyDescent="0.25">
      <c r="C80" s="9"/>
    </row>
    <row r="81" spans="3:3" x14ac:dyDescent="0.25">
      <c r="C81" s="10" t="s">
        <v>106</v>
      </c>
    </row>
    <row r="82" spans="3:3" x14ac:dyDescent="0.25">
      <c r="C82" s="9"/>
    </row>
    <row r="83" spans="3:3" x14ac:dyDescent="0.25">
      <c r="C83" s="9"/>
    </row>
    <row r="84" spans="3:3" x14ac:dyDescent="0.25">
      <c r="C84" s="17" t="s">
        <v>113</v>
      </c>
    </row>
    <row r="85" spans="3:3" x14ac:dyDescent="0.25">
      <c r="C85" s="17" t="s">
        <v>114</v>
      </c>
    </row>
    <row r="89" spans="3:3" ht="18" x14ac:dyDescent="0.25">
      <c r="C89" s="7" t="s">
        <v>115</v>
      </c>
    </row>
    <row r="90" spans="3:3" x14ac:dyDescent="0.25">
      <c r="C90" s="9"/>
    </row>
    <row r="91" spans="3:3" x14ac:dyDescent="0.25">
      <c r="C91" s="10" t="s">
        <v>116</v>
      </c>
    </row>
    <row r="92" spans="3:3" x14ac:dyDescent="0.25">
      <c r="C92" s="10" t="s">
        <v>117</v>
      </c>
    </row>
    <row r="94" spans="3:3" ht="18" x14ac:dyDescent="0.25">
      <c r="C94" s="7" t="s">
        <v>118</v>
      </c>
    </row>
    <row r="96" spans="3:3" x14ac:dyDescent="0.25">
      <c r="C96" t="s">
        <v>119</v>
      </c>
    </row>
    <row r="98" spans="3:3" x14ac:dyDescent="0.25">
      <c r="C98" t="s">
        <v>120</v>
      </c>
    </row>
  </sheetData>
  <mergeCells count="1">
    <mergeCell ref="K2:L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05361E-5F8D-45BF-861D-E0FDBDAB87F1}">
  <dimension ref="B2:T27"/>
  <sheetViews>
    <sheetView workbookViewId="0">
      <selection activeCell="Q9" sqref="Q9"/>
    </sheetView>
  </sheetViews>
  <sheetFormatPr defaultRowHeight="15" x14ac:dyDescent="0.25"/>
  <cols>
    <col min="2" max="2" width="11.85546875" customWidth="1"/>
    <col min="3" max="3" width="11.28515625" customWidth="1"/>
    <col min="4" max="4" width="12.5703125" customWidth="1"/>
    <col min="5" max="5" width="23.7109375" customWidth="1"/>
    <col min="6" max="6" width="17.28515625" customWidth="1"/>
    <col min="7" max="7" width="20.28515625" customWidth="1"/>
    <col min="8" max="8" width="29.42578125" bestFit="1" customWidth="1"/>
    <col min="9" max="9" width="17.85546875" customWidth="1"/>
    <col min="11" max="11" width="10.42578125" bestFit="1" customWidth="1"/>
  </cols>
  <sheetData>
    <row r="2" spans="2:20" x14ac:dyDescent="0.25">
      <c r="C2" t="s">
        <v>169</v>
      </c>
      <c r="D2" t="s">
        <v>170</v>
      </c>
      <c r="E2" t="s">
        <v>166</v>
      </c>
      <c r="F2" t="s">
        <v>167</v>
      </c>
      <c r="G2" t="s">
        <v>168</v>
      </c>
      <c r="H2" t="s">
        <v>171</v>
      </c>
      <c r="I2" t="s">
        <v>172</v>
      </c>
    </row>
    <row r="3" spans="2:20" x14ac:dyDescent="0.25">
      <c r="C3">
        <f>SUM(Table13[[Qty ]])</f>
        <v>10</v>
      </c>
      <c r="D3" s="2">
        <f>AVERAGE(Table13[Unit Price])</f>
        <v>3000</v>
      </c>
      <c r="E3">
        <f>SUM(Table13[Cost of Qty purchased])</f>
        <v>30000</v>
      </c>
      <c r="F3">
        <f>SUM(Table1[Quantity Sold])</f>
        <v>0</v>
      </c>
      <c r="G3">
        <f>C3-F3</f>
        <v>10</v>
      </c>
    </row>
    <row r="7" spans="2:20" x14ac:dyDescent="0.25">
      <c r="B7" t="s">
        <v>153</v>
      </c>
      <c r="C7" t="s">
        <v>154</v>
      </c>
      <c r="D7" t="s">
        <v>126</v>
      </c>
      <c r="E7" t="s">
        <v>155</v>
      </c>
      <c r="F7" t="s">
        <v>156</v>
      </c>
      <c r="G7" t="s">
        <v>157</v>
      </c>
      <c r="H7" t="s">
        <v>158</v>
      </c>
      <c r="I7" t="s">
        <v>159</v>
      </c>
      <c r="K7" t="s">
        <v>7</v>
      </c>
      <c r="L7" t="s">
        <v>134</v>
      </c>
      <c r="M7" t="s">
        <v>152</v>
      </c>
      <c r="P7" t="s">
        <v>160</v>
      </c>
      <c r="Q7" cm="1">
        <f t="array" ref="Q7">SUMPRODUCT(Table1[Quantity Sold] * Table1[Selling Price])</f>
        <v>0</v>
      </c>
      <c r="S7" t="s">
        <v>163</v>
      </c>
      <c r="T7">
        <f>SUM(Table1[Quantity Sold])</f>
        <v>0</v>
      </c>
    </row>
    <row r="8" spans="2:20" x14ac:dyDescent="0.25">
      <c r="B8" s="37">
        <v>44562</v>
      </c>
      <c r="C8">
        <v>5</v>
      </c>
      <c r="D8">
        <v>1000</v>
      </c>
      <c r="E8">
        <f>Table13[[#This Row],[Qty ]]*Table13[[#This Row],[Unit Price]]</f>
        <v>5000</v>
      </c>
      <c r="F8">
        <f>MIN(C8,SUM(Table1[Quantity Sold])-SUM(F$7:F7))</f>
        <v>0</v>
      </c>
      <c r="G8">
        <f>Table13[[#This Row],[Qty ]]-Table13[[#This Row],[Units Sold]]</f>
        <v>5</v>
      </c>
      <c r="H8">
        <f>Table13[[#This Row],[Units Sold]]*Table13[[#This Row],[Unit Price]]</f>
        <v>0</v>
      </c>
      <c r="I8">
        <f>Table13[[#This Row],[Units Remaining]]*Table13[[#This Row],[Unit Price]]</f>
        <v>5000</v>
      </c>
      <c r="K8" s="37">
        <v>44570</v>
      </c>
      <c r="L8">
        <v>0</v>
      </c>
      <c r="M8">
        <v>7000</v>
      </c>
      <c r="P8" t="s">
        <v>161</v>
      </c>
      <c r="Q8">
        <f>SUM('Test Purchases'!H:H)</f>
        <v>0</v>
      </c>
      <c r="S8" t="s">
        <v>164</v>
      </c>
      <c r="T8">
        <f>SUM('Test Purchases'!C:C)</f>
        <v>20</v>
      </c>
    </row>
    <row r="9" spans="2:20" x14ac:dyDescent="0.25">
      <c r="B9" s="37">
        <v>44569</v>
      </c>
      <c r="C9">
        <v>5</v>
      </c>
      <c r="D9">
        <v>5000</v>
      </c>
      <c r="E9">
        <f>Table13[[#This Row],[Qty ]]*Table13[[#This Row],[Unit Price]]</f>
        <v>25000</v>
      </c>
      <c r="F9">
        <f>MIN(C9,SUM(Table1[Quantity Sold])-SUM(F$7:F8))</f>
        <v>0</v>
      </c>
      <c r="G9">
        <f>Table13[[#This Row],[Qty ]]-Table13[[#This Row],[Units Sold]]</f>
        <v>5</v>
      </c>
      <c r="H9">
        <f>Table13[[#This Row],[Units Sold]]*Table13[[#This Row],[Unit Price]]</f>
        <v>0</v>
      </c>
      <c r="I9">
        <f>Table13[[#This Row],[Units Remaining]]*Table13[[#This Row],[Unit Price]]</f>
        <v>25000</v>
      </c>
      <c r="K9" s="37">
        <v>44576</v>
      </c>
      <c r="L9">
        <v>0</v>
      </c>
      <c r="M9">
        <v>10000</v>
      </c>
      <c r="P9" t="s">
        <v>162</v>
      </c>
      <c r="Q9">
        <f>Q7-Q8</f>
        <v>0</v>
      </c>
      <c r="S9" t="s">
        <v>165</v>
      </c>
      <c r="T9">
        <f>T8-T7</f>
        <v>20</v>
      </c>
    </row>
    <row r="10" spans="2:20" x14ac:dyDescent="0.25">
      <c r="B10" s="37"/>
      <c r="E10">
        <f>Table13[[#This Row],[Qty ]]*Table13[[#This Row],[Unit Price]]</f>
        <v>0</v>
      </c>
      <c r="F10">
        <f>MIN(C10,SUM(Table1[Quantity Sold])-SUM(F$7:F9))</f>
        <v>0</v>
      </c>
      <c r="G10">
        <f>Table13[[#This Row],[Qty ]]-Table13[[#This Row],[Units Sold]]</f>
        <v>0</v>
      </c>
      <c r="H10">
        <f>Table13[[#This Row],[Units Sold]]*Table13[[#This Row],[Unit Price]]</f>
        <v>0</v>
      </c>
      <c r="I10">
        <f>Table13[[#This Row],[Units Remaining]]*Table13[[#This Row],[Unit Price]]</f>
        <v>0</v>
      </c>
      <c r="K10" s="37"/>
    </row>
    <row r="11" spans="2:20" x14ac:dyDescent="0.25">
      <c r="B11" s="37"/>
      <c r="E11">
        <f>Table13[[#This Row],[Qty ]]*Table13[[#This Row],[Unit Price]]</f>
        <v>0</v>
      </c>
      <c r="F11">
        <f>MIN(C11,SUM(Table1[Quantity Sold])-SUM(F$7:F10))</f>
        <v>0</v>
      </c>
      <c r="G11">
        <f>Table13[[#This Row],[Qty ]]-Table13[[#This Row],[Units Sold]]</f>
        <v>0</v>
      </c>
      <c r="H11">
        <f>Table13[[#This Row],[Units Sold]]*Table13[[#This Row],[Unit Price]]</f>
        <v>0</v>
      </c>
      <c r="I11">
        <f>Table13[[#This Row],[Units Remaining]]*Table13[[#This Row],[Unit Price]]</f>
        <v>0</v>
      </c>
      <c r="K11" s="37"/>
    </row>
    <row r="12" spans="2:20" x14ac:dyDescent="0.25">
      <c r="B12" s="37"/>
      <c r="E12">
        <f>Table13[[#This Row],[Qty ]]*Table13[[#This Row],[Unit Price]]</f>
        <v>0</v>
      </c>
      <c r="F12">
        <f>MIN(C12,SUM(Table1[Quantity Sold])-SUM(F$7:F11))</f>
        <v>0</v>
      </c>
      <c r="G12">
        <f>Table13[[#This Row],[Qty ]]-Table13[[#This Row],[Units Sold]]</f>
        <v>0</v>
      </c>
      <c r="H12">
        <f>Table13[[#This Row],[Units Sold]]*Table13[[#This Row],[Unit Price]]</f>
        <v>0</v>
      </c>
      <c r="I12">
        <f>Table13[[#This Row],[Units Remaining]]*Table13[[#This Row],[Unit Price]]</f>
        <v>0</v>
      </c>
      <c r="K12" s="37"/>
    </row>
    <row r="13" spans="2:20" x14ac:dyDescent="0.25">
      <c r="B13" s="37"/>
      <c r="E13">
        <f>Table13[[#This Row],[Qty ]]*Table13[[#This Row],[Unit Price]]</f>
        <v>0</v>
      </c>
      <c r="F13">
        <f>MIN(C13,SUM(Table1[Quantity Sold])-SUM(F$7:F12))</f>
        <v>0</v>
      </c>
      <c r="G13">
        <f>Table13[[#This Row],[Qty ]]-Table13[[#This Row],[Units Sold]]</f>
        <v>0</v>
      </c>
      <c r="H13">
        <f>Table13[[#This Row],[Units Sold]]*Table13[[#This Row],[Unit Price]]</f>
        <v>0</v>
      </c>
    </row>
    <row r="14" spans="2:20" x14ac:dyDescent="0.25">
      <c r="B14" s="37"/>
      <c r="E14">
        <f>Table13[[#This Row],[Qty ]]*Table13[[#This Row],[Unit Price]]</f>
        <v>0</v>
      </c>
      <c r="F14">
        <f>MIN(C14,SUM(Table1[Quantity Sold])-SUM(F$7:F13))</f>
        <v>0</v>
      </c>
      <c r="G14">
        <f>Table13[[#This Row],[Qty ]]-Table13[[#This Row],[Units Sold]]</f>
        <v>0</v>
      </c>
      <c r="H14">
        <f>Table13[[#This Row],[Units Sold]]*Table13[[#This Row],[Unit Price]]</f>
        <v>0</v>
      </c>
      <c r="I14">
        <f>Table13[[#This Row],[Units Remaining]]*Table13[[#This Row],[Unit Price]]</f>
        <v>0</v>
      </c>
    </row>
    <row r="15" spans="2:20" x14ac:dyDescent="0.25">
      <c r="B15" s="37"/>
      <c r="E15">
        <f>Table13[[#This Row],[Qty ]]*Table13[[#This Row],[Unit Price]]</f>
        <v>0</v>
      </c>
      <c r="F15">
        <f>MIN(C15,SUM(Table1[Quantity Sold])-SUM(F$7:F14))</f>
        <v>0</v>
      </c>
      <c r="G15">
        <f>Table13[[#This Row],[Qty ]]-Table13[[#This Row],[Units Sold]]</f>
        <v>0</v>
      </c>
      <c r="H15">
        <f>Table13[[#This Row],[Units Sold]]*Table13[[#This Row],[Unit Price]]</f>
        <v>0</v>
      </c>
      <c r="I15">
        <f>Table13[[#This Row],[Units Remaining]]*Table13[[#This Row],[Unit Price]]</f>
        <v>0</v>
      </c>
    </row>
    <row r="21" spans="5:8" x14ac:dyDescent="0.25">
      <c r="E21" t="s">
        <v>7</v>
      </c>
      <c r="F21" t="s">
        <v>28</v>
      </c>
      <c r="G21" t="s">
        <v>173</v>
      </c>
      <c r="H21" t="s">
        <v>174</v>
      </c>
    </row>
    <row r="22" spans="5:8" x14ac:dyDescent="0.25">
      <c r="E22">
        <v>1</v>
      </c>
      <c r="F22" t="s">
        <v>175</v>
      </c>
    </row>
    <row r="23" spans="5:8" x14ac:dyDescent="0.25">
      <c r="E23">
        <v>2</v>
      </c>
      <c r="F23" t="s">
        <v>175</v>
      </c>
    </row>
    <row r="24" spans="5:8" x14ac:dyDescent="0.25">
      <c r="E24">
        <v>3</v>
      </c>
      <c r="F24" t="s">
        <v>176</v>
      </c>
    </row>
    <row r="25" spans="5:8" x14ac:dyDescent="0.25">
      <c r="E25">
        <v>4</v>
      </c>
      <c r="F25" t="s">
        <v>175</v>
      </c>
    </row>
    <row r="26" spans="5:8" x14ac:dyDescent="0.25">
      <c r="E26">
        <v>5</v>
      </c>
      <c r="F26" t="s">
        <v>175</v>
      </c>
    </row>
    <row r="27" spans="5:8" x14ac:dyDescent="0.25">
      <c r="E27">
        <v>6</v>
      </c>
      <c r="F27" t="s">
        <v>176</v>
      </c>
    </row>
  </sheetData>
  <pageMargins left="0.7" right="0.7" top="0.75" bottom="0.75" header="0.3" footer="0.3"/>
  <tableParts count="2">
    <tablePart r:id="rId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A68D3D-7C8E-49F4-8ABE-D8AFF0CA72C0}">
  <dimension ref="A1:O22"/>
  <sheetViews>
    <sheetView workbookViewId="0">
      <selection activeCell="L22" sqref="L22"/>
    </sheetView>
  </sheetViews>
  <sheetFormatPr defaultRowHeight="15" x14ac:dyDescent="0.25"/>
  <cols>
    <col min="1" max="1" width="10.42578125" bestFit="1" customWidth="1"/>
    <col min="5" max="5" width="12.42578125" bestFit="1" customWidth="1"/>
    <col min="6" max="6" width="18" bestFit="1" customWidth="1"/>
    <col min="14" max="14" width="10.42578125" bestFit="1" customWidth="1"/>
    <col min="15" max="15" width="11.42578125" bestFit="1" customWidth="1"/>
  </cols>
  <sheetData>
    <row r="1" spans="1:15" x14ac:dyDescent="0.25">
      <c r="A1" t="s">
        <v>177</v>
      </c>
      <c r="B1" t="s">
        <v>178</v>
      </c>
      <c r="C1" t="s">
        <v>179</v>
      </c>
      <c r="D1" t="s">
        <v>180</v>
      </c>
      <c r="E1" t="s">
        <v>181</v>
      </c>
      <c r="F1" t="s">
        <v>182</v>
      </c>
      <c r="G1" t="s">
        <v>183</v>
      </c>
      <c r="H1" t="s">
        <v>161</v>
      </c>
    </row>
    <row r="2" spans="1:15" x14ac:dyDescent="0.25">
      <c r="A2">
        <v>1</v>
      </c>
      <c r="B2" t="s">
        <v>29</v>
      </c>
      <c r="C2">
        <v>5</v>
      </c>
      <c r="D2">
        <v>1000</v>
      </c>
      <c r="E2">
        <f>C2*D2</f>
        <v>5000</v>
      </c>
      <c r="F2">
        <f>IF(B2="Buy",
    IF(ROW()=2, C2, F1 + C2),
    IF(B2="Sell",
        IF(ROW()=2, -C2, F1 - C2),
        F1
    )
)</f>
        <v>5</v>
      </c>
      <c r="G2">
        <f>IF(B2="Buy",
   (IF(F2-C2=0, 0, (F2-C2)*G1) + E2) / F2,
   IF(B2="Sell",
      G1,
      0
   )
)</f>
        <v>1000</v>
      </c>
      <c r="H2">
        <f>IF(B2="Sell", C2 * G2, 0)</f>
        <v>0</v>
      </c>
    </row>
    <row r="3" spans="1:15" x14ac:dyDescent="0.25">
      <c r="A3">
        <v>2</v>
      </c>
      <c r="B3" t="s">
        <v>29</v>
      </c>
      <c r="C3">
        <v>5</v>
      </c>
      <c r="D3">
        <v>5000</v>
      </c>
      <c r="E3">
        <f>C3*D3</f>
        <v>25000</v>
      </c>
      <c r="F3">
        <f t="shared" ref="F3:F6" si="0">IF(B3="Buy",
    IF(ROW()=2, C3, F2 + C3),
    IF(B3="Sell",
        IF(ROW()=2, -C3, F2 - C3),
        F2
    )
)</f>
        <v>10</v>
      </c>
      <c r="G3">
        <f>IF(B3="Buy",
   (IF(F3-C3=0, 0, (F3-C3)*G2) + E3) / F3,
   IF(B3="Sell",
      G2,
      0
   )
)</f>
        <v>3000</v>
      </c>
      <c r="H3">
        <f>IF(B3="Sell", C3 * G3, 0)</f>
        <v>0</v>
      </c>
    </row>
    <row r="4" spans="1:15" x14ac:dyDescent="0.25">
      <c r="A4">
        <v>3</v>
      </c>
      <c r="B4" t="s">
        <v>122</v>
      </c>
      <c r="C4">
        <v>5</v>
      </c>
      <c r="D4">
        <v>7000</v>
      </c>
      <c r="F4">
        <f t="shared" si="0"/>
        <v>5</v>
      </c>
      <c r="G4">
        <f>IF(B4="Buy",
   (IF(F4-C4=0, 0, (F4-C4)*G3) + E4) / F4,
   IF(B4="Sell",
      G3,
      0
   )
)</f>
        <v>3000</v>
      </c>
      <c r="H4">
        <f>IF(B4="Sell", C4 * G4, 0)</f>
        <v>15000</v>
      </c>
    </row>
    <row r="5" spans="1:15" x14ac:dyDescent="0.25">
      <c r="A5">
        <v>4</v>
      </c>
      <c r="B5" t="s">
        <v>29</v>
      </c>
      <c r="C5">
        <v>5</v>
      </c>
      <c r="D5">
        <v>10000</v>
      </c>
      <c r="E5">
        <f>C5*D5</f>
        <v>50000</v>
      </c>
      <c r="F5">
        <f t="shared" si="0"/>
        <v>10</v>
      </c>
      <c r="G5">
        <f>IF(B5="Buy",
   (IF(F5-C5=0, 0, (F5-C5)*G4) + E5) / F5,
   IF(B5="Sell",
      G4,
      0
   )
)</f>
        <v>6500</v>
      </c>
      <c r="H5">
        <f>IF(B5="Sell", C5 * G5, 0)</f>
        <v>0</v>
      </c>
    </row>
    <row r="6" spans="1:15" x14ac:dyDescent="0.25">
      <c r="A6">
        <v>5</v>
      </c>
      <c r="B6" t="s">
        <v>122</v>
      </c>
      <c r="C6">
        <v>10</v>
      </c>
      <c r="D6">
        <v>20000</v>
      </c>
      <c r="E6">
        <f>C6*D6</f>
        <v>200000</v>
      </c>
      <c r="F6">
        <f t="shared" si="0"/>
        <v>0</v>
      </c>
      <c r="G6">
        <f>IF(B6="Buy",
   (IF(F6-C6=0, 0, (F6-C6)*G5) + E6) / F6,
   IF(B6="Sell",
      G5,
      0
   )
)</f>
        <v>6500</v>
      </c>
      <c r="H6">
        <f>IF(B6="Sell", C6 * G6, 0)</f>
        <v>65000</v>
      </c>
    </row>
    <row r="11" spans="1:15" ht="45" x14ac:dyDescent="0.25">
      <c r="A11" s="16" t="s">
        <v>7</v>
      </c>
      <c r="B11" s="16" t="s">
        <v>28</v>
      </c>
      <c r="C11" s="16" t="s">
        <v>123</v>
      </c>
      <c r="D11" s="16" t="s">
        <v>125</v>
      </c>
      <c r="E11" s="16" t="s">
        <v>126</v>
      </c>
      <c r="F11" s="16" t="s">
        <v>128</v>
      </c>
      <c r="G11" s="16" t="s">
        <v>150</v>
      </c>
      <c r="H11" s="16" t="s">
        <v>151</v>
      </c>
      <c r="I11" s="16" t="s">
        <v>130</v>
      </c>
      <c r="J11" s="16" t="s">
        <v>132</v>
      </c>
      <c r="K11" s="32" t="s">
        <v>131</v>
      </c>
      <c r="L11" s="16" t="s">
        <v>135</v>
      </c>
      <c r="M11" s="44" t="s">
        <v>146</v>
      </c>
      <c r="N11" s="41" t="s">
        <v>184</v>
      </c>
      <c r="O11" s="41" t="s">
        <v>185</v>
      </c>
    </row>
    <row r="12" spans="1:15" x14ac:dyDescent="0.25">
      <c r="A12" s="25">
        <v>45656</v>
      </c>
      <c r="B12" s="12" t="s">
        <v>121</v>
      </c>
      <c r="C12" s="35"/>
      <c r="D12" s="16"/>
      <c r="E12" s="29"/>
      <c r="F12" s="26">
        <v>50000</v>
      </c>
      <c r="G12" s="28" t="str">
        <f>IF(B12="Buy", D12*E12, "")</f>
        <v/>
      </c>
      <c r="H12" s="28" t="str">
        <f>IF(B12="Sell", D12*E12, "")</f>
        <v/>
      </c>
      <c r="I12" s="24">
        <f t="shared" ref="I12:I21" si="1">IF(OR(B12="Buy", B12="Sell"), D12 * $V$2, D12 * $V$2)</f>
        <v>0</v>
      </c>
      <c r="J12" s="26">
        <f t="shared" ref="J12:J21" si="2">IF(OR(B12="Buy", B12="Sell"), I12 * E12,  I12 * E12)</f>
        <v>0</v>
      </c>
      <c r="K12" s="33" t="str">
        <f t="shared" ref="K12:K21" si="3">IF(B12="Buy", D12 - I12, IF(B12="Sell", D12 - I12, ""))</f>
        <v/>
      </c>
      <c r="L12" s="28">
        <f>IF(B12="Deposit", F12, IF(B12="Withdrawal", -F12, IF(B12="Buy", -G12, IF(B12="Sell", H12 - J12, 0))))</f>
        <v>50000</v>
      </c>
      <c r="M12" s="45">
        <f>IF(B12="Buy",
    SUMIFS(D$1:D12, C$1:C12, C12, B$1:B12, "Buy") - SUMIFS(D$1:D12, C$1:C12, C12, B$1:B12, "Sell"),
    IF(B12="Sell",
        SUMIFS(D$1:D12, C$1:C12, C12, B$1:B12, "Buy") - SUMIFS(D$1:D12, C$1:C12, C12, B$1:B12, "Sell"),
        0
    )
)</f>
        <v>0</v>
      </c>
      <c r="N12" s="42">
        <f t="shared" ref="N12:N19" si="4">IF(B12="Buy",
   (IF(M12-D12=0, 0, (M12-D12)*N11) + G12) / M12,
   IF(B12="Sell",
      N11,
      0
   )
)</f>
        <v>0</v>
      </c>
      <c r="O12" s="42" t="str">
        <f t="shared" ref="O12:O19" si="5">IF(B12="Sell", N12 * D12, "")</f>
        <v/>
      </c>
    </row>
    <row r="13" spans="1:15" x14ac:dyDescent="0.25">
      <c r="A13" s="25">
        <v>45656</v>
      </c>
      <c r="B13" s="39" t="s">
        <v>29</v>
      </c>
      <c r="C13" s="12" t="s">
        <v>124</v>
      </c>
      <c r="D13" s="24">
        <v>5</v>
      </c>
      <c r="E13" s="26">
        <v>1000</v>
      </c>
      <c r="F13" s="26"/>
      <c r="G13" s="28">
        <f t="shared" ref="G13:G21" si="6">IF(B13="Buy", D13*E13, "")</f>
        <v>5000</v>
      </c>
      <c r="H13" s="28" t="str">
        <f t="shared" ref="H13:H21" si="7">IF(B13="Sell", D13*E13, "")</f>
        <v/>
      </c>
      <c r="I13" s="24">
        <f t="shared" si="1"/>
        <v>0</v>
      </c>
      <c r="J13" s="26">
        <f t="shared" si="2"/>
        <v>0</v>
      </c>
      <c r="K13" s="33">
        <f t="shared" si="3"/>
        <v>5</v>
      </c>
      <c r="L13" s="28">
        <f t="shared" ref="L13:L21" si="8">IF(B13="Deposit", F13, IF(B13="Withdrawal", -F13, IF(B13="Buy", -G13, IF(B13="Sell", H13 - J13, 0))))</f>
        <v>-5000</v>
      </c>
      <c r="M13" s="45">
        <f>IF(B13="Buy",
    SUMIFS(D$1:D13, C$1:C13, C13, B$1:B13, "Buy") - SUMIFS(D$1:D13, C$1:C13, C13, B$1:B13, "Sell"),
    IF(B13="Sell",
        SUMIFS(D$1:D13, C$1:C13, C13, B$1:B13, "Buy") - SUMIFS(D$1:D13, C$1:C13, C13, B$1:B13, "Sell"),
        0
    )
)</f>
        <v>5</v>
      </c>
      <c r="N13" s="42">
        <f t="shared" si="4"/>
        <v>1000</v>
      </c>
      <c r="O13" s="42" t="str">
        <f t="shared" si="5"/>
        <v/>
      </c>
    </row>
    <row r="14" spans="1:15" x14ac:dyDescent="0.25">
      <c r="A14" s="22">
        <v>45658</v>
      </c>
      <c r="B14" s="39" t="s">
        <v>29</v>
      </c>
      <c r="C14" s="12" t="s">
        <v>124</v>
      </c>
      <c r="D14" s="24">
        <v>5</v>
      </c>
      <c r="E14" s="26">
        <v>5000</v>
      </c>
      <c r="F14" s="26"/>
      <c r="G14" s="28">
        <f t="shared" si="6"/>
        <v>25000</v>
      </c>
      <c r="H14" s="28" t="str">
        <f t="shared" si="7"/>
        <v/>
      </c>
      <c r="I14" s="24">
        <f t="shared" si="1"/>
        <v>0</v>
      </c>
      <c r="J14" s="26">
        <f t="shared" si="2"/>
        <v>0</v>
      </c>
      <c r="K14" s="33">
        <f t="shared" si="3"/>
        <v>5</v>
      </c>
      <c r="L14" s="28">
        <f t="shared" si="8"/>
        <v>-25000</v>
      </c>
      <c r="M14" s="45">
        <f>IF(B14="Buy",
    SUMIFS(D$1:D14, C$1:C14, C14, B$1:B14, "Buy") - SUMIFS(D$1:D14, C$1:C14, C14, B$1:B14, "Sell"),
    IF(B14="Sell",
        SUMIFS(D$1:D14, C$1:C14, C14, B$1:B14, "Buy") - SUMIFS(D$1:D14, C$1:C14, C14, B$1:B14, "Sell"),
        0
    )
)</f>
        <v>10</v>
      </c>
      <c r="N14" s="42">
        <f t="shared" si="4"/>
        <v>3000</v>
      </c>
      <c r="O14" s="42" t="str">
        <f t="shared" si="5"/>
        <v/>
      </c>
    </row>
    <row r="15" spans="1:15" x14ac:dyDescent="0.25">
      <c r="A15" s="22">
        <v>45659</v>
      </c>
      <c r="B15" s="40" t="s">
        <v>122</v>
      </c>
      <c r="C15" s="12" t="s">
        <v>124</v>
      </c>
      <c r="D15" s="24">
        <v>1</v>
      </c>
      <c r="E15" s="26">
        <v>7000</v>
      </c>
      <c r="F15" s="26"/>
      <c r="G15" s="28" t="str">
        <f t="shared" si="6"/>
        <v/>
      </c>
      <c r="H15" s="28">
        <f t="shared" si="7"/>
        <v>7000</v>
      </c>
      <c r="I15" s="24">
        <f t="shared" si="1"/>
        <v>0</v>
      </c>
      <c r="J15" s="26">
        <f t="shared" si="2"/>
        <v>0</v>
      </c>
      <c r="K15" s="33">
        <f t="shared" si="3"/>
        <v>1</v>
      </c>
      <c r="L15" s="28">
        <f t="shared" si="8"/>
        <v>7000</v>
      </c>
      <c r="M15" s="45">
        <f>IF(B15="Buy",
    SUMIFS(D$1:D15, C$1:C15, C15, B$1:B15, "Buy") - SUMIFS(D$1:D15, C$1:C15, C15, B$1:B15, "Sell"),
    IF(B15="Sell",
        SUMIFS(D$1:D15, C$1:C15, C15, B$1:B15, "Buy") - SUMIFS(D$1:D15, C$1:C15, C15, B$1:B15, "Sell"),
        0
    )
)</f>
        <v>9</v>
      </c>
      <c r="N15" s="42">
        <f t="shared" si="4"/>
        <v>3000</v>
      </c>
      <c r="O15" s="42">
        <f t="shared" si="5"/>
        <v>3000</v>
      </c>
    </row>
    <row r="16" spans="1:15" x14ac:dyDescent="0.25">
      <c r="A16" s="22">
        <v>45668</v>
      </c>
      <c r="B16" s="39" t="s">
        <v>29</v>
      </c>
      <c r="C16" s="12" t="s">
        <v>124</v>
      </c>
      <c r="D16" s="24">
        <v>1</v>
      </c>
      <c r="E16" s="15">
        <v>10000</v>
      </c>
      <c r="F16" s="15"/>
      <c r="G16" s="28">
        <f t="shared" si="6"/>
        <v>10000</v>
      </c>
      <c r="H16" s="28" t="str">
        <f t="shared" si="7"/>
        <v/>
      </c>
      <c r="I16" s="24">
        <f t="shared" si="1"/>
        <v>0</v>
      </c>
      <c r="J16" s="26">
        <f t="shared" si="2"/>
        <v>0</v>
      </c>
      <c r="K16" s="33">
        <f t="shared" si="3"/>
        <v>1</v>
      </c>
      <c r="L16" s="28">
        <f t="shared" si="8"/>
        <v>-10000</v>
      </c>
      <c r="M16" s="45">
        <f>IF(B16="Buy",
    SUMIFS(D$1:D16, C$1:C16, C16, B$1:B16, "Buy") - SUMIFS(D$1:D16, C$1:C16, C16, B$1:B16, "Sell"),
    IF(B16="Sell",
        SUMIFS(D$1:D16, C$1:C16, C16, B$1:B16, "Buy") - SUMIFS(D$1:D16, C$1:C16, C16, B$1:B16, "Sell"),
        0
    )
)</f>
        <v>10</v>
      </c>
      <c r="N16" s="42">
        <f t="shared" si="4"/>
        <v>3700</v>
      </c>
      <c r="O16" s="42" t="str">
        <f t="shared" si="5"/>
        <v/>
      </c>
    </row>
    <row r="17" spans="1:15" x14ac:dyDescent="0.25">
      <c r="A17" s="22">
        <v>45670</v>
      </c>
      <c r="B17" s="39" t="s">
        <v>29</v>
      </c>
      <c r="C17" s="12" t="s">
        <v>124</v>
      </c>
      <c r="D17" s="24">
        <v>1</v>
      </c>
      <c r="E17" s="15">
        <v>20000</v>
      </c>
      <c r="F17" s="15"/>
      <c r="G17" s="28">
        <f t="shared" si="6"/>
        <v>20000</v>
      </c>
      <c r="H17" s="28" t="str">
        <f t="shared" si="7"/>
        <v/>
      </c>
      <c r="I17" s="24">
        <f t="shared" si="1"/>
        <v>0</v>
      </c>
      <c r="J17" s="26">
        <f t="shared" si="2"/>
        <v>0</v>
      </c>
      <c r="K17" s="33">
        <f t="shared" si="3"/>
        <v>1</v>
      </c>
      <c r="L17" s="28">
        <f t="shared" si="8"/>
        <v>-20000</v>
      </c>
      <c r="M17" s="45">
        <f>IF(B17="Buy",
    SUMIFS(D$1:D17, C$1:C17, C17, B$1:B17, "Buy") - SUMIFS(D$1:D17, C$1:C17, C17, B$1:B17, "Sell"),
    IF(B17="Sell",
        SUMIFS(D$1:D17, C$1:C17, C17, B$1:B17, "Buy") - SUMIFS(D$1:D17, C$1:C17, C17, B$1:B17, "Sell"),
        0
    )
)</f>
        <v>11</v>
      </c>
      <c r="N17" s="42">
        <f t="shared" si="4"/>
        <v>5181.818181818182</v>
      </c>
      <c r="O17" s="42" t="str">
        <f t="shared" si="5"/>
        <v/>
      </c>
    </row>
    <row r="18" spans="1:15" x14ac:dyDescent="0.25">
      <c r="A18" s="22">
        <v>45670</v>
      </c>
      <c r="B18" s="39" t="s">
        <v>122</v>
      </c>
      <c r="C18" s="12" t="s">
        <v>124</v>
      </c>
      <c r="D18" s="24">
        <v>4</v>
      </c>
      <c r="E18" s="15">
        <v>100000</v>
      </c>
      <c r="G18" s="28" t="str">
        <f t="shared" si="6"/>
        <v/>
      </c>
      <c r="H18" s="28">
        <f t="shared" si="7"/>
        <v>400000</v>
      </c>
      <c r="I18" s="24">
        <f t="shared" si="1"/>
        <v>0</v>
      </c>
      <c r="J18" s="26">
        <f t="shared" si="2"/>
        <v>0</v>
      </c>
      <c r="K18" s="33">
        <f t="shared" si="3"/>
        <v>4</v>
      </c>
      <c r="L18" s="28">
        <f t="shared" si="8"/>
        <v>400000</v>
      </c>
      <c r="M18" s="45">
        <f>IF(B18="Buy",
    SUMIFS(D$1:D18, C$1:C18, C18, B$1:B18, "Buy") - SUMIFS(D$1:D18, C$1:C18, C18, B$1:B18, "Sell"),
    IF(B18="Sell",
        SUMIFS(D$1:D18, C$1:C18, C18, B$1:B18, "Buy") - SUMIFS(D$1:D18, C$1:C18, C18, B$1:B18, "Sell"),
        0
    )
)</f>
        <v>7</v>
      </c>
      <c r="N18" s="42">
        <f t="shared" si="4"/>
        <v>5181.818181818182</v>
      </c>
      <c r="O18" s="42">
        <f t="shared" si="5"/>
        <v>20727.272727272728</v>
      </c>
    </row>
    <row r="19" spans="1:15" x14ac:dyDescent="0.25">
      <c r="A19" s="37">
        <v>45671</v>
      </c>
      <c r="B19" s="40" t="s">
        <v>29</v>
      </c>
      <c r="C19" s="12" t="s">
        <v>124</v>
      </c>
      <c r="D19" s="24">
        <v>2</v>
      </c>
      <c r="E19" s="15">
        <v>10000</v>
      </c>
      <c r="G19" s="28">
        <f t="shared" si="6"/>
        <v>20000</v>
      </c>
      <c r="H19" s="28" t="str">
        <f t="shared" si="7"/>
        <v/>
      </c>
      <c r="I19" s="24">
        <f t="shared" si="1"/>
        <v>0</v>
      </c>
      <c r="J19" s="26">
        <f t="shared" si="2"/>
        <v>0</v>
      </c>
      <c r="K19" s="33">
        <f t="shared" si="3"/>
        <v>2</v>
      </c>
      <c r="L19" s="28">
        <f t="shared" si="8"/>
        <v>-20000</v>
      </c>
      <c r="M19" s="45">
        <f>IF(B19="Buy",
    SUMIFS(D$1:D19, C$1:C19, C19, B$1:B19, "Buy") - SUMIFS(D$1:D19, C$1:C19, C19, B$1:B19, "Sell"),
    IF(B19="Sell",
        SUMIFS(D$1:D19, C$1:C19, C19, B$1:B19, "Buy") - SUMIFS(D$1:D19, C$1:C19, C19, B$1:B19, "Sell"),
        0
    )
)</f>
        <v>9</v>
      </c>
      <c r="N19" s="42">
        <f t="shared" si="4"/>
        <v>6252.5252525252527</v>
      </c>
      <c r="O19" s="42" t="str">
        <f t="shared" si="5"/>
        <v/>
      </c>
    </row>
    <row r="20" spans="1:15" x14ac:dyDescent="0.25">
      <c r="A20" s="37">
        <v>45672</v>
      </c>
      <c r="B20" s="12" t="s">
        <v>29</v>
      </c>
      <c r="C20" s="12" t="s">
        <v>124</v>
      </c>
      <c r="D20" s="24">
        <v>3</v>
      </c>
      <c r="E20" s="15">
        <v>5000</v>
      </c>
      <c r="G20" s="28">
        <f t="shared" si="6"/>
        <v>15000</v>
      </c>
      <c r="H20" s="28" t="str">
        <f t="shared" si="7"/>
        <v/>
      </c>
      <c r="I20" s="24">
        <f t="shared" si="1"/>
        <v>0</v>
      </c>
      <c r="J20" s="26">
        <f t="shared" si="2"/>
        <v>0</v>
      </c>
      <c r="K20" s="34">
        <f t="shared" si="3"/>
        <v>3</v>
      </c>
      <c r="L20" s="38">
        <f t="shared" si="8"/>
        <v>-15000</v>
      </c>
      <c r="M20" s="45">
        <f>IF(B20="Buy",
    SUMIFS(D$1:D20, C$1:C20, C20, B$1:B20, "Buy") - SUMIFS(D$1:D20, C$1:C20, C20, B$1:B20, "Sell"),
    IF(B20="Sell",
        SUMIFS(D$1:D20, C$1:C20, C20, B$1:B20, "Buy") - SUMIFS(D$1:D20, C$1:C20, C20, B$1:B20, "Sell"),
        0
    )
)</f>
        <v>12</v>
      </c>
      <c r="N20" s="42">
        <f t="shared" ref="N20:N21" si="9">IF(B20="Buy",
   (IF(M20-D20=0, 0, (M20-D20)*N19) + G20) / M20,
   IF(B20="Sell",
      N19,
      0
   )
)</f>
        <v>5939.393939393939</v>
      </c>
      <c r="O20" s="42" t="str">
        <f t="shared" ref="O20:O21" si="10">IF(B20="Sell", N20 * D20, "")</f>
        <v/>
      </c>
    </row>
    <row r="21" spans="1:15" x14ac:dyDescent="0.25">
      <c r="A21" s="37">
        <v>45673</v>
      </c>
      <c r="B21" s="12" t="s">
        <v>122</v>
      </c>
      <c r="C21" s="12" t="s">
        <v>124</v>
      </c>
      <c r="D21" s="24">
        <v>8</v>
      </c>
      <c r="E21" s="15">
        <v>1000</v>
      </c>
      <c r="G21" s="28" t="str">
        <f t="shared" si="6"/>
        <v/>
      </c>
      <c r="H21" s="28">
        <f t="shared" si="7"/>
        <v>8000</v>
      </c>
      <c r="I21" s="24">
        <f t="shared" si="1"/>
        <v>0</v>
      </c>
      <c r="J21" s="26">
        <f t="shared" si="2"/>
        <v>0</v>
      </c>
      <c r="K21" s="34">
        <f t="shared" si="3"/>
        <v>8</v>
      </c>
      <c r="L21" s="28">
        <f t="shared" si="8"/>
        <v>8000</v>
      </c>
      <c r="M21" s="45">
        <f>IF(B21="Buy",
    SUMIFS(D$1:D21, C$1:C21, C21, B$1:B21, "Buy") - SUMIFS(D$1:D21, C$1:C21, C21, B$1:B21, "Sell"),
    IF(B21="Sell",
        SUMIFS(D$1:D21, C$1:C21, C21, B$1:B21, "Buy") - SUMIFS(D$1:D21, C$1:C21, C21, B$1:B21, "Sell"),
        0
    )
)</f>
        <v>4</v>
      </c>
      <c r="N21" s="42">
        <f t="shared" si="9"/>
        <v>5939.393939393939</v>
      </c>
      <c r="O21" s="42">
        <f t="shared" si="10"/>
        <v>47515.151515151512</v>
      </c>
    </row>
    <row r="22" spans="1:15" x14ac:dyDescent="0.25">
      <c r="B22" s="12"/>
      <c r="K22" s="34"/>
    </row>
  </sheetData>
  <dataValidations count="1">
    <dataValidation type="list" allowBlank="1" showInputMessage="1" showErrorMessage="1" sqref="B12:B22" xr:uid="{47496CF6-7FAF-46A5-99F8-BD65C697FA0E}">
      <formula1>"Buy, Sell, Deposit, Withdrawal"</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986971-F41A-431D-91FE-17371BB04E2C}">
  <dimension ref="A1:AA28"/>
  <sheetViews>
    <sheetView tabSelected="1" workbookViewId="0">
      <selection activeCell="M9" sqref="M9"/>
    </sheetView>
  </sheetViews>
  <sheetFormatPr defaultRowHeight="15" x14ac:dyDescent="0.25"/>
  <cols>
    <col min="1" max="1" width="10.42578125" bestFit="1" customWidth="1"/>
    <col min="2" max="2" width="14.7109375" bestFit="1" customWidth="1"/>
    <col min="3" max="3" width="7" customWidth="1"/>
    <col min="4" max="4" width="8.7109375" bestFit="1" customWidth="1"/>
    <col min="5" max="5" width="12.42578125" bestFit="1" customWidth="1"/>
    <col min="6" max="6" width="18.85546875" bestFit="1" customWidth="1"/>
    <col min="7" max="7" width="11.140625" bestFit="1" customWidth="1"/>
    <col min="8" max="8" width="14.42578125" bestFit="1" customWidth="1"/>
    <col min="9" max="9" width="11" bestFit="1" customWidth="1"/>
    <col min="10" max="10" width="7.28515625" bestFit="1" customWidth="1"/>
    <col min="11" max="11" width="12.42578125" style="34" bestFit="1" customWidth="1"/>
    <col min="12" max="12" width="9.7109375" bestFit="1" customWidth="1"/>
    <col min="13" max="13" width="10.5703125" bestFit="1" customWidth="1"/>
    <col min="14" max="15" width="11.42578125" bestFit="1" customWidth="1"/>
    <col min="16" max="16" width="13.7109375" bestFit="1" customWidth="1"/>
    <col min="17" max="17" width="11.42578125" bestFit="1" customWidth="1"/>
    <col min="18" max="20" width="14.140625" customWidth="1"/>
    <col min="21" max="21" width="11" customWidth="1"/>
    <col min="23" max="23" width="21" bestFit="1" customWidth="1"/>
    <col min="24" max="24" width="19.7109375" bestFit="1" customWidth="1"/>
  </cols>
  <sheetData>
    <row r="1" spans="1:27" s="1" customFormat="1" ht="30" x14ac:dyDescent="0.25">
      <c r="A1" s="16" t="s">
        <v>7</v>
      </c>
      <c r="B1" s="16" t="s">
        <v>28</v>
      </c>
      <c r="C1" s="16" t="s">
        <v>186</v>
      </c>
      <c r="D1" s="16" t="s">
        <v>125</v>
      </c>
      <c r="E1" s="16" t="s">
        <v>126</v>
      </c>
      <c r="F1" s="16" t="s">
        <v>128</v>
      </c>
      <c r="G1" s="16" t="s">
        <v>150</v>
      </c>
      <c r="H1" s="16" t="s">
        <v>151</v>
      </c>
      <c r="I1" s="16" t="s">
        <v>130</v>
      </c>
      <c r="J1" s="16" t="s">
        <v>132</v>
      </c>
      <c r="K1" s="32" t="s">
        <v>131</v>
      </c>
      <c r="L1" s="16" t="s">
        <v>135</v>
      </c>
      <c r="M1" s="44" t="s">
        <v>146</v>
      </c>
      <c r="N1" s="44" t="s">
        <v>183</v>
      </c>
      <c r="O1" s="44" t="s">
        <v>161</v>
      </c>
      <c r="P1" s="41" t="s">
        <v>184</v>
      </c>
      <c r="Q1" s="41" t="s">
        <v>185</v>
      </c>
      <c r="R1" s="41" t="s">
        <v>149</v>
      </c>
      <c r="S1" s="41" t="s">
        <v>145</v>
      </c>
      <c r="T1" s="41" t="s">
        <v>148</v>
      </c>
      <c r="U1" s="16" t="s">
        <v>127</v>
      </c>
      <c r="W1" s="1" t="s">
        <v>136</v>
      </c>
      <c r="X1" s="27" t="s">
        <v>133</v>
      </c>
      <c r="Z1" s="1" t="s">
        <v>129</v>
      </c>
    </row>
    <row r="2" spans="1:27" s="1" customFormat="1" x14ac:dyDescent="0.25">
      <c r="A2" s="25">
        <v>45656</v>
      </c>
      <c r="B2" s="12" t="s">
        <v>121</v>
      </c>
      <c r="C2" s="35"/>
      <c r="D2" s="16"/>
      <c r="E2" s="29"/>
      <c r="F2" s="26">
        <v>50000</v>
      </c>
      <c r="G2" s="28" t="str">
        <f>IF(B2="Buy", D2*E2, "")</f>
        <v/>
      </c>
      <c r="H2" s="28" t="str">
        <f>IF(B2="Sell", D2*E2, "")</f>
        <v/>
      </c>
      <c r="I2" s="24">
        <f t="shared" ref="I2:I11" si="0">IF(OR(B2="Buy", B2="Sell"), D2 * $X$2, D2 * $X$2)</f>
        <v>0</v>
      </c>
      <c r="J2" s="26">
        <f t="shared" ref="J2:J11" si="1">IF(OR(B2="Buy", B2="Sell"), I2 * E2,  I2 * E2)</f>
        <v>0</v>
      </c>
      <c r="K2" s="33" t="str">
        <f t="shared" ref="K2:K11" si="2">IF(B2="Buy", D2 - I2, IF(B2="Sell", D2 - I2, ""))</f>
        <v/>
      </c>
      <c r="L2" s="28">
        <f>IF(B2="Deposit", F2, IF(B2="Withdrawal", -F2, IF(B2="Buy", -G2, IF(B2="Sell", H2 - J2, 0))))</f>
        <v>50000</v>
      </c>
      <c r="M2" s="45">
        <f>IF(B2="Buy",
    SUMIFS(D$1:D2, C$1:C2, C2, B$1:B2, "Buy") - SUMIFS(D$1:D2, C$1:C2, C2, B$1:B2, "Sell"),
    IF(B2="Sell",
        SUMIFS(D$1:D2, C$1:C2, C2, B$1:B2, "Buy") - SUMIFS(D$1:D2, C$1:C2, C2, B$1:B2, "Sell"),
        0
    )
)</f>
        <v>0</v>
      </c>
      <c r="N2" s="46" cm="1">
        <f t="array" ref="N2">IF(B2="Buy",
   (IF(M2-D2=0, 0, (M2-D2)*IFERROR(INDEX(N$1:N1, MATCH(1, (C$1:C1=C2)*(B$1:B1="Buy"), 0)), 0)) + G2) / M2,
   IF(B2="Sell",
      IF(M2=0,
         SUMIFS(G$1:G1, C$1:C1, C2) / SUMIFS(D$1:D1, C$1:C1, C2),
         IFERROR(INDEX(N$1:N1, MATCH(1, (C$1:C1=C2)*(B$1:B1="Buy"), 0)), 0)
      ),
      0
   )
)</f>
        <v>0</v>
      </c>
      <c r="O2" s="46" t="str">
        <f t="shared" ref="O2:O16" si="3">IF(B2="Sell", N2 * D2, "")</f>
        <v/>
      </c>
      <c r="P2" s="43">
        <f t="shared" ref="P2:P9" si="4">IF(B2="Buy",
   (IF(M2-D2=0, 0, (M2-D2)*P1) + G2) / M2,
   IF(B2="Sell",
      P1,
      0
   )
)</f>
        <v>0</v>
      </c>
      <c r="Q2" s="42" t="str">
        <f t="shared" ref="Q2:Q9" si="5">IF(B2="Sell", P2 * D2, "")</f>
        <v/>
      </c>
      <c r="R2" s="42"/>
      <c r="S2" s="42" t="str">
        <f t="shared" ref="S2:S11" si="6">IF(B2="Sell", ((E2 - N2) * D2)-J2, "")</f>
        <v/>
      </c>
      <c r="T2" s="42"/>
      <c r="U2" s="24"/>
      <c r="V2"/>
      <c r="W2" s="18">
        <f>SUM(L:L)</f>
        <v>370000</v>
      </c>
      <c r="X2" s="30">
        <v>0</v>
      </c>
    </row>
    <row r="3" spans="1:27" s="1" customFormat="1" x14ac:dyDescent="0.25">
      <c r="A3" s="25">
        <v>45656</v>
      </c>
      <c r="B3" s="39" t="s">
        <v>29</v>
      </c>
      <c r="C3" s="12" t="s">
        <v>187</v>
      </c>
      <c r="D3" s="24">
        <v>5</v>
      </c>
      <c r="E3" s="26">
        <v>1000</v>
      </c>
      <c r="F3" s="26"/>
      <c r="G3" s="28">
        <f t="shared" ref="G3:G11" si="7">IF(B3="Buy", D3*E3, "")</f>
        <v>5000</v>
      </c>
      <c r="H3" s="28" t="str">
        <f t="shared" ref="H3:H11" si="8">IF(B3="Sell", D3*E3, "")</f>
        <v/>
      </c>
      <c r="I3" s="24">
        <f t="shared" si="0"/>
        <v>0</v>
      </c>
      <c r="J3" s="26">
        <f t="shared" si="1"/>
        <v>0</v>
      </c>
      <c r="K3" s="33">
        <f t="shared" si="2"/>
        <v>5</v>
      </c>
      <c r="L3" s="28">
        <f t="shared" ref="L3:L11" si="9">IF(B3="Deposit", F3, IF(B3="Withdrawal", -F3, IF(B3="Buy", -G3, IF(B3="Sell", H3 - J3, 0))))</f>
        <v>-5000</v>
      </c>
      <c r="M3" s="45">
        <f>IF(B3="Buy",
    SUMIFS(D$1:D3, C$1:C3, C3, B$1:B3, "Buy") - SUMIFS(D$1:D3, C$1:C3, C3, B$1:B3, "Sell"),
    IF(B3="Sell",
        SUMIFS(D$1:D3, C$1:C3, C3, B$1:B3, "Buy") - SUMIFS(D$1:D3, C$1:C3, C3, B$1:B3, "Sell"),
        0
    )
)</f>
        <v>5</v>
      </c>
      <c r="N3" s="46" cm="1">
        <f t="array" ref="N3">IF(B3="Buy",
   (IF(M3-D3=0, 0, (M3-D3)*IFERROR(INDEX(N$1:N2, MATCH(1, (C$1:C2=C3)*(B$1:B2="Buy"), 0)), 0)) + G3) / M3,
   IF(B3="Sell",
      IF(M3=0,
         SUMIFS(G$1:G2, C$1:C2, C3) / SUMIFS(D$1:D2, C$1:C2, C3),
         IFERROR(INDEX(N$1:N2, MATCH(1, (C$1:C2=C3)*(B$1:B2="Buy"), 0)), 0)
      ),
      0
   )
)</f>
        <v>1000</v>
      </c>
      <c r="O3" s="46" t="str">
        <f t="shared" si="3"/>
        <v/>
      </c>
      <c r="P3" s="43">
        <f t="shared" si="4"/>
        <v>1000</v>
      </c>
      <c r="Q3" s="42" t="str">
        <f t="shared" si="5"/>
        <v/>
      </c>
      <c r="R3" s="42"/>
      <c r="S3" s="42" t="str">
        <f t="shared" si="6"/>
        <v/>
      </c>
      <c r="T3" s="42"/>
      <c r="V3"/>
      <c r="W3" s="18"/>
      <c r="X3" s="30"/>
    </row>
    <row r="4" spans="1:27" x14ac:dyDescent="0.25">
      <c r="A4" s="22">
        <v>45658</v>
      </c>
      <c r="B4" s="39" t="s">
        <v>29</v>
      </c>
      <c r="C4" s="12" t="s">
        <v>188</v>
      </c>
      <c r="D4" s="24">
        <v>5</v>
      </c>
      <c r="E4" s="26">
        <v>5000</v>
      </c>
      <c r="F4" s="26"/>
      <c r="G4" s="28">
        <f t="shared" si="7"/>
        <v>25000</v>
      </c>
      <c r="H4" s="28" t="str">
        <f t="shared" si="8"/>
        <v/>
      </c>
      <c r="I4" s="24">
        <f t="shared" si="0"/>
        <v>0</v>
      </c>
      <c r="J4" s="26">
        <f t="shared" si="1"/>
        <v>0</v>
      </c>
      <c r="K4" s="33">
        <f t="shared" si="2"/>
        <v>5</v>
      </c>
      <c r="L4" s="28">
        <f t="shared" si="9"/>
        <v>-25000</v>
      </c>
      <c r="M4" s="45">
        <f>IF(B4="Buy",
    SUMIFS(D$1:D4, C$1:C4, C4, B$1:B4, "Buy") - SUMIFS(D$1:D4, C$1:C4, C4, B$1:B4, "Sell"),
    IF(B4="Sell",
        SUMIFS(D$1:D4, C$1:C4, C4, B$1:B4, "Buy") - SUMIFS(D$1:D4, C$1:C4, C4, B$1:B4, "Sell"),
        0
    )
)</f>
        <v>5</v>
      </c>
      <c r="N4" s="46" cm="1">
        <f t="array" ref="N4">IF(B4="Buy",
   (IF(M4-D4=0, 0, (M4-D4)*IFERROR(INDEX(N$1:N3, MATCH(1, (C$1:C3=C4)*(B$1:B3="Buy"), 0)), 0)) + G4) / M4,
   IF(B4="Sell",
      IF(M4=0,
         SUMIFS(G$1:G3, C$1:C3, C4) / SUMIFS(D$1:D3, C$1:C3, C4),
         IFERROR(INDEX(N$1:N3, MATCH(1, (C$1:C3=C4)*(B$1:B3="Buy"), 0)), 0)
      ),
      0
   )
)</f>
        <v>5000</v>
      </c>
      <c r="O4" s="46" t="str">
        <f t="shared" si="3"/>
        <v/>
      </c>
      <c r="P4" s="43">
        <f t="shared" si="4"/>
        <v>5000</v>
      </c>
      <c r="Q4" s="42" t="str">
        <f t="shared" si="5"/>
        <v/>
      </c>
      <c r="R4" s="42"/>
      <c r="S4" s="42" t="str">
        <f t="shared" si="6"/>
        <v/>
      </c>
      <c r="T4" s="42"/>
      <c r="U4" s="24"/>
    </row>
    <row r="5" spans="1:27" x14ac:dyDescent="0.25">
      <c r="A5" s="22">
        <v>45659</v>
      </c>
      <c r="B5" s="40" t="s">
        <v>122</v>
      </c>
      <c r="C5" s="12" t="s">
        <v>187</v>
      </c>
      <c r="D5" s="24">
        <v>1</v>
      </c>
      <c r="E5" s="26">
        <v>7000</v>
      </c>
      <c r="F5" s="26"/>
      <c r="G5" s="28" t="str">
        <f t="shared" si="7"/>
        <v/>
      </c>
      <c r="H5" s="28">
        <f t="shared" si="8"/>
        <v>7000</v>
      </c>
      <c r="I5" s="24">
        <f t="shared" si="0"/>
        <v>0</v>
      </c>
      <c r="J5" s="26">
        <f t="shared" si="1"/>
        <v>0</v>
      </c>
      <c r="K5" s="33">
        <f t="shared" si="2"/>
        <v>1</v>
      </c>
      <c r="L5" s="28">
        <f t="shared" si="9"/>
        <v>7000</v>
      </c>
      <c r="M5" s="45">
        <f>IF(B5="Buy",
    SUMIFS(D$1:D5, C$1:C5, C5, B$1:B5, "Buy") - SUMIFS(D$1:D5, C$1:C5, C5, B$1:B5, "Sell"),
    IF(B5="Sell",
        SUMIFS(D$1:D5, C$1:C5, C5, B$1:B5, "Buy") - SUMIFS(D$1:D5, C$1:C5, C5, B$1:B5, "Sell"),
        0
    )
)</f>
        <v>4</v>
      </c>
      <c r="N5" s="46" cm="1">
        <f t="array" ref="N5">IF(B5="Buy",
   (IF(M5-D5=0, 0, (M5-D5)*IFERROR(INDEX(N$1:N4, MATCH(1, (C$1:C4=C5)*(B$1:B4="Buy"), 0)), 0)) + G5) / M5,
   IF(B5="Sell",
      IF(M5=0,
         SUMIFS(G$1:G4, C$1:C4, C5) / SUMIFS(D$1:D4, C$1:C4, C5),
         IFERROR(INDEX(N$1:N4, MATCH(1, (C$1:C4=C5)*(B$1:B4="Buy"), 0)), 0)
      ),
      0
   )
)</f>
        <v>1000</v>
      </c>
      <c r="O5" s="46">
        <f t="shared" si="3"/>
        <v>1000</v>
      </c>
      <c r="P5" s="43">
        <f t="shared" si="4"/>
        <v>5000</v>
      </c>
      <c r="Q5" s="42">
        <f t="shared" si="5"/>
        <v>5000</v>
      </c>
      <c r="R5" s="42"/>
      <c r="S5" s="42">
        <f t="shared" si="6"/>
        <v>6000</v>
      </c>
      <c r="T5" s="42"/>
      <c r="U5" s="24"/>
    </row>
    <row r="6" spans="1:27" x14ac:dyDescent="0.25">
      <c r="A6" s="22">
        <v>45668</v>
      </c>
      <c r="B6" s="39" t="s">
        <v>29</v>
      </c>
      <c r="C6" s="12" t="s">
        <v>188</v>
      </c>
      <c r="D6" s="24">
        <v>1</v>
      </c>
      <c r="E6" s="15">
        <v>10000</v>
      </c>
      <c r="F6" s="15"/>
      <c r="G6" s="28">
        <f t="shared" si="7"/>
        <v>10000</v>
      </c>
      <c r="H6" s="28" t="str">
        <f t="shared" si="8"/>
        <v/>
      </c>
      <c r="I6" s="24">
        <f t="shared" si="0"/>
        <v>0</v>
      </c>
      <c r="J6" s="26">
        <f t="shared" si="1"/>
        <v>0</v>
      </c>
      <c r="K6" s="33">
        <f t="shared" si="2"/>
        <v>1</v>
      </c>
      <c r="L6" s="28">
        <f t="shared" si="9"/>
        <v>-10000</v>
      </c>
      <c r="M6" s="45">
        <f>IF(B6="Buy",
    SUMIFS(D$1:D6, C$1:C6, C6, B$1:B6, "Buy") - SUMIFS(D$1:D6, C$1:C6, C6, B$1:B6, "Sell"),
    IF(B6="Sell",
        SUMIFS(D$1:D6, C$1:C6, C6, B$1:B6, "Buy") - SUMIFS(D$1:D6, C$1:C6, C6, B$1:B6, "Sell"),
        0
    )
)</f>
        <v>6</v>
      </c>
      <c r="N6" s="46" cm="1">
        <f t="array" ref="N6">IF(B6="Buy",
   (IF(M6-D6=0, 0, (M6-D6)*IFERROR(INDEX(N$1:N5, MATCH(1, (C$1:C5=C6)*(B$1:B5="Buy"), 0)), 0)) + G6) / M6,
   IF(B6="Sell",
      IF(M6=0,
         SUMIFS(G$1:G5, C$1:C5, C6) / SUMIFS(D$1:D5, C$1:C5, C6),
         IFERROR(INDEX(N$1:N5, MATCH(1, (C$1:C5=C6)*(B$1:B5="Buy"), 0)), 0)
      ),
      0
   )
)</f>
        <v>5833.333333333333</v>
      </c>
      <c r="O6" s="46" t="str">
        <f t="shared" si="3"/>
        <v/>
      </c>
      <c r="P6" s="43">
        <f t="shared" si="4"/>
        <v>5833.333333333333</v>
      </c>
      <c r="Q6" s="42" t="str">
        <f t="shared" si="5"/>
        <v/>
      </c>
      <c r="R6" s="42"/>
      <c r="S6" s="42" t="str">
        <f t="shared" si="6"/>
        <v/>
      </c>
      <c r="T6" s="42"/>
      <c r="U6" s="24"/>
      <c r="W6" t="s">
        <v>137</v>
      </c>
      <c r="X6" s="18">
        <v>5000</v>
      </c>
      <c r="Z6">
        <v>1</v>
      </c>
      <c r="AA6">
        <v>1.03</v>
      </c>
    </row>
    <row r="7" spans="1:27" x14ac:dyDescent="0.25">
      <c r="A7" s="22">
        <v>45670</v>
      </c>
      <c r="B7" s="39" t="s">
        <v>29</v>
      </c>
      <c r="C7" s="12" t="s">
        <v>187</v>
      </c>
      <c r="D7" s="24">
        <v>1</v>
      </c>
      <c r="E7" s="15">
        <v>20000</v>
      </c>
      <c r="F7" s="15"/>
      <c r="G7" s="28">
        <f t="shared" si="7"/>
        <v>20000</v>
      </c>
      <c r="H7" s="28" t="str">
        <f t="shared" si="8"/>
        <v/>
      </c>
      <c r="I7" s="24">
        <f t="shared" si="0"/>
        <v>0</v>
      </c>
      <c r="J7" s="26">
        <f t="shared" si="1"/>
        <v>0</v>
      </c>
      <c r="K7" s="33">
        <f t="shared" si="2"/>
        <v>1</v>
      </c>
      <c r="L7" s="28">
        <f t="shared" si="9"/>
        <v>-20000</v>
      </c>
      <c r="M7" s="45">
        <f>IF(B7="Buy",
    SUMIFS(D$1:D7, C$1:C7, C7, B$1:B7, "Buy") - SUMIFS(D$1:D7, C$1:C7, C7, B$1:B7, "Sell"),
    IF(B7="Sell",
        SUMIFS(D$1:D7, C$1:C7, C7, B$1:B7, "Buy") - SUMIFS(D$1:D7, C$1:C7, C7, B$1:B7, "Sell"),
        0
    )
)</f>
        <v>5</v>
      </c>
      <c r="N7" s="46" cm="1">
        <f t="array" ref="N7">IF(B7="Buy",
   (IF(M7-D7=0, 0, (M7-D7)*IFERROR(INDEX(N$1:N6, MATCH(1, (C$1:C6=C7)*(B$1:B6="Buy"), 0)), 0)) + G7) / M7,
   IF(B7="Sell",
      IF(M7=0,
         SUMIFS(G$1:G6, C$1:C6, C7) / SUMIFS(D$1:D6, C$1:C6, C7),
         IFERROR(INDEX(N$1:N6, MATCH(1, (C$1:C6=C7)*(B$1:B6="Buy"), 0)), 0)
      ),
      0
   )
)</f>
        <v>4800</v>
      </c>
      <c r="O7" s="46" t="str">
        <f t="shared" si="3"/>
        <v/>
      </c>
      <c r="P7" s="43">
        <f t="shared" si="4"/>
        <v>8666.6666666666661</v>
      </c>
      <c r="Q7" s="42" t="str">
        <f t="shared" si="5"/>
        <v/>
      </c>
      <c r="R7" s="42"/>
      <c r="S7" s="42" t="str">
        <f t="shared" si="6"/>
        <v/>
      </c>
      <c r="T7" s="42"/>
      <c r="U7" s="24"/>
      <c r="W7" t="s">
        <v>138</v>
      </c>
      <c r="X7" s="36">
        <f>X6-AA6</f>
        <v>4998.97</v>
      </c>
    </row>
    <row r="8" spans="1:27" x14ac:dyDescent="0.25">
      <c r="A8" s="22">
        <v>45670</v>
      </c>
      <c r="B8" s="39" t="s">
        <v>122</v>
      </c>
      <c r="C8" s="12" t="s">
        <v>187</v>
      </c>
      <c r="D8" s="24">
        <v>4</v>
      </c>
      <c r="E8" s="15">
        <v>100000</v>
      </c>
      <c r="G8" s="28" t="str">
        <f t="shared" si="7"/>
        <v/>
      </c>
      <c r="H8" s="28">
        <f t="shared" si="8"/>
        <v>400000</v>
      </c>
      <c r="I8" s="24">
        <f t="shared" si="0"/>
        <v>0</v>
      </c>
      <c r="J8" s="26">
        <f t="shared" si="1"/>
        <v>0</v>
      </c>
      <c r="K8" s="33">
        <f t="shared" si="2"/>
        <v>4</v>
      </c>
      <c r="L8" s="28">
        <f t="shared" si="9"/>
        <v>400000</v>
      </c>
      <c r="M8" s="45">
        <f>IF(B8="Buy",
    SUMIFS(D$1:D8, C$1:C8, C8, B$1:B8, "Buy") - SUMIFS(D$1:D8, C$1:C8, C8, B$1:B8, "Sell"),
    IF(B8="Sell",
        SUMIFS(D$1:D8, C$1:C8, C8, B$1:B8, "Buy") - SUMIFS(D$1:D8, C$1:C8, C8, B$1:B8, "Sell"),
        0
    )
)</f>
        <v>1</v>
      </c>
      <c r="N8" s="46" cm="1">
        <f t="array" ref="N8">IF(B8="Buy",
   (IF(M8-D8=0, 0, (M8-D8)*IFERROR(INDEX(N$1:N7, MATCH(1, (C$1:C7=C8)*(B$1:B7="Buy"), 0)), 0)) + G8) / M8,
   IF(B8="Sell",
      IF(M8=0,
         SUMIFS(G$1:G7, C$1:C7, C8) / SUMIFS(D$1:D7, C$1:C7, C8),
         IFERROR(INDEX(N$1:N7, MATCH(1, (C$1:C7=C8)*(B$1:B7="Buy"), 0)), 0)
      ),
      0
   )
)</f>
        <v>1000</v>
      </c>
      <c r="O8" s="46">
        <f t="shared" si="3"/>
        <v>4000</v>
      </c>
      <c r="P8" s="43">
        <f t="shared" si="4"/>
        <v>8666.6666666666661</v>
      </c>
      <c r="Q8" s="42">
        <f t="shared" si="5"/>
        <v>34666.666666666664</v>
      </c>
      <c r="R8" s="42"/>
      <c r="S8" s="42">
        <f t="shared" si="6"/>
        <v>396000</v>
      </c>
      <c r="T8" s="42"/>
      <c r="W8" t="s">
        <v>139</v>
      </c>
      <c r="X8" s="18">
        <f>X6 - SUMIF(B:B, "Deposit", F:F) + SUMIF(B:B, "Withdrawal", F:F)</f>
        <v>-45000</v>
      </c>
    </row>
    <row r="9" spans="1:27" x14ac:dyDescent="0.25">
      <c r="A9" s="37">
        <v>45671</v>
      </c>
      <c r="B9" s="40" t="s">
        <v>29</v>
      </c>
      <c r="C9" s="12" t="s">
        <v>188</v>
      </c>
      <c r="D9" s="24">
        <v>2</v>
      </c>
      <c r="E9" s="15">
        <v>10000</v>
      </c>
      <c r="G9" s="28">
        <f t="shared" si="7"/>
        <v>20000</v>
      </c>
      <c r="H9" s="28" t="str">
        <f t="shared" si="8"/>
        <v/>
      </c>
      <c r="I9" s="24">
        <f t="shared" si="0"/>
        <v>0</v>
      </c>
      <c r="J9" s="26">
        <f t="shared" si="1"/>
        <v>0</v>
      </c>
      <c r="K9" s="33">
        <f t="shared" si="2"/>
        <v>2</v>
      </c>
      <c r="L9" s="28">
        <f t="shared" si="9"/>
        <v>-20000</v>
      </c>
      <c r="M9" s="45">
        <f>IF(B9="Buy",
    SUMIFS(D$1:D9, C$1:C9, C9, B$1:B9, "Buy") - SUMIFS(D$1:D9, C$1:C9, C9, B$1:B9, "Sell"),
    IF(B9="Sell",
        SUMIFS(D$1:D9, C$1:C9, C9, B$1:B9, "Buy") - SUMIFS(D$1:D9, C$1:C9, C9, B$1:B9, "Sell"),
        0
    )
)</f>
        <v>8</v>
      </c>
      <c r="N9" s="46" cm="1">
        <f t="array" ref="N9">IF(B9="Buy",
   (IF(M9-D9=0, 0, (M9-D9)*IFERROR(INDEX(N$1:N8, MATCH(1, (C$1:C8=C9)*(B$1:B8="Buy"), 0)), 0)) + G9) / M9,
   IF(B9="Sell",
      IF(M9=0,
         SUMIFS(G$1:G8, C$1:C8, C9) / SUMIFS(D$1:D8, C$1:C8, C9),
         IFERROR(INDEX(N$1:N8, MATCH(1, (C$1:C8=C9)*(B$1:B8="Buy"), 0)), 0)
      ),
      0
   )
)</f>
        <v>6250</v>
      </c>
      <c r="O9" s="46" t="str">
        <f t="shared" si="3"/>
        <v/>
      </c>
      <c r="P9" s="43">
        <f t="shared" si="4"/>
        <v>9000</v>
      </c>
      <c r="Q9" s="42" t="str">
        <f t="shared" si="5"/>
        <v/>
      </c>
      <c r="R9" s="42"/>
      <c r="S9" s="42" t="str">
        <f t="shared" si="6"/>
        <v/>
      </c>
      <c r="T9" s="42"/>
      <c r="X9" s="31"/>
    </row>
    <row r="10" spans="1:27" x14ac:dyDescent="0.25">
      <c r="A10" s="37">
        <v>45672</v>
      </c>
      <c r="B10" s="12" t="s">
        <v>29</v>
      </c>
      <c r="C10" s="12" t="s">
        <v>187</v>
      </c>
      <c r="D10" s="24">
        <v>3</v>
      </c>
      <c r="E10" s="15">
        <v>5000</v>
      </c>
      <c r="G10" s="28">
        <f t="shared" si="7"/>
        <v>15000</v>
      </c>
      <c r="H10" s="28" t="str">
        <f t="shared" si="8"/>
        <v/>
      </c>
      <c r="I10" s="24">
        <f t="shared" si="0"/>
        <v>0</v>
      </c>
      <c r="J10" s="26">
        <f t="shared" si="1"/>
        <v>0</v>
      </c>
      <c r="K10" s="33">
        <f t="shared" si="2"/>
        <v>3</v>
      </c>
      <c r="L10" s="38">
        <f t="shared" si="9"/>
        <v>-15000</v>
      </c>
      <c r="M10" s="45">
        <f>IF(B10="Buy",
    SUMIFS(D$1:D10, C$1:C10, C10, B$1:B10, "Buy") - SUMIFS(D$1:D10, C$1:C10, C10, B$1:B10, "Sell"),
    IF(B10="Sell",
        SUMIFS(D$1:D10, C$1:C10, C10, B$1:B10, "Buy") - SUMIFS(D$1:D10, C$1:C10, C10, B$1:B10, "Sell"),
        0
    )
)</f>
        <v>4</v>
      </c>
      <c r="N10" s="46" cm="1">
        <f t="array" ref="N10">IF(B10="Buy",
   (IF(M10-D10=0, 0, (M10-D10)*IFERROR(INDEX(N$1:N9, MATCH(1, (C$1:C9=C10)*(B$1:B9="Buy"), 0)), 0)) + G10) / M10,
   IF(B10="Sell",
      IF(M10=0,
         SUMIFS(G$1:G9, C$1:C9, C10) / SUMIFS(D$1:D9, C$1:C9, C10),
         IFERROR(INDEX(N$1:N9, MATCH(1, (C$1:C9=C10)*(B$1:B9="Buy"), 0)), 0)
      ),
      0
   )
)</f>
        <v>4000</v>
      </c>
      <c r="O10" s="46" t="str">
        <f t="shared" si="3"/>
        <v/>
      </c>
      <c r="P10" s="36"/>
      <c r="Q10" s="26"/>
      <c r="R10" s="26"/>
      <c r="S10" s="26" t="str">
        <f t="shared" si="6"/>
        <v/>
      </c>
      <c r="T10" s="23"/>
    </row>
    <row r="11" spans="1:27" x14ac:dyDescent="0.25">
      <c r="A11" s="37">
        <v>45673</v>
      </c>
      <c r="B11" s="12" t="s">
        <v>122</v>
      </c>
      <c r="C11" s="12" t="s">
        <v>188</v>
      </c>
      <c r="D11" s="24">
        <v>8</v>
      </c>
      <c r="E11" s="15">
        <v>1000</v>
      </c>
      <c r="G11" s="28" t="str">
        <f t="shared" si="7"/>
        <v/>
      </c>
      <c r="H11" s="28">
        <f t="shared" si="8"/>
        <v>8000</v>
      </c>
      <c r="I11" s="24">
        <f t="shared" si="0"/>
        <v>0</v>
      </c>
      <c r="J11" s="26">
        <f t="shared" si="1"/>
        <v>0</v>
      </c>
      <c r="K11" s="33">
        <f t="shared" si="2"/>
        <v>8</v>
      </c>
      <c r="L11" s="28">
        <f t="shared" si="9"/>
        <v>8000</v>
      </c>
      <c r="M11" s="45">
        <f>IF(B11="Buy",
    SUMIFS(D$1:D11, C$1:C11, C11, B$1:B11, "Buy") - SUMIFS(D$1:D11, C$1:C11, C11, B$1:B11, "Sell"),
    IF(B11="Sell",
        SUMIFS(D$1:D11, C$1:C11, C11, B$1:B11, "Buy") - SUMIFS(D$1:D11, C$1:C11, C11, B$1:B11, "Sell"),
        0
    )
)</f>
        <v>0</v>
      </c>
      <c r="N11" s="46" cm="1">
        <f t="array" ref="N11">IF(B11="Buy",
   (IF(M11-D11=0, 0, (M11-D11)*IFERROR(INDEX(N$1:N10, MATCH(1, (C$1:C10=C11)*(B$1:B10="Buy"), 0)), 0)) + G11) / M11,
   IF(B11="Sell",
      IF(M11=0,
         SUMIFS(G$1:G10, C$1:C10, C11) / SUMIFS(D$1:D10, C$1:C10, C11),
         IFERROR(INDEX(N$1:N10, MATCH(1, (C$1:C10=C11)*(B$1:B10="Buy"), 0)), 0)
      ),
      0
   )
)</f>
        <v>6875</v>
      </c>
      <c r="O11" s="46">
        <f t="shared" si="3"/>
        <v>55000</v>
      </c>
      <c r="P11" s="36"/>
      <c r="Q11" s="26"/>
      <c r="R11" s="26"/>
      <c r="S11" s="26">
        <f t="shared" si="6"/>
        <v>-47000</v>
      </c>
      <c r="W11" t="s">
        <v>140</v>
      </c>
    </row>
    <row r="12" spans="1:27" x14ac:dyDescent="0.25">
      <c r="B12" s="12"/>
      <c r="M12" s="45">
        <f>IF(B12="Buy",
    SUMIFS(D$1:D12, C$1:C12, C12, B$1:B12, "Buy") - SUMIFS(D$1:D12, C$1:C12, C12, B$1:B12, "Sell"),
    IF(B12="Sell",
        SUMIFS(D$1:D12, C$1:C12, C12, B$1:B12, "Buy") - SUMIFS(D$1:D12, C$1:C12, C12, B$1:B12, "Sell"),
        0
    )
)</f>
        <v>0</v>
      </c>
      <c r="N12" s="46" cm="1">
        <f t="array" ref="N12">IF(B12="Buy",
   (IF(M12-D12=0, 0, (M12-D12)*IFERROR(INDEX(N$1:N11, MATCH(1, (C$1:C11=C12)*(B$1:B11="Buy"), 0)), 0)) + G12) / M12,
   IF(B12="Sell",
      IFERROR(INDEX(N$1:N11, MATCH(1, (C$1:C11=C12)*(B$1:B11="Buy"), 0)), 0),
      0)
)</f>
        <v>0</v>
      </c>
      <c r="O12" s="46" t="str">
        <f t="shared" si="3"/>
        <v/>
      </c>
      <c r="W12" s="18">
        <f>SUMIF(B:B, "Deposit", F:F)</f>
        <v>50000</v>
      </c>
    </row>
    <row r="13" spans="1:27" x14ac:dyDescent="0.25">
      <c r="B13" s="12"/>
      <c r="M13" s="45">
        <f>IF(B13="Buy",
    SUMIFS(D$1:D13, C$1:C13, C13, B$1:B13, "Buy") - SUMIFS(D$1:D13, C$1:C13, C13, B$1:B13, "Sell"),
    IF(B13="Sell",
        SUMIFS(D$1:D13, C$1:C13, C13, B$1:B13, "Buy") - SUMIFS(D$1:D13, C$1:C13, C13, B$1:B13, "Sell"),
        0
    )
)</f>
        <v>0</v>
      </c>
      <c r="N13" s="46" cm="1">
        <f t="array" ref="N13">IF(B13="Buy",
   (IF(M13-D13=0, 0, (M13-D13)*IFERROR(INDEX(N$1:N12, MATCH(1, (C$1:C12=C13)*(B$1:B12="Buy"), 0)), 0)) + G13) / M13,
   IF(B13="Sell",
      IFERROR(INDEX(N$1:N12, MATCH(1, (C$1:C12=C13)*(B$1:B12="Buy"), 0)), 0),
      0)
)</f>
        <v>0</v>
      </c>
      <c r="O13" s="46" t="str">
        <f t="shared" si="3"/>
        <v/>
      </c>
      <c r="W13" t="s">
        <v>143</v>
      </c>
    </row>
    <row r="14" spans="1:27" x14ac:dyDescent="0.25">
      <c r="B14" s="12"/>
      <c r="M14" s="45">
        <f>IF(B14="Buy",
    SUMIFS(D$1:D14, C$1:C14, C14, B$1:B14, "Buy") - SUMIFS(D$1:D14, C$1:C14, C14, B$1:B14, "Sell"),
    IF(B14="Sell",
        SUMIFS(D$1:D14, C$1:C14, C14, B$1:B14, "Buy") - SUMIFS(D$1:D14, C$1:C14, C14, B$1:B14, "Sell"),
        0
    )
)</f>
        <v>0</v>
      </c>
      <c r="N14" s="46" cm="1">
        <f t="array" ref="N14">IF(B14="Buy",
   (IF(M14-D14=0, 0, (M14-D14)*IFERROR(INDEX(N$1:N13, MATCH(1, (C$1:C13=C14)*(B$1:B13="Buy"), 0)), 0)) + G14) / M14,
   IF(B14="Sell",
      IFERROR(INDEX(N$1:N13, MATCH(1, (C$1:C13=C14)*(B$1:B13="Buy"), 0)), 0),
      0)
)</f>
        <v>0</v>
      </c>
      <c r="O14" s="46" t="str">
        <f t="shared" si="3"/>
        <v/>
      </c>
    </row>
    <row r="15" spans="1:27" x14ac:dyDescent="0.25">
      <c r="B15" s="12"/>
      <c r="M15" s="47"/>
      <c r="O15" s="45" t="str">
        <f t="shared" si="3"/>
        <v/>
      </c>
      <c r="W15" t="s">
        <v>141</v>
      </c>
    </row>
    <row r="16" spans="1:27" x14ac:dyDescent="0.25">
      <c r="B16" s="12"/>
      <c r="O16" s="45" t="str">
        <f t="shared" si="3"/>
        <v/>
      </c>
      <c r="W16" s="18">
        <f>W2-W12</f>
        <v>320000</v>
      </c>
    </row>
    <row r="17" spans="2:24" x14ac:dyDescent="0.25">
      <c r="B17" s="12"/>
    </row>
    <row r="18" spans="2:24" x14ac:dyDescent="0.25">
      <c r="B18" s="12"/>
    </row>
    <row r="19" spans="2:24" x14ac:dyDescent="0.25">
      <c r="B19" s="12"/>
    </row>
    <row r="20" spans="2:24" x14ac:dyDescent="0.25">
      <c r="B20" s="12"/>
      <c r="U20" s="42" t="s">
        <v>147</v>
      </c>
    </row>
    <row r="21" spans="2:24" x14ac:dyDescent="0.25">
      <c r="B21" s="12"/>
      <c r="W21" t="s">
        <v>142</v>
      </c>
      <c r="X21" t="s">
        <v>144</v>
      </c>
    </row>
    <row r="22" spans="2:24" x14ac:dyDescent="0.25">
      <c r="B22" s="12"/>
      <c r="W22" t="s">
        <v>143</v>
      </c>
    </row>
    <row r="23" spans="2:24" x14ac:dyDescent="0.25">
      <c r="B23" s="12"/>
    </row>
    <row r="24" spans="2:24" x14ac:dyDescent="0.25">
      <c r="B24" s="12"/>
    </row>
    <row r="25" spans="2:24" x14ac:dyDescent="0.25">
      <c r="B25" s="12"/>
    </row>
    <row r="26" spans="2:24" x14ac:dyDescent="0.25">
      <c r="B26" s="12"/>
    </row>
    <row r="27" spans="2:24" x14ac:dyDescent="0.25">
      <c r="B27" s="12"/>
    </row>
    <row r="28" spans="2:24" x14ac:dyDescent="0.25">
      <c r="B28" s="12"/>
    </row>
  </sheetData>
  <dataValidations count="1">
    <dataValidation type="list" allowBlank="1" showInputMessage="1" showErrorMessage="1" sqref="B2:B28" xr:uid="{28F8674C-BF5D-414C-866D-38A6E47B7625}">
      <formula1>"Buy, Sell, Deposit, Withdrawal"</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Sheet1</vt:lpstr>
      <vt:lpstr>Risk Reward</vt:lpstr>
      <vt:lpstr>Test Purchases</vt:lpstr>
      <vt:lpstr>WAC for 1 asset</vt:lpstr>
      <vt:lpstr>Spot Transactions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 Türköz</dc:creator>
  <cp:lastModifiedBy>Ali Türköz</cp:lastModifiedBy>
  <dcterms:created xsi:type="dcterms:W3CDTF">2024-12-08T00:56:40Z</dcterms:created>
  <dcterms:modified xsi:type="dcterms:W3CDTF">2025-01-06T12:20:55Z</dcterms:modified>
</cp:coreProperties>
</file>