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#Finance#\Risk Management\"/>
    </mc:Choice>
  </mc:AlternateContent>
  <xr:revisionPtr revIDLastSave="0" documentId="13_ncr:1_{EF1222B9-A694-4E59-9E33-D5DDD0B979D3}" xr6:coauthVersionLast="47" xr6:coauthVersionMax="47" xr10:uidLastSave="{00000000-0000-0000-0000-000000000000}"/>
  <bookViews>
    <workbookView xWindow="28680" yWindow="-120" windowWidth="29040" windowHeight="17640" tabRatio="710" firstSheet="2" activeTab="3" xr2:uid="{453DA50F-A818-4A3E-AA0F-3921CE7D1356}"/>
  </bookViews>
  <sheets>
    <sheet name="Tracking" sheetId="2" r:id="rId1"/>
    <sheet name="Transaction" sheetId="3" r:id="rId2"/>
    <sheet name="Risk Reward" sheetId="1" r:id="rId3"/>
    <sheet name="Fixed RR (dynamic risk)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7" l="1"/>
  <c r="M25" i="7"/>
  <c r="M26" i="7"/>
  <c r="M16" i="7"/>
  <c r="N16" i="7" s="1"/>
  <c r="O16" i="7" s="1"/>
  <c r="C9" i="7"/>
  <c r="H4" i="7"/>
  <c r="G4" i="7"/>
  <c r="I38" i="7"/>
  <c r="J38" i="7" s="1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G17" i="7"/>
  <c r="I17" i="7" s="1"/>
  <c r="G18" i="7"/>
  <c r="I18" i="7" s="1"/>
  <c r="J18" i="7" s="1"/>
  <c r="G19" i="7"/>
  <c r="G20" i="7"/>
  <c r="I20" i="7" s="1"/>
  <c r="J20" i="7" s="1"/>
  <c r="G21" i="7"/>
  <c r="I21" i="7" s="1"/>
  <c r="J21" i="7" s="1"/>
  <c r="G22" i="7"/>
  <c r="I22" i="7" s="1"/>
  <c r="J22" i="7" s="1"/>
  <c r="G23" i="7"/>
  <c r="I23" i="7" s="1"/>
  <c r="J23" i="7" s="1"/>
  <c r="G24" i="7"/>
  <c r="I24" i="7" s="1"/>
  <c r="J24" i="7" s="1"/>
  <c r="G25" i="7"/>
  <c r="I25" i="7" s="1"/>
  <c r="G26" i="7"/>
  <c r="I26" i="7" s="1"/>
  <c r="J26" i="7" s="1"/>
  <c r="G27" i="7"/>
  <c r="G28" i="7"/>
  <c r="I28" i="7" s="1"/>
  <c r="J28" i="7" s="1"/>
  <c r="G29" i="7"/>
  <c r="I29" i="7" s="1"/>
  <c r="J29" i="7" s="1"/>
  <c r="G30" i="7"/>
  <c r="I30" i="7" s="1"/>
  <c r="J30" i="7" s="1"/>
  <c r="G31" i="7"/>
  <c r="I31" i="7" s="1"/>
  <c r="J31" i="7" s="1"/>
  <c r="G32" i="7"/>
  <c r="I32" i="7" s="1"/>
  <c r="J32" i="7" s="1"/>
  <c r="G33" i="7"/>
  <c r="I33" i="7" s="1"/>
  <c r="G34" i="7"/>
  <c r="I34" i="7" s="1"/>
  <c r="J34" i="7" s="1"/>
  <c r="G35" i="7"/>
  <c r="G36" i="7"/>
  <c r="I36" i="7" s="1"/>
  <c r="J36" i="7" s="1"/>
  <c r="G37" i="7"/>
  <c r="I37" i="7" s="1"/>
  <c r="J37" i="7" s="1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H16" i="7"/>
  <c r="G16" i="7"/>
  <c r="I16" i="7" s="1"/>
  <c r="C4" i="7"/>
  <c r="P5" i="3"/>
  <c r="Q5" i="3" s="1"/>
  <c r="P2" i="3"/>
  <c r="Q2" i="3" s="1"/>
  <c r="P4" i="3"/>
  <c r="S4" i="3" s="1"/>
  <c r="G4" i="3"/>
  <c r="G5" i="3"/>
  <c r="G6" i="3"/>
  <c r="G7" i="3"/>
  <c r="I7" i="3" s="1"/>
  <c r="J7" i="3" s="1"/>
  <c r="G8" i="3"/>
  <c r="I8" i="3" s="1"/>
  <c r="J8" i="3" s="1"/>
  <c r="G9" i="3"/>
  <c r="I9" i="3" s="1"/>
  <c r="J9" i="3" s="1"/>
  <c r="G2" i="3"/>
  <c r="I2" i="3" s="1"/>
  <c r="J6" i="3"/>
  <c r="Z5" i="3"/>
  <c r="AC5" i="3" s="1"/>
  <c r="Z2" i="3"/>
  <c r="U5" i="3"/>
  <c r="U2" i="3"/>
  <c r="Z4" i="3"/>
  <c r="AA4" i="3" s="1"/>
  <c r="U4" i="3"/>
  <c r="X4" i="3" s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5" i="2"/>
  <c r="I5" i="3"/>
  <c r="J5" i="3" s="1"/>
  <c r="I4" i="3"/>
  <c r="J4" i="3" s="1"/>
  <c r="L7" i="1"/>
  <c r="K5" i="1"/>
  <c r="L5" i="1" s="1"/>
  <c r="K6" i="1"/>
  <c r="L6" i="1" s="1"/>
  <c r="K7" i="1"/>
  <c r="K8" i="1"/>
  <c r="L8" i="1" s="1"/>
  <c r="K9" i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4" i="1"/>
  <c r="L4" i="1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J8" i="7" l="1"/>
  <c r="L9" i="1"/>
  <c r="K24" i="7"/>
  <c r="J4" i="7"/>
  <c r="K35" i="7"/>
  <c r="K27" i="7"/>
  <c r="K19" i="7"/>
  <c r="L19" i="7" s="1"/>
  <c r="Q16" i="7"/>
  <c r="R16" i="7" s="1"/>
  <c r="K32" i="7"/>
  <c r="K34" i="7"/>
  <c r="K26" i="7"/>
  <c r="K17" i="7"/>
  <c r="L17" i="7" s="1"/>
  <c r="K18" i="7"/>
  <c r="L18" i="7" s="1"/>
  <c r="K31" i="7"/>
  <c r="K23" i="7"/>
  <c r="K16" i="7"/>
  <c r="L16" i="7" s="1"/>
  <c r="D7" i="7" s="1"/>
  <c r="K38" i="7"/>
  <c r="K30" i="7"/>
  <c r="K22" i="7"/>
  <c r="K37" i="7"/>
  <c r="K29" i="7"/>
  <c r="K21" i="7"/>
  <c r="L21" i="7" s="1"/>
  <c r="I35" i="7"/>
  <c r="J35" i="7" s="1"/>
  <c r="I27" i="7"/>
  <c r="J27" i="7" s="1"/>
  <c r="I19" i="7"/>
  <c r="J19" i="7" s="1"/>
  <c r="K36" i="7"/>
  <c r="K28" i="7"/>
  <c r="K20" i="7"/>
  <c r="L20" i="7" s="1"/>
  <c r="K33" i="7"/>
  <c r="K25" i="7"/>
  <c r="J33" i="7"/>
  <c r="J25" i="7"/>
  <c r="J17" i="7"/>
  <c r="J16" i="7"/>
  <c r="X5" i="3"/>
  <c r="Y5" i="3" s="1"/>
  <c r="J18" i="3"/>
  <c r="AD5" i="3"/>
  <c r="V2" i="3"/>
  <c r="AA2" i="3"/>
  <c r="V5" i="3"/>
  <c r="AA5" i="3"/>
  <c r="Y4" i="3"/>
  <c r="T4" i="3"/>
  <c r="S5" i="3"/>
  <c r="T5" i="3" s="1"/>
  <c r="AC4" i="3"/>
  <c r="AD4" i="3" s="1"/>
  <c r="V4" i="3"/>
  <c r="Q4" i="3"/>
  <c r="AC2" i="3"/>
  <c r="AD2" i="3" s="1"/>
  <c r="J2" i="3"/>
  <c r="X2" i="3"/>
  <c r="Y2" i="3" s="1"/>
  <c r="S2" i="3"/>
  <c r="K8" i="7" l="1"/>
  <c r="M17" i="7"/>
  <c r="N17" i="7" s="1"/>
  <c r="T2" i="3"/>
  <c r="O23" i="7" l="1"/>
  <c r="O24" i="7" l="1"/>
  <c r="O25" i="7" l="1"/>
  <c r="O26" i="7" l="1"/>
  <c r="O27" i="7" l="1"/>
  <c r="O28" i="7" l="1"/>
  <c r="O29" i="7" l="1"/>
  <c r="O30" i="7" l="1"/>
  <c r="O31" i="7" l="1"/>
  <c r="O32" i="7" l="1"/>
  <c r="O33" i="7" l="1"/>
  <c r="O34" i="7" l="1"/>
  <c r="O35" i="7" l="1"/>
  <c r="O36" i="7" l="1"/>
  <c r="O37" i="7" l="1"/>
  <c r="O38" i="7" l="1"/>
  <c r="O17" i="7" l="1"/>
  <c r="Q17" i="7" l="1"/>
  <c r="R17" i="7" s="1"/>
  <c r="M18" i="7" l="1"/>
  <c r="N18" i="7" s="1"/>
  <c r="O18" i="7" s="1"/>
  <c r="Q18" i="7" s="1"/>
  <c r="R18" i="7" l="1"/>
  <c r="R19" i="7" s="1"/>
  <c r="R20" i="7" s="1"/>
  <c r="R21" i="7" s="1"/>
  <c r="R22" i="7" s="1"/>
  <c r="R23" i="7" s="1"/>
  <c r="R24" i="7" s="1"/>
  <c r="R25" i="7" s="1"/>
  <c r="M19" i="7" l="1"/>
  <c r="N19" i="7" s="1"/>
  <c r="O19" i="7" s="1"/>
  <c r="Q19" i="7" s="1"/>
  <c r="O20" i="7" l="1"/>
  <c r="Q20" i="7" s="1"/>
  <c r="O21" i="7" l="1"/>
  <c r="Q21" i="7" s="1"/>
  <c r="D2" i="7" a="1"/>
  <c r="D2" i="7" s="1"/>
  <c r="C7" i="7" s="1"/>
  <c r="D4" i="7" l="1"/>
  <c r="D5" i="7"/>
  <c r="E2" i="7"/>
  <c r="O22" i="7" l="1"/>
  <c r="Q22" i="7" s="1"/>
  <c r="D6" i="7"/>
  <c r="C6" i="7" s="1"/>
  <c r="I4" i="7" l="1"/>
  <c r="K4" i="7" s="1"/>
  <c r="M4" i="7"/>
  <c r="F2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<sst xmlns="http://schemas.openxmlformats.org/spreadsheetml/2006/main" count="128" uniqueCount="95">
  <si>
    <t>Retour nécessaire %</t>
  </si>
  <si>
    <t>Perte %</t>
  </si>
  <si>
    <t>Reward</t>
  </si>
  <si>
    <t>Risk</t>
  </si>
  <si>
    <t>Winrate %</t>
  </si>
  <si>
    <t>Trade</t>
  </si>
  <si>
    <t>Loss Rate %</t>
  </si>
  <si>
    <t>Time</t>
  </si>
  <si>
    <t>Trading Pair</t>
  </si>
  <si>
    <t>Category</t>
  </si>
  <si>
    <t>Direction</t>
  </si>
  <si>
    <t>Price</t>
  </si>
  <si>
    <t>Amount</t>
  </si>
  <si>
    <t>Filled</t>
  </si>
  <si>
    <t>Average Price</t>
  </si>
  <si>
    <t>Trading Volume</t>
  </si>
  <si>
    <t>Fee</t>
  </si>
  <si>
    <t>GRT/USDT</t>
  </si>
  <si>
    <t>KAS/USDT</t>
  </si>
  <si>
    <t>50.4864 usdt</t>
  </si>
  <si>
    <t>49.1766496 usdt</t>
  </si>
  <si>
    <t>Date</t>
  </si>
  <si>
    <t>Crypto</t>
  </si>
  <si>
    <t>Objectif 1</t>
  </si>
  <si>
    <t>Objectif 2</t>
  </si>
  <si>
    <t>Objectif 3</t>
  </si>
  <si>
    <t>% Coins Vendu</t>
  </si>
  <si>
    <t>Gain/Prix</t>
  </si>
  <si>
    <t>Profit/Loss</t>
  </si>
  <si>
    <t>Fee %</t>
  </si>
  <si>
    <r>
      <t>Objectif 3 (50%)</t>
    </r>
    <r>
      <rPr>
        <sz val="11"/>
        <color theme="1"/>
        <rFont val="Aptos Narrow"/>
        <family val="2"/>
        <scheme val="minor"/>
      </rPr>
      <t xml:space="preserve"> : Garder 50% pour profiter d’un gain maximal.</t>
    </r>
  </si>
  <si>
    <t>Objectifs 1</t>
  </si>
  <si>
    <t>Objectifs 2</t>
  </si>
  <si>
    <t>Objectifs 3</t>
  </si>
  <si>
    <t>Multiplicateur Objectif 1</t>
  </si>
  <si>
    <t>Multiplicateur Objectif 2</t>
  </si>
  <si>
    <t>Multiplicateur Objectif 3</t>
  </si>
  <si>
    <t>Quantité (Coin)</t>
  </si>
  <si>
    <t>Frais (en coin)</t>
  </si>
  <si>
    <t>Frais (en usdt)</t>
  </si>
  <si>
    <t>Total Investi (USDT)</t>
  </si>
  <si>
    <t>ADA/USDT</t>
  </si>
  <si>
    <t>Type</t>
  </si>
  <si>
    <t>Buy</t>
  </si>
  <si>
    <t>LTC/USDT</t>
  </si>
  <si>
    <t>sum fee's</t>
  </si>
  <si>
    <t>USDT/EUR</t>
  </si>
  <si>
    <t>Prix Achat (EUR)</t>
  </si>
  <si>
    <t>Frais (en euro)</t>
  </si>
  <si>
    <t>Prix Achat/coin (USDT)</t>
  </si>
  <si>
    <t>Trading Fee %</t>
  </si>
  <si>
    <t>sel</t>
  </si>
  <si>
    <t>Trade #</t>
  </si>
  <si>
    <t>Entry Price</t>
  </si>
  <si>
    <t>Stop-Loss Price</t>
  </si>
  <si>
    <t>Risk (€)</t>
  </si>
  <si>
    <t>Reward (€</t>
  </si>
  <si>
    <t>Outcome (Win/Loss)</t>
  </si>
  <si>
    <t>Risk per trade</t>
  </si>
  <si>
    <r>
      <t>P/L (€)</t>
    </r>
    <r>
      <rPr>
        <b/>
        <sz val="11"/>
        <color theme="1"/>
        <rFont val="Aptos Narrow"/>
        <family val="2"/>
        <scheme val="minor"/>
      </rPr>
      <t>,</t>
    </r>
  </si>
  <si>
    <t>Winning Trades</t>
  </si>
  <si>
    <t>Win Rate %</t>
  </si>
  <si>
    <t>Net P/L (€)</t>
  </si>
  <si>
    <t>Long</t>
  </si>
  <si>
    <t>Short</t>
  </si>
  <si>
    <t>R:R</t>
  </si>
  <si>
    <t>Stop-Loss Distance</t>
  </si>
  <si>
    <t>Target Price</t>
  </si>
  <si>
    <t>Stop-Loss Distance %</t>
  </si>
  <si>
    <t>Target Price %</t>
  </si>
  <si>
    <t>Crypto Pair</t>
  </si>
  <si>
    <t>Starting Equity</t>
  </si>
  <si>
    <t>Profit/Loss (%)</t>
  </si>
  <si>
    <t>Account Balance</t>
  </si>
  <si>
    <t>check :</t>
  </si>
  <si>
    <t>https://chatgpt.com/c/67732d5d-1ddc-8006-b214-00e78a1bcdb7</t>
  </si>
  <si>
    <t>Total Completed Trades</t>
  </si>
  <si>
    <t>Losing Trades</t>
  </si>
  <si>
    <t>Summary</t>
  </si>
  <si>
    <t>Current Equity for Open Trades</t>
  </si>
  <si>
    <t>https://chatgpt.com/c/67732144-0424-8006-9618-c28e1035f265</t>
  </si>
  <si>
    <t>Open Trades Count</t>
  </si>
  <si>
    <t>Open Trades Unrealized P/L</t>
  </si>
  <si>
    <t>Max  Risk Allowed</t>
  </si>
  <si>
    <t>Total Risk Exposure (Open Trades)</t>
  </si>
  <si>
    <t>Win Rate</t>
  </si>
  <si>
    <t>Loss Rate</t>
  </si>
  <si>
    <t>Win</t>
  </si>
  <si>
    <t>Position Size (qty)</t>
  </si>
  <si>
    <t>Realized Equitty</t>
  </si>
  <si>
    <t>Closed Date</t>
  </si>
  <si>
    <t>Current Realized Equity</t>
  </si>
  <si>
    <t>Open</t>
  </si>
  <si>
    <t>Equity at Trade Open</t>
  </si>
  <si>
    <t>Position size €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</si>
</sst>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£&quot;* #,##0.00_-;\-&quot;£&quot;* #,##0.00_-;_-&quot;£&quot;* &quot;-&quot;??_-;_-@_-"/>
    <numFmt numFmtId="164" formatCode="0.0%"/>
    <numFmt numFmtId="165" formatCode="0.0"/>
    <numFmt numFmtId="166" formatCode="0.000"/>
    <numFmt numFmtId="167" formatCode="0.00000"/>
    <numFmt numFmtId="168" formatCode="0.000000"/>
    <numFmt numFmtId="169" formatCode="0.0000000"/>
    <numFmt numFmtId="170" formatCode="0.000000000"/>
    <numFmt numFmtId="171" formatCode="0.0000000000"/>
    <numFmt numFmtId="172" formatCode="_ [$€-413]\ * #,##0.00_ ;_ [$€-413]\ * \-#,##0.00_ ;_ [$€-413]\ * &quot;-&quot;??_ ;_ @_ 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b/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2" fontId="0" fillId="0" borderId="0" xfId="0" applyNumberFormat="1"/>
    <xf numFmtId="164" fontId="0" fillId="0" borderId="0" xfId="1" applyNumberFormat="1" applyFont="1"/>
    <xf numFmtId="0" fontId="2" fillId="0" borderId="0" xfId="0" applyFont="1" applyAlignment="1">
      <alignment horizontal="center" vertical="center"/>
    </xf>
    <xf numFmtId="165" fontId="0" fillId="0" borderId="0" xfId="0" applyNumberFormat="1"/>
    <xf numFmtId="22" fontId="3" fillId="0" borderId="0" xfId="0" applyNumberFormat="1" applyFont="1"/>
    <xf numFmtId="9" fontId="0" fillId="0" borderId="0" xfId="1" applyFont="1"/>
    <xf numFmtId="166" fontId="0" fillId="0" borderId="0" xfId="0" applyNumberFormat="1"/>
    <xf numFmtId="0" fontId="0" fillId="2" borderId="0" xfId="0" applyFill="1"/>
    <xf numFmtId="164" fontId="0" fillId="2" borderId="0" xfId="1" applyNumberFormat="1" applyFont="1" applyFill="1"/>
    <xf numFmtId="0" fontId="2" fillId="0" borderId="0" xfId="0" applyFont="1" applyAlignment="1">
      <alignment horizontal="left" vertical="center" indent="1"/>
    </xf>
    <xf numFmtId="164" fontId="2" fillId="0" borderId="0" xfId="1" applyNumberFormat="1" applyFont="1"/>
    <xf numFmtId="0" fontId="2" fillId="0" borderId="0" xfId="0" applyFont="1" applyAlignment="1">
      <alignment vertical="center" wrapText="1"/>
    </xf>
    <xf numFmtId="0" fontId="2" fillId="2" borderId="0" xfId="0" applyFont="1" applyFill="1"/>
    <xf numFmtId="0" fontId="2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0" fontId="0" fillId="0" borderId="0" xfId="0" applyAlignment="1">
      <alignment vertical="center" wrapText="1"/>
    </xf>
    <xf numFmtId="164" fontId="2" fillId="2" borderId="0" xfId="1" applyNumberFormat="1" applyFont="1" applyFill="1"/>
    <xf numFmtId="17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0" fillId="0" borderId="0" xfId="2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1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2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1" applyFont="1" applyAlignment="1">
      <alignment horizontal="center" vertical="center"/>
    </xf>
  </cellXfs>
  <cellStyles count="3">
    <cellStyle name="Currency" xfId="2" builtinId="4"/>
    <cellStyle name="Normal" xfId="0" builtinId="0"/>
    <cellStyle name="Percent" xfId="1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FA2B8-1EEE-42F9-ADD0-44AAFEF4EA73}">
  <dimension ref="C2:R41"/>
  <sheetViews>
    <sheetView workbookViewId="0">
      <selection activeCell="N20" sqref="N20:N22"/>
    </sheetView>
  </sheetViews>
  <sheetFormatPr defaultRowHeight="15"/>
  <cols>
    <col min="3" max="3" width="17.28515625" bestFit="1" customWidth="1"/>
    <col min="4" max="4" width="11.7109375" bestFit="1" customWidth="1"/>
    <col min="5" max="5" width="8.5703125" bestFit="1" customWidth="1"/>
    <col min="7" max="7" width="11.28515625" customWidth="1"/>
    <col min="8" max="8" width="7.85546875" bestFit="1" customWidth="1"/>
    <col min="9" max="9" width="5.85546875" bestFit="1" customWidth="1"/>
    <col min="10" max="10" width="12.7109375" bestFit="1" customWidth="1"/>
    <col min="11" max="11" width="15" bestFit="1" customWidth="1"/>
    <col min="12" max="12" width="14.5703125" customWidth="1"/>
    <col min="18" max="18" width="18.85546875" customWidth="1"/>
  </cols>
  <sheetData>
    <row r="2" spans="3:18">
      <c r="Q2" s="9" t="s">
        <v>29</v>
      </c>
      <c r="R2" s="10">
        <v>1E-3</v>
      </c>
    </row>
    <row r="4" spans="3:18"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</row>
    <row r="5" spans="3:18">
      <c r="C5" s="6">
        <v>45633.731851851851</v>
      </c>
      <c r="D5" t="s">
        <v>18</v>
      </c>
      <c r="G5">
        <v>0.17530000000000001</v>
      </c>
      <c r="H5">
        <v>288</v>
      </c>
      <c r="K5" t="s">
        <v>19</v>
      </c>
      <c r="L5" s="8">
        <f>H5*$R$2</f>
        <v>0.28800000000000003</v>
      </c>
    </row>
    <row r="6" spans="3:18">
      <c r="C6" s="6">
        <v>45633.716516203705</v>
      </c>
      <c r="D6" t="s">
        <v>17</v>
      </c>
      <c r="G6">
        <v>0.3296</v>
      </c>
      <c r="H6">
        <v>149.20099999999999</v>
      </c>
      <c r="K6" t="s">
        <v>20</v>
      </c>
      <c r="L6" s="8">
        <f t="shared" ref="L6:L20" si="0">H6*$R$2</f>
        <v>0.149201</v>
      </c>
    </row>
    <row r="7" spans="3:18">
      <c r="L7" s="8">
        <f t="shared" si="0"/>
        <v>0</v>
      </c>
    </row>
    <row r="8" spans="3:18">
      <c r="L8" s="8">
        <f t="shared" si="0"/>
        <v>0</v>
      </c>
    </row>
    <row r="9" spans="3:18">
      <c r="L9" s="8">
        <f t="shared" si="0"/>
        <v>0</v>
      </c>
    </row>
    <row r="10" spans="3:18">
      <c r="L10" s="8">
        <f t="shared" si="0"/>
        <v>0</v>
      </c>
    </row>
    <row r="11" spans="3:18">
      <c r="L11" s="8">
        <f t="shared" si="0"/>
        <v>0</v>
      </c>
    </row>
    <row r="12" spans="3:18">
      <c r="L12" s="8">
        <f t="shared" si="0"/>
        <v>0</v>
      </c>
    </row>
    <row r="13" spans="3:18">
      <c r="L13" s="8">
        <f t="shared" si="0"/>
        <v>0</v>
      </c>
    </row>
    <row r="14" spans="3:18">
      <c r="L14" s="8">
        <f t="shared" si="0"/>
        <v>0</v>
      </c>
    </row>
    <row r="15" spans="3:18">
      <c r="L15" s="8">
        <f t="shared" si="0"/>
        <v>0</v>
      </c>
    </row>
    <row r="16" spans="3:18">
      <c r="L16" s="8">
        <f t="shared" si="0"/>
        <v>0</v>
      </c>
    </row>
    <row r="17" spans="12:12">
      <c r="L17" s="8">
        <f t="shared" si="0"/>
        <v>0</v>
      </c>
    </row>
    <row r="18" spans="12:12">
      <c r="L18" s="8">
        <f t="shared" si="0"/>
        <v>0</v>
      </c>
    </row>
    <row r="19" spans="12:12">
      <c r="L19" s="8">
        <f t="shared" si="0"/>
        <v>0</v>
      </c>
    </row>
    <row r="20" spans="12:12">
      <c r="L20" s="8">
        <f t="shared" si="0"/>
        <v>0</v>
      </c>
    </row>
    <row r="21" spans="12:12">
      <c r="L21" s="8"/>
    </row>
    <row r="22" spans="12:12">
      <c r="L22" s="8"/>
    </row>
    <row r="23" spans="12:12">
      <c r="L23" s="8"/>
    </row>
    <row r="24" spans="12:12">
      <c r="L24" s="8"/>
    </row>
    <row r="25" spans="12:12">
      <c r="L25" s="8"/>
    </row>
    <row r="26" spans="12:12">
      <c r="L26" s="8"/>
    </row>
    <row r="27" spans="12:12">
      <c r="L27" s="8"/>
    </row>
    <row r="28" spans="12:12">
      <c r="L28" s="8"/>
    </row>
    <row r="29" spans="12:12">
      <c r="L29" s="8"/>
    </row>
    <row r="30" spans="12:12">
      <c r="L30" s="8"/>
    </row>
    <row r="31" spans="12:12">
      <c r="L31" s="8"/>
    </row>
    <row r="32" spans="12:12">
      <c r="L32" s="8"/>
    </row>
    <row r="33" spans="12:12">
      <c r="L33" s="8"/>
    </row>
    <row r="34" spans="12:12">
      <c r="L34" s="8"/>
    </row>
    <row r="35" spans="12:12">
      <c r="L35" s="8"/>
    </row>
    <row r="36" spans="12:12">
      <c r="L36" s="8"/>
    </row>
    <row r="37" spans="12:12">
      <c r="L37" s="8"/>
    </row>
    <row r="38" spans="12:12">
      <c r="L38" s="8"/>
    </row>
    <row r="39" spans="12:12">
      <c r="L39" s="8"/>
    </row>
    <row r="40" spans="12:12">
      <c r="L40" s="8"/>
    </row>
    <row r="41" spans="12:12">
      <c r="L41" s="8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FE971-1475-4193-9578-DA380D53382B}">
  <dimension ref="A1:AL18"/>
  <sheetViews>
    <sheetView workbookViewId="0">
      <selection activeCell="N18" sqref="N18"/>
    </sheetView>
  </sheetViews>
  <sheetFormatPr defaultRowHeight="15"/>
  <cols>
    <col min="1" max="1" width="17.28515625" bestFit="1" customWidth="1"/>
    <col min="2" max="2" width="9.85546875" bestFit="1" customWidth="1"/>
    <col min="3" max="4" width="9.7109375" customWidth="1"/>
    <col min="5" max="5" width="9.5703125" style="2" bestFit="1" customWidth="1"/>
    <col min="6" max="6" width="13" customWidth="1"/>
    <col min="8" max="8" width="14.140625" customWidth="1"/>
    <col min="9" max="15" width="15.28515625" style="8" customWidth="1"/>
    <col min="17" max="17" width="15.42578125" style="2" customWidth="1"/>
    <col min="19" max="19" width="9.140625" style="2"/>
    <col min="20" max="20" width="10.5703125" style="2" bestFit="1" customWidth="1"/>
    <col min="22" max="22" width="15.42578125" style="2" customWidth="1"/>
    <col min="24" max="24" width="9.140625" style="2"/>
    <col min="25" max="25" width="10.5703125" style="2" bestFit="1" customWidth="1"/>
    <col min="27" max="27" width="15.42578125" style="2" customWidth="1"/>
    <col min="29" max="29" width="9.140625" style="2"/>
    <col min="30" max="30" width="10.5703125" style="2" bestFit="1" customWidth="1"/>
    <col min="31" max="31" width="8.42578125" bestFit="1" customWidth="1"/>
    <col min="35" max="35" width="13.42578125" bestFit="1" customWidth="1"/>
  </cols>
  <sheetData>
    <row r="1" spans="1:38" s="1" customFormat="1" ht="45">
      <c r="A1" s="13" t="s">
        <v>21</v>
      </c>
      <c r="B1" s="13" t="s">
        <v>22</v>
      </c>
      <c r="C1" s="13" t="s">
        <v>42</v>
      </c>
      <c r="D1" s="13" t="s">
        <v>47</v>
      </c>
      <c r="E1" s="13" t="s">
        <v>40</v>
      </c>
      <c r="F1" s="13" t="s">
        <v>49</v>
      </c>
      <c r="G1" s="13" t="s">
        <v>37</v>
      </c>
      <c r="H1" s="13" t="s">
        <v>48</v>
      </c>
      <c r="I1" s="13" t="s">
        <v>38</v>
      </c>
      <c r="J1" s="13" t="s">
        <v>39</v>
      </c>
      <c r="K1" s="13"/>
      <c r="L1" s="14" t="s">
        <v>50</v>
      </c>
      <c r="M1" s="24">
        <v>1E-3</v>
      </c>
      <c r="N1" s="23"/>
      <c r="O1" s="23"/>
      <c r="P1" s="15" t="s">
        <v>23</v>
      </c>
      <c r="Q1" s="15" t="s">
        <v>34</v>
      </c>
      <c r="R1" s="15" t="s">
        <v>26</v>
      </c>
      <c r="S1" s="15" t="s">
        <v>27</v>
      </c>
      <c r="T1" s="15" t="s">
        <v>28</v>
      </c>
      <c r="U1" s="16" t="s">
        <v>24</v>
      </c>
      <c r="V1" s="16" t="s">
        <v>35</v>
      </c>
      <c r="W1" s="16" t="s">
        <v>26</v>
      </c>
      <c r="X1" s="16" t="s">
        <v>27</v>
      </c>
      <c r="Y1" s="16" t="s">
        <v>28</v>
      </c>
      <c r="Z1" s="17" t="s">
        <v>25</v>
      </c>
      <c r="AA1" s="17" t="s">
        <v>36</v>
      </c>
      <c r="AB1" s="17" t="s">
        <v>26</v>
      </c>
      <c r="AC1" s="17" t="s">
        <v>27</v>
      </c>
      <c r="AD1" s="17" t="s">
        <v>28</v>
      </c>
    </row>
    <row r="2" spans="1:38">
      <c r="A2" s="6">
        <v>44054.979166666664</v>
      </c>
      <c r="B2" t="s">
        <v>41</v>
      </c>
      <c r="C2" t="s">
        <v>43</v>
      </c>
      <c r="D2">
        <v>100</v>
      </c>
      <c r="E2" s="2">
        <v>97.78</v>
      </c>
      <c r="F2">
        <v>0.12</v>
      </c>
      <c r="G2">
        <f>E2/F2</f>
        <v>814.83333333333337</v>
      </c>
      <c r="I2" s="8">
        <f>G2*$M$1</f>
        <v>0.81483333333333341</v>
      </c>
      <c r="J2" s="18">
        <f>I2*F2</f>
        <v>9.7780000000000006E-2</v>
      </c>
      <c r="K2" s="18"/>
      <c r="L2" s="18"/>
      <c r="M2" s="18"/>
      <c r="N2" s="18"/>
      <c r="O2" s="18"/>
      <c r="P2" t="e">
        <f>VLOOKUP(B2,#REF!, 2, FALSE)</f>
        <v>#REF!</v>
      </c>
      <c r="Q2" s="2" t="e">
        <f>P2/F2</f>
        <v>#REF!</v>
      </c>
      <c r="R2" s="7">
        <v>1</v>
      </c>
      <c r="S2" s="2" t="e">
        <f>P2*G2*R2</f>
        <v>#REF!</v>
      </c>
      <c r="T2" s="2" t="e">
        <f>S2-E2</f>
        <v>#REF!</v>
      </c>
      <c r="U2" t="e">
        <f>VLOOKUP(B2,#REF!, 3, FALSE)</f>
        <v>#REF!</v>
      </c>
      <c r="V2" s="2" t="e">
        <f>U2/F2</f>
        <v>#REF!</v>
      </c>
      <c r="W2" s="7">
        <v>1</v>
      </c>
      <c r="X2" s="2" t="e">
        <f>U2*G2*W2</f>
        <v>#REF!</v>
      </c>
      <c r="Y2" s="2" t="e">
        <f>X2-E2</f>
        <v>#REF!</v>
      </c>
      <c r="Z2" t="e">
        <f>VLOOKUP(B2,#REF!, 4, FALSE)</f>
        <v>#REF!</v>
      </c>
      <c r="AA2" s="2" t="e">
        <f>Z2/F2</f>
        <v>#REF!</v>
      </c>
      <c r="AB2" s="7">
        <v>1</v>
      </c>
      <c r="AC2" s="2" t="e">
        <f>Z2*G2*AB2</f>
        <v>#REF!</v>
      </c>
      <c r="AD2" s="2" t="e">
        <f>AC2-E2</f>
        <v>#REF!</v>
      </c>
    </row>
    <row r="3" spans="1:38" s="1" customFormat="1">
      <c r="A3" s="6">
        <v>45633.731851851851</v>
      </c>
      <c r="B3" t="s">
        <v>46</v>
      </c>
      <c r="C3" t="s">
        <v>43</v>
      </c>
      <c r="D3">
        <v>200</v>
      </c>
      <c r="E3" s="23">
        <v>211.41</v>
      </c>
      <c r="F3" s="23">
        <v>1</v>
      </c>
      <c r="G3">
        <v>196.77</v>
      </c>
      <c r="H3" s="23">
        <v>3.6</v>
      </c>
      <c r="I3" s="23">
        <v>3.8</v>
      </c>
      <c r="J3" s="23">
        <v>3.8</v>
      </c>
      <c r="K3" s="23"/>
      <c r="L3" s="23"/>
      <c r="M3" s="23"/>
      <c r="N3" s="23"/>
      <c r="O3" s="23"/>
      <c r="P3" s="15"/>
      <c r="Q3" s="15"/>
      <c r="R3" s="15"/>
      <c r="S3" s="15"/>
      <c r="T3" s="15"/>
      <c r="U3" s="16"/>
      <c r="V3" s="16"/>
      <c r="W3" s="16"/>
      <c r="X3" s="16"/>
      <c r="Y3" s="16"/>
      <c r="Z3" s="17"/>
      <c r="AA3" s="17"/>
      <c r="AB3" s="17"/>
      <c r="AC3" s="17"/>
      <c r="AD3" s="17"/>
      <c r="AI3" s="14"/>
    </row>
    <row r="4" spans="1:38">
      <c r="A4" s="6">
        <v>45633.731851851851</v>
      </c>
      <c r="B4" t="s">
        <v>18</v>
      </c>
      <c r="C4" t="s">
        <v>43</v>
      </c>
      <c r="E4" s="2">
        <v>50.54</v>
      </c>
      <c r="F4">
        <v>0.17530000000000001</v>
      </c>
      <c r="G4">
        <f t="shared" ref="G4:G9" si="0">E4/F4</f>
        <v>288.30576155162578</v>
      </c>
      <c r="I4" s="8">
        <f>G4*$M$1</f>
        <v>0.28830576155162579</v>
      </c>
      <c r="J4" s="20">
        <f t="shared" ref="J4:J9" si="1">I4*F4</f>
        <v>5.0540000000000002E-2</v>
      </c>
      <c r="K4" s="20"/>
      <c r="L4" s="20"/>
      <c r="M4" s="20"/>
      <c r="N4" s="20"/>
      <c r="O4" s="20"/>
      <c r="P4" t="e">
        <f>VLOOKUP(B4,#REF!, 2, FALSE)</f>
        <v>#REF!</v>
      </c>
      <c r="Q4" s="2" t="e">
        <f>P4/F4</f>
        <v>#REF!</v>
      </c>
      <c r="R4" s="7">
        <v>1</v>
      </c>
      <c r="S4" s="2" t="e">
        <f>P4*G4*R4</f>
        <v>#REF!</v>
      </c>
      <c r="T4" s="2" t="e">
        <f>S4-E4</f>
        <v>#REF!</v>
      </c>
      <c r="U4" t="e">
        <f>VLOOKUP(B4,#REF!, 3, FALSE)</f>
        <v>#REF!</v>
      </c>
      <c r="V4" s="2" t="e">
        <f>U4/F4</f>
        <v>#REF!</v>
      </c>
      <c r="W4" s="7">
        <v>1</v>
      </c>
      <c r="X4" s="2" t="e">
        <f>U4*G4*W4</f>
        <v>#REF!</v>
      </c>
      <c r="Y4" s="2" t="e">
        <f>X4-E4</f>
        <v>#REF!</v>
      </c>
      <c r="Z4" t="e">
        <f>VLOOKUP(B4,#REF!, 4, FALSE)</f>
        <v>#REF!</v>
      </c>
      <c r="AA4" s="2" t="e">
        <f>Z4/F4</f>
        <v>#REF!</v>
      </c>
      <c r="AB4" s="7">
        <v>1</v>
      </c>
      <c r="AC4" s="2" t="e">
        <f>Z4*G4*AB4</f>
        <v>#REF!</v>
      </c>
      <c r="AD4" s="2" t="e">
        <f>AC4-E4</f>
        <v>#REF!</v>
      </c>
    </row>
    <row r="5" spans="1:38">
      <c r="A5" s="6">
        <v>45633.716516203705</v>
      </c>
      <c r="B5" t="s">
        <v>17</v>
      </c>
      <c r="C5" t="s">
        <v>43</v>
      </c>
      <c r="E5" s="2">
        <v>49.23</v>
      </c>
      <c r="F5">
        <v>0.3296</v>
      </c>
      <c r="G5">
        <f t="shared" si="0"/>
        <v>149.36286407766988</v>
      </c>
      <c r="I5" s="19">
        <f>G5*$M$1</f>
        <v>0.14936286407766988</v>
      </c>
      <c r="J5" s="22">
        <f t="shared" si="1"/>
        <v>4.9229999999999996E-2</v>
      </c>
      <c r="K5" s="22"/>
      <c r="L5" s="22"/>
      <c r="M5" s="22"/>
      <c r="N5" s="22"/>
      <c r="O5" s="22"/>
      <c r="P5" t="e">
        <f>VLOOKUP(B5,#REF!, 2, FALSE)</f>
        <v>#REF!</v>
      </c>
      <c r="Q5" s="2" t="e">
        <f>P5/F5</f>
        <v>#REF!</v>
      </c>
      <c r="R5" s="7">
        <v>1</v>
      </c>
      <c r="S5" s="2" t="e">
        <f>P5*G5*R5</f>
        <v>#REF!</v>
      </c>
      <c r="T5" s="2" t="e">
        <f>S5-E5</f>
        <v>#REF!</v>
      </c>
      <c r="U5" t="e">
        <f>VLOOKUP(B5,#REF!, 3, FALSE)</f>
        <v>#REF!</v>
      </c>
      <c r="V5" s="2" t="e">
        <f>U5/F5</f>
        <v>#REF!</v>
      </c>
      <c r="W5" s="7">
        <v>1</v>
      </c>
      <c r="X5" s="2" t="e">
        <f>U5*G5*W5</f>
        <v>#REF!</v>
      </c>
      <c r="Y5" s="2" t="e">
        <f>X5-E5</f>
        <v>#REF!</v>
      </c>
      <c r="Z5" t="e">
        <f>VLOOKUP(B5,#REF!, 4, FALSE)</f>
        <v>#REF!</v>
      </c>
      <c r="AA5" s="2" t="e">
        <f>Z5/F5</f>
        <v>#REF!</v>
      </c>
      <c r="AB5" s="7">
        <v>1</v>
      </c>
      <c r="AC5" s="2" t="e">
        <f>Z5*G5*AB5</f>
        <v>#REF!</v>
      </c>
      <c r="AD5" s="2" t="e">
        <f>AC5-E5</f>
        <v>#REF!</v>
      </c>
    </row>
    <row r="6" spans="1:38">
      <c r="B6" t="s">
        <v>44</v>
      </c>
      <c r="C6" t="s">
        <v>43</v>
      </c>
      <c r="E6" s="2">
        <v>64.45</v>
      </c>
      <c r="F6" s="2">
        <v>109.76</v>
      </c>
      <c r="G6">
        <f t="shared" si="0"/>
        <v>0.5871902332361516</v>
      </c>
      <c r="I6" s="20">
        <v>5.8659999999999995E-4</v>
      </c>
      <c r="J6" s="21">
        <f t="shared" si="1"/>
        <v>6.4385215999999995E-2</v>
      </c>
      <c r="K6" s="21"/>
      <c r="L6" s="21"/>
      <c r="M6" s="21"/>
      <c r="N6" s="21"/>
      <c r="O6" s="21"/>
    </row>
    <row r="7" spans="1:38">
      <c r="A7" s="6"/>
      <c r="B7" t="s">
        <v>18</v>
      </c>
      <c r="C7" t="s">
        <v>43</v>
      </c>
      <c r="E7" s="2">
        <v>100</v>
      </c>
      <c r="F7">
        <v>0.15</v>
      </c>
      <c r="G7">
        <f t="shared" si="0"/>
        <v>666.66666666666674</v>
      </c>
      <c r="I7" s="8">
        <f>G7*$M$1</f>
        <v>0.66666666666666674</v>
      </c>
      <c r="J7" s="20">
        <f t="shared" si="1"/>
        <v>0.1</v>
      </c>
      <c r="K7" s="20"/>
      <c r="L7" s="20"/>
      <c r="M7" s="20"/>
      <c r="N7" s="20"/>
      <c r="O7" s="20"/>
    </row>
    <row r="8" spans="1:38">
      <c r="A8" s="6"/>
      <c r="B8" t="s">
        <v>18</v>
      </c>
      <c r="C8" t="s">
        <v>43</v>
      </c>
      <c r="E8" s="2">
        <v>100</v>
      </c>
      <c r="F8">
        <v>0.1</v>
      </c>
      <c r="G8">
        <f t="shared" si="0"/>
        <v>1000</v>
      </c>
      <c r="I8" s="8">
        <f>G8*$M$1</f>
        <v>1</v>
      </c>
      <c r="J8" s="20">
        <f t="shared" si="1"/>
        <v>0.1</v>
      </c>
      <c r="K8" s="20"/>
      <c r="L8" s="20"/>
      <c r="M8" s="20"/>
      <c r="N8" s="20"/>
      <c r="O8" s="20"/>
    </row>
    <row r="9" spans="1:38">
      <c r="A9" s="6"/>
      <c r="B9" t="s">
        <v>18</v>
      </c>
      <c r="C9" t="s">
        <v>43</v>
      </c>
      <c r="E9" s="2">
        <v>100</v>
      </c>
      <c r="F9">
        <v>0.05</v>
      </c>
      <c r="G9">
        <f t="shared" si="0"/>
        <v>2000</v>
      </c>
      <c r="I9" s="8">
        <f>G9*$M$1</f>
        <v>2</v>
      </c>
      <c r="J9" s="20">
        <f t="shared" si="1"/>
        <v>0.1</v>
      </c>
      <c r="K9" s="20"/>
      <c r="L9" s="20"/>
      <c r="M9" s="20"/>
      <c r="N9" s="20"/>
      <c r="O9" s="20"/>
      <c r="AL9" s="11" t="s">
        <v>30</v>
      </c>
    </row>
    <row r="10" spans="1:38">
      <c r="B10" t="s">
        <v>18</v>
      </c>
      <c r="C10" t="s">
        <v>51</v>
      </c>
    </row>
    <row r="11" spans="1:38">
      <c r="B11" t="s">
        <v>18</v>
      </c>
      <c r="C11" t="s">
        <v>51</v>
      </c>
    </row>
    <row r="12" spans="1:38">
      <c r="B12" t="s">
        <v>18</v>
      </c>
      <c r="C12" t="s">
        <v>51</v>
      </c>
    </row>
    <row r="17" spans="10:10">
      <c r="J17" s="8" t="s">
        <v>45</v>
      </c>
    </row>
    <row r="18" spans="10:10">
      <c r="J18" s="8">
        <f>SUM(J4:J6)</f>
        <v>0.16415521599999999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0886-923C-49A5-B9A9-6DD7E006FD47}">
  <dimension ref="D2:P23"/>
  <sheetViews>
    <sheetView workbookViewId="0">
      <selection activeCell="C16" sqref="C16"/>
    </sheetView>
  </sheetViews>
  <sheetFormatPr defaultRowHeight="15"/>
  <cols>
    <col min="3" max="3" width="8.140625" bestFit="1" customWidth="1"/>
    <col min="4" max="4" width="19" bestFit="1" customWidth="1"/>
    <col min="5" max="5" width="19.7109375" bestFit="1" customWidth="1"/>
    <col min="11" max="11" width="12.42578125" customWidth="1"/>
    <col min="12" max="12" width="11.28515625" bestFit="1" customWidth="1"/>
    <col min="14" max="16" width="10.7109375" bestFit="1" customWidth="1"/>
  </cols>
  <sheetData>
    <row r="2" spans="4:16">
      <c r="I2" s="1"/>
      <c r="J2" s="1"/>
      <c r="K2" s="38" t="s">
        <v>5</v>
      </c>
      <c r="L2" s="38"/>
    </row>
    <row r="3" spans="4:16">
      <c r="D3" s="4" t="s">
        <v>1</v>
      </c>
      <c r="E3" s="4" t="s">
        <v>0</v>
      </c>
      <c r="I3" s="1" t="s">
        <v>2</v>
      </c>
      <c r="J3" s="1" t="s">
        <v>3</v>
      </c>
      <c r="K3" s="1" t="s">
        <v>4</v>
      </c>
      <c r="L3" s="1" t="s">
        <v>6</v>
      </c>
      <c r="N3" s="1" t="s">
        <v>31</v>
      </c>
      <c r="O3" s="1" t="s">
        <v>32</v>
      </c>
      <c r="P3" s="1" t="s">
        <v>33</v>
      </c>
    </row>
    <row r="4" spans="4:16">
      <c r="D4">
        <v>5</v>
      </c>
      <c r="E4" s="5">
        <f>(D4/(100-D4))*100</f>
        <v>5.2631578947368416</v>
      </c>
      <c r="I4">
        <v>1</v>
      </c>
      <c r="J4">
        <v>1</v>
      </c>
      <c r="K4" s="3">
        <f t="shared" ref="K4:K20" si="0">1/(I4+J4)</f>
        <v>0.5</v>
      </c>
      <c r="L4" s="3">
        <f>1-K4</f>
        <v>0.5</v>
      </c>
    </row>
    <row r="5" spans="4:16">
      <c r="D5">
        <v>10</v>
      </c>
      <c r="E5" s="5">
        <f t="shared" ref="E5:E22" si="1">(D5/(100-D5))*100</f>
        <v>11.111111111111111</v>
      </c>
      <c r="I5" s="1">
        <v>1.5</v>
      </c>
      <c r="J5" s="1">
        <v>1</v>
      </c>
      <c r="K5" s="12">
        <f t="shared" si="0"/>
        <v>0.4</v>
      </c>
      <c r="L5" s="12">
        <f t="shared" ref="L5:L20" si="2">1-K5</f>
        <v>0.6</v>
      </c>
      <c r="N5" s="7">
        <v>0.5</v>
      </c>
      <c r="O5" s="7">
        <v>0.3</v>
      </c>
      <c r="P5" s="7">
        <v>0.2</v>
      </c>
    </row>
    <row r="6" spans="4:16">
      <c r="D6">
        <v>15</v>
      </c>
      <c r="E6" s="5">
        <f t="shared" si="1"/>
        <v>17.647058823529413</v>
      </c>
      <c r="I6">
        <v>2</v>
      </c>
      <c r="J6">
        <v>1</v>
      </c>
      <c r="K6" s="3">
        <f t="shared" si="0"/>
        <v>0.33333333333333331</v>
      </c>
      <c r="L6" s="3">
        <f t="shared" si="2"/>
        <v>0.66666666666666674</v>
      </c>
    </row>
    <row r="7" spans="4:16">
      <c r="D7">
        <v>20</v>
      </c>
      <c r="E7" s="5">
        <f t="shared" si="1"/>
        <v>25</v>
      </c>
      <c r="I7">
        <v>2.2999999999999998</v>
      </c>
      <c r="J7">
        <v>1</v>
      </c>
      <c r="K7" s="3">
        <f t="shared" si="0"/>
        <v>0.30303030303030304</v>
      </c>
      <c r="L7" s="3">
        <f t="shared" si="2"/>
        <v>0.69696969696969702</v>
      </c>
    </row>
    <row r="8" spans="4:16">
      <c r="D8">
        <v>25</v>
      </c>
      <c r="E8" s="5">
        <f t="shared" si="1"/>
        <v>33.333333333333329</v>
      </c>
      <c r="I8" s="1">
        <v>2.5</v>
      </c>
      <c r="J8" s="1">
        <v>1</v>
      </c>
      <c r="K8" s="12">
        <f t="shared" si="0"/>
        <v>0.2857142857142857</v>
      </c>
      <c r="L8" s="12">
        <f t="shared" si="2"/>
        <v>0.7142857142857143</v>
      </c>
      <c r="N8" s="7">
        <v>0.3</v>
      </c>
      <c r="O8" s="7">
        <v>0.4</v>
      </c>
      <c r="P8" s="7">
        <v>0.3</v>
      </c>
    </row>
    <row r="9" spans="4:16">
      <c r="D9">
        <v>30</v>
      </c>
      <c r="E9" s="5">
        <f t="shared" si="1"/>
        <v>42.857142857142854</v>
      </c>
      <c r="I9">
        <v>3</v>
      </c>
      <c r="J9">
        <v>1</v>
      </c>
      <c r="K9" s="3">
        <f t="shared" si="0"/>
        <v>0.25</v>
      </c>
      <c r="L9" s="3">
        <f t="shared" si="2"/>
        <v>0.75</v>
      </c>
    </row>
    <row r="10" spans="4:16">
      <c r="D10">
        <v>35</v>
      </c>
      <c r="E10" s="5">
        <f t="shared" si="1"/>
        <v>53.846153846153847</v>
      </c>
      <c r="I10" s="1">
        <v>4</v>
      </c>
      <c r="J10" s="1">
        <v>1</v>
      </c>
      <c r="K10" s="12">
        <f t="shared" si="0"/>
        <v>0.2</v>
      </c>
      <c r="L10" s="12">
        <f t="shared" si="2"/>
        <v>0.8</v>
      </c>
      <c r="N10" s="7">
        <v>0.2</v>
      </c>
      <c r="O10" s="7">
        <v>0.3</v>
      </c>
      <c r="P10" s="7">
        <v>0.5</v>
      </c>
    </row>
    <row r="11" spans="4:16">
      <c r="D11">
        <v>40</v>
      </c>
      <c r="E11" s="5">
        <f t="shared" si="1"/>
        <v>66.666666666666657</v>
      </c>
      <c r="I11">
        <v>4.5</v>
      </c>
      <c r="J11">
        <v>1</v>
      </c>
      <c r="K11" s="3">
        <f t="shared" si="0"/>
        <v>0.18181818181818182</v>
      </c>
      <c r="L11" s="3">
        <f t="shared" si="2"/>
        <v>0.81818181818181812</v>
      </c>
    </row>
    <row r="12" spans="4:16">
      <c r="D12">
        <v>45</v>
      </c>
      <c r="E12" s="5">
        <f t="shared" si="1"/>
        <v>81.818181818181827</v>
      </c>
      <c r="I12">
        <v>3.5</v>
      </c>
      <c r="J12">
        <v>1</v>
      </c>
      <c r="K12" s="3">
        <f t="shared" si="0"/>
        <v>0.22222222222222221</v>
      </c>
      <c r="L12" s="3">
        <f t="shared" si="2"/>
        <v>0.77777777777777779</v>
      </c>
    </row>
    <row r="13" spans="4:16">
      <c r="D13">
        <v>50</v>
      </c>
      <c r="E13" s="5">
        <f t="shared" si="1"/>
        <v>100</v>
      </c>
      <c r="I13">
        <v>5</v>
      </c>
      <c r="J13">
        <v>1</v>
      </c>
      <c r="K13" s="3">
        <f t="shared" si="0"/>
        <v>0.16666666666666666</v>
      </c>
      <c r="L13" s="3">
        <f t="shared" si="2"/>
        <v>0.83333333333333337</v>
      </c>
    </row>
    <row r="14" spans="4:16">
      <c r="D14">
        <v>55</v>
      </c>
      <c r="E14" s="5">
        <f t="shared" si="1"/>
        <v>122.22222222222223</v>
      </c>
      <c r="I14">
        <v>5.5</v>
      </c>
      <c r="J14">
        <v>1</v>
      </c>
      <c r="K14" s="3">
        <f t="shared" si="0"/>
        <v>0.15384615384615385</v>
      </c>
      <c r="L14" s="3">
        <f t="shared" si="2"/>
        <v>0.84615384615384615</v>
      </c>
    </row>
    <row r="15" spans="4:16">
      <c r="D15">
        <v>60</v>
      </c>
      <c r="E15" s="5">
        <f t="shared" si="1"/>
        <v>150</v>
      </c>
      <c r="I15">
        <v>6</v>
      </c>
      <c r="J15">
        <v>1</v>
      </c>
      <c r="K15" s="3">
        <f t="shared" si="0"/>
        <v>0.14285714285714285</v>
      </c>
      <c r="L15" s="3">
        <f t="shared" si="2"/>
        <v>0.85714285714285721</v>
      </c>
    </row>
    <row r="16" spans="4:16">
      <c r="D16">
        <v>65</v>
      </c>
      <c r="E16" s="5">
        <f t="shared" si="1"/>
        <v>185.71428571428572</v>
      </c>
      <c r="I16">
        <v>6.5</v>
      </c>
      <c r="J16">
        <v>1</v>
      </c>
      <c r="K16" s="3">
        <f t="shared" si="0"/>
        <v>0.13333333333333333</v>
      </c>
      <c r="L16" s="3">
        <f t="shared" si="2"/>
        <v>0.8666666666666667</v>
      </c>
    </row>
    <row r="17" spans="4:12">
      <c r="D17">
        <v>70</v>
      </c>
      <c r="E17" s="5">
        <f t="shared" si="1"/>
        <v>233.33333333333334</v>
      </c>
      <c r="I17">
        <v>3.46</v>
      </c>
      <c r="J17">
        <v>1</v>
      </c>
      <c r="K17" s="3">
        <f t="shared" si="0"/>
        <v>0.22421524663677131</v>
      </c>
      <c r="L17" s="3">
        <f t="shared" si="2"/>
        <v>0.77578475336322872</v>
      </c>
    </row>
    <row r="18" spans="4:12">
      <c r="D18">
        <v>75</v>
      </c>
      <c r="E18" s="5">
        <f t="shared" si="1"/>
        <v>300</v>
      </c>
      <c r="I18">
        <v>11.2</v>
      </c>
      <c r="J18">
        <v>1</v>
      </c>
      <c r="K18" s="3">
        <f t="shared" si="0"/>
        <v>8.1967213114754106E-2</v>
      </c>
      <c r="L18" s="3">
        <f t="shared" si="2"/>
        <v>0.91803278688524592</v>
      </c>
    </row>
    <row r="19" spans="4:12">
      <c r="D19">
        <v>80</v>
      </c>
      <c r="E19" s="5">
        <f t="shared" si="1"/>
        <v>400</v>
      </c>
      <c r="I19">
        <v>45</v>
      </c>
      <c r="J19">
        <v>1</v>
      </c>
      <c r="K19" s="3">
        <f t="shared" si="0"/>
        <v>2.1739130434782608E-2</v>
      </c>
      <c r="L19" s="3">
        <f t="shared" si="2"/>
        <v>0.97826086956521741</v>
      </c>
    </row>
    <row r="20" spans="4:12">
      <c r="D20">
        <v>85</v>
      </c>
      <c r="E20" s="5">
        <f t="shared" si="1"/>
        <v>566.66666666666674</v>
      </c>
      <c r="I20">
        <v>0.5</v>
      </c>
      <c r="J20">
        <v>1</v>
      </c>
      <c r="K20" s="3">
        <f t="shared" si="0"/>
        <v>0.66666666666666663</v>
      </c>
      <c r="L20" s="3">
        <f t="shared" si="2"/>
        <v>0.33333333333333337</v>
      </c>
    </row>
    <row r="21" spans="4:12">
      <c r="D21">
        <v>90</v>
      </c>
      <c r="E21" s="5">
        <f t="shared" si="1"/>
        <v>900</v>
      </c>
    </row>
    <row r="22" spans="4:12">
      <c r="D22">
        <v>95</v>
      </c>
      <c r="E22" s="5">
        <f t="shared" si="1"/>
        <v>1900</v>
      </c>
    </row>
    <row r="23" spans="4:12">
      <c r="E23" s="2"/>
    </row>
  </sheetData>
  <mergeCells count="1">
    <mergeCell ref="K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A951-146F-468C-AC96-92CB7A47AA70}">
  <dimension ref="A1:AA40"/>
  <sheetViews>
    <sheetView tabSelected="1" topLeftCell="A2" workbookViewId="0">
      <selection activeCell="H24" sqref="H24"/>
    </sheetView>
  </sheetViews>
  <sheetFormatPr defaultRowHeight="15"/>
  <cols>
    <col min="1" max="1" width="8.7109375" customWidth="1"/>
    <col min="2" max="2" width="19.28515625" style="27" customWidth="1"/>
    <col min="3" max="3" width="14.28515625" style="27" bestFit="1" customWidth="1"/>
    <col min="4" max="4" width="22.7109375" style="27" bestFit="1" customWidth="1"/>
    <col min="5" max="5" width="14.42578125" style="27" bestFit="1" customWidth="1"/>
    <col min="6" max="6" width="15.140625" style="27" bestFit="1" customWidth="1"/>
    <col min="7" max="7" width="22.85546875" style="27" bestFit="1" customWidth="1"/>
    <col min="8" max="8" width="20.7109375" style="27" bestFit="1" customWidth="1"/>
    <col min="9" max="9" width="13.42578125" style="27" bestFit="1" customWidth="1"/>
    <col min="10" max="10" width="14.28515625" style="27" bestFit="1" customWidth="1"/>
    <col min="11" max="11" width="17.5703125" style="27" bestFit="1" customWidth="1"/>
    <col min="12" max="12" width="19.5703125" style="27" bestFit="1" customWidth="1"/>
    <col min="13" max="13" width="19.85546875" style="27" bestFit="1" customWidth="1"/>
    <col min="14" max="14" width="14.5703125" style="27" customWidth="1"/>
    <col min="15" max="15" width="15.7109375" style="27" bestFit="1" customWidth="1"/>
    <col min="16" max="16" width="19.85546875" style="27" bestFit="1" customWidth="1"/>
    <col min="17" max="17" width="11.42578125" style="27" bestFit="1" customWidth="1"/>
    <col min="18" max="18" width="15.85546875" style="27" bestFit="1" customWidth="1"/>
    <col min="19" max="19" width="11.85546875" style="27" bestFit="1" customWidth="1"/>
    <col min="20" max="20" width="11.42578125" style="27" bestFit="1" customWidth="1"/>
    <col min="21" max="21" width="10.85546875" style="27" customWidth="1"/>
    <col min="22" max="22" width="12.7109375" style="27" bestFit="1" customWidth="1"/>
    <col min="23" max="23" width="12.5703125" style="27" bestFit="1" customWidth="1"/>
    <col min="24" max="24" width="10.7109375" style="27" customWidth="1"/>
    <col min="25" max="25" width="10" style="27" bestFit="1" customWidth="1"/>
    <col min="26" max="27" width="9.140625" style="27"/>
  </cols>
  <sheetData>
    <row r="1" spans="1:21">
      <c r="B1" s="32"/>
      <c r="C1" s="4" t="s">
        <v>71</v>
      </c>
      <c r="D1" s="4" t="s">
        <v>91</v>
      </c>
      <c r="E1" s="1" t="s">
        <v>72</v>
      </c>
      <c r="F1" s="4" t="s">
        <v>62</v>
      </c>
    </row>
    <row r="2" spans="1:21">
      <c r="B2" s="32" t="s">
        <v>73</v>
      </c>
      <c r="C2" s="25">
        <v>5000</v>
      </c>
      <c r="D2" s="25" cm="1">
        <f t="array" ref="D2">IFERROR(INDEX(R16:R10000, MATCH(MAX(S16:S10000*(P16:P10000&lt;&gt;"Open")*(S16:S10000&lt;&gt;""), 0), S16:S10000, 0)), R16)</f>
        <v>5150</v>
      </c>
      <c r="E2" s="31">
        <f>(D2-C2)/C2</f>
        <v>0.03</v>
      </c>
      <c r="F2" s="25">
        <f>SUM(Q2:Q1004)</f>
        <v>150</v>
      </c>
      <c r="G2" s="39" t="s">
        <v>78</v>
      </c>
      <c r="H2" s="39"/>
      <c r="I2" s="39"/>
      <c r="J2" s="39"/>
      <c r="K2" s="39"/>
      <c r="L2" s="39"/>
      <c r="M2" s="39"/>
      <c r="N2" s="39"/>
      <c r="T2" s="27" t="s">
        <v>74</v>
      </c>
      <c r="U2" s="27" t="s">
        <v>75</v>
      </c>
    </row>
    <row r="3" spans="1:21">
      <c r="B3" s="40" t="s">
        <v>58</v>
      </c>
      <c r="C3" s="41">
        <v>0.01</v>
      </c>
      <c r="D3" s="41"/>
      <c r="G3" s="4" t="s">
        <v>76</v>
      </c>
      <c r="H3" s="4" t="s">
        <v>60</v>
      </c>
      <c r="I3" s="4" t="s">
        <v>77</v>
      </c>
      <c r="J3" s="4" t="s">
        <v>61</v>
      </c>
      <c r="K3" s="4" t="s">
        <v>6</v>
      </c>
      <c r="L3" s="4"/>
      <c r="M3" s="4" t="s">
        <v>62</v>
      </c>
      <c r="T3" s="27" t="s">
        <v>74</v>
      </c>
      <c r="U3" s="27" t="s">
        <v>80</v>
      </c>
    </row>
    <row r="4" spans="1:21">
      <c r="B4" s="40"/>
      <c r="C4" s="28">
        <f>C2*C3</f>
        <v>50</v>
      </c>
      <c r="D4" s="25">
        <f>D2*C3</f>
        <v>51.5</v>
      </c>
      <c r="G4" s="27">
        <f>COUNTIFS(P16:P1004, "&lt;&gt;Open", P16:P1004, "&lt;&gt;")</f>
        <v>1</v>
      </c>
      <c r="H4" s="27">
        <f>COUNTIF(P16:P1004, "Win")</f>
        <v>1</v>
      </c>
      <c r="I4" s="27">
        <f>COUNTIF(P16:Q1004, "Loss")</f>
        <v>0</v>
      </c>
      <c r="J4" s="26">
        <f>IF(G4=0,"0%",(H4/G4))</f>
        <v>1</v>
      </c>
      <c r="K4" s="26">
        <f>IF(G4=0,"0%",(I4/G4))</f>
        <v>0</v>
      </c>
      <c r="L4" s="26"/>
      <c r="M4" s="25">
        <f>SUM(Q16:Q1004)</f>
        <v>150</v>
      </c>
    </row>
    <row r="5" spans="1:21">
      <c r="B5" s="32" t="s">
        <v>83</v>
      </c>
      <c r="C5" s="33">
        <v>0.05</v>
      </c>
      <c r="D5" s="25">
        <f>D2*C5</f>
        <v>257.5</v>
      </c>
    </row>
    <row r="6" spans="1:21">
      <c r="B6" s="32" t="s">
        <v>84</v>
      </c>
      <c r="C6" s="31">
        <f>D6/D2</f>
        <v>1.9417475728155338E-2</v>
      </c>
      <c r="D6" s="25">
        <f>SUMIF(P16:P1000, "Open", N16:N1000)</f>
        <v>100</v>
      </c>
    </row>
    <row r="7" spans="1:21">
      <c r="B7" s="32" t="s">
        <v>79</v>
      </c>
      <c r="C7" s="31">
        <f>IF(D2=0, "", SUMIF(P16:P1000, "Open", L16:L1000) / D2)</f>
        <v>0.19902912621359223</v>
      </c>
      <c r="D7" s="25">
        <f>SUMIF(P16:P1000,"Open",L16:L1000)</f>
        <v>1025</v>
      </c>
      <c r="J7" s="34" t="s">
        <v>85</v>
      </c>
      <c r="K7" s="34" t="s">
        <v>86</v>
      </c>
      <c r="L7" s="34"/>
      <c r="M7" s="34"/>
    </row>
    <row r="8" spans="1:21">
      <c r="B8" s="32"/>
      <c r="H8" s="34" t="s">
        <v>65</v>
      </c>
      <c r="I8" s="34">
        <v>3</v>
      </c>
      <c r="J8" s="35">
        <f>IF(I8="","",VLOOKUP(I8,'Risk Reward'!I4:L20,3,FALSE))</f>
        <v>0.25</v>
      </c>
      <c r="K8" s="35">
        <f>IF(I8="","",VLOOKUP(I8,'Risk Reward'!I4:L20,4,FALSE))</f>
        <v>0.75</v>
      </c>
      <c r="L8" s="35"/>
      <c r="M8" s="35"/>
    </row>
    <row r="9" spans="1:21">
      <c r="B9" s="32" t="s">
        <v>81</v>
      </c>
      <c r="C9" s="27">
        <f>COUNTIF(P16:P1004, "Open")</f>
        <v>2</v>
      </c>
    </row>
    <row r="10" spans="1:21">
      <c r="B10" s="32" t="s">
        <v>82</v>
      </c>
    </row>
    <row r="15" spans="1:21">
      <c r="A15" s="4" t="s">
        <v>52</v>
      </c>
      <c r="B15" s="4" t="s">
        <v>21</v>
      </c>
      <c r="C15" s="4" t="s">
        <v>70</v>
      </c>
      <c r="D15" s="4" t="s">
        <v>42</v>
      </c>
      <c r="E15" s="4" t="s">
        <v>53</v>
      </c>
      <c r="F15" s="4" t="s">
        <v>54</v>
      </c>
      <c r="G15" s="4" t="s">
        <v>66</v>
      </c>
      <c r="H15" s="4" t="s">
        <v>68</v>
      </c>
      <c r="I15" s="29" t="s">
        <v>67</v>
      </c>
      <c r="J15" s="29" t="s">
        <v>69</v>
      </c>
      <c r="K15" s="4" t="s">
        <v>88</v>
      </c>
      <c r="L15" s="4" t="s">
        <v>94</v>
      </c>
      <c r="M15" s="4" t="s">
        <v>93</v>
      </c>
      <c r="N15" s="4" t="s">
        <v>55</v>
      </c>
      <c r="O15" s="4" t="s">
        <v>56</v>
      </c>
      <c r="P15" s="4" t="s">
        <v>57</v>
      </c>
      <c r="Q15" s="29" t="s">
        <v>59</v>
      </c>
      <c r="R15" s="29" t="s">
        <v>89</v>
      </c>
      <c r="S15" s="29" t="s">
        <v>90</v>
      </c>
    </row>
    <row r="16" spans="1:21">
      <c r="A16" s="27">
        <v>1</v>
      </c>
      <c r="D16" s="27" t="s">
        <v>63</v>
      </c>
      <c r="E16" s="25">
        <v>90000</v>
      </c>
      <c r="F16" s="25">
        <v>85000</v>
      </c>
      <c r="G16" s="25">
        <f>IF(OR(E16="",F16=""),"",ABS(E16-F16))</f>
        <v>5000</v>
      </c>
      <c r="H16" s="31">
        <f>IF(OR(E16="", F16="", E16=0), "", ABS(E16 - F16) / E16)</f>
        <v>5.5555555555555552E-2</v>
      </c>
      <c r="I16" s="25">
        <f t="shared" ref="I16:I38" si="0">IF(OR(D16="", E16="", G16="", $I$8=""), "", IF(D16="Long",IF(AND((E16 + (G16 * $I$8)) &gt; 0), E16 + (G16 * $I$8), ""), IF(AND((E16 - (G16 * $I$8)) &gt; 0), E16 - (G16 * $I$8), "")))</f>
        <v>105000</v>
      </c>
      <c r="J16" s="31">
        <f>IF(OR(I16="", E16=""), "", ABS(I16 - E16) / E16)</f>
        <v>0.16666666666666666</v>
      </c>
      <c r="K16" s="30">
        <f>IF(OR($C$4="", G16=""), "", $C$4 / G16)</f>
        <v>0.01</v>
      </c>
      <c r="L16" s="25">
        <f>K16*E16</f>
        <v>900</v>
      </c>
      <c r="M16" s="25">
        <f>$C$2</f>
        <v>5000</v>
      </c>
      <c r="N16" s="25">
        <f>M16*$C$3</f>
        <v>50</v>
      </c>
      <c r="O16" s="25">
        <f>IF(OR(ISBLANK(N16), ISBLANK($I$8)), "", N16 * $I$8)</f>
        <v>150</v>
      </c>
      <c r="P16" s="27" t="s">
        <v>92</v>
      </c>
      <c r="Q16" s="25">
        <f t="shared" ref="Q16:Q38" si="1">IF(P16="Win",O16,IF(P16="Loss",-N16,0))</f>
        <v>0</v>
      </c>
      <c r="R16" s="25">
        <f>C2+Q16</f>
        <v>5000</v>
      </c>
      <c r="S16" s="36"/>
      <c r="T16" s="37"/>
      <c r="U16" s="25"/>
    </row>
    <row r="17" spans="1:21">
      <c r="A17" s="27">
        <v>2</v>
      </c>
      <c r="D17" s="27" t="s">
        <v>63</v>
      </c>
      <c r="E17" s="25">
        <v>50</v>
      </c>
      <c r="F17" s="25">
        <v>30</v>
      </c>
      <c r="G17" s="25">
        <f t="shared" ref="G17:G37" si="2">IF(OR(E17="",F17=""),"",ABS(E17-F17))</f>
        <v>20</v>
      </c>
      <c r="H17" s="31">
        <f t="shared" ref="H17:H38" si="3">IF(OR(E17="", F17="", E17=0), "", ABS(E17 - F17) / E17)</f>
        <v>0.4</v>
      </c>
      <c r="I17" s="25">
        <f t="shared" si="0"/>
        <v>110</v>
      </c>
      <c r="J17" s="31">
        <f t="shared" ref="J17:J38" si="4">IF(OR(I17="", E17=""), "", ABS(I17 - E17) / E17)</f>
        <v>1.2</v>
      </c>
      <c r="K17" s="30">
        <f t="shared" ref="K17:K38" si="5">IF(OR($C$4="", G17=""), "", $C$4 / G17)</f>
        <v>2.5</v>
      </c>
      <c r="L17" s="25">
        <f t="shared" ref="L17:L21" si="6">K17*E17</f>
        <v>125</v>
      </c>
      <c r="M17" s="25">
        <f>IF(P16="Open", $C$2, IF(P16="Win", R16, IF(P16="Loss", R16, "")))</f>
        <v>5000</v>
      </c>
      <c r="N17" s="25">
        <f t="shared" ref="N17:N19" si="7">M17*$C$3</f>
        <v>50</v>
      </c>
      <c r="O17" s="25">
        <f t="shared" ref="O17:O38" si="8">IF(OR(ISBLANK(N17), ISBLANK($I$8), ISBLANK(P17)), "", N17 * $I$8)</f>
        <v>150</v>
      </c>
      <c r="P17" s="27" t="s">
        <v>92</v>
      </c>
      <c r="Q17" s="25">
        <f t="shared" si="1"/>
        <v>0</v>
      </c>
      <c r="R17" s="25">
        <f>IF(P17="Open", R16 + Q17, IF(P17="Win", R16 + Q17, IF(P17="Loss", R16 + Q17, R16)))</f>
        <v>5000</v>
      </c>
      <c r="S17" s="36"/>
      <c r="T17" s="37"/>
      <c r="U17" s="25"/>
    </row>
    <row r="18" spans="1:21">
      <c r="A18" s="27">
        <v>3</v>
      </c>
      <c r="D18" s="27" t="s">
        <v>63</v>
      </c>
      <c r="E18" s="25">
        <v>0.116199</v>
      </c>
      <c r="F18" s="25">
        <v>9.1500999999999999E-2</v>
      </c>
      <c r="G18" s="25">
        <f t="shared" si="2"/>
        <v>2.4697999999999998E-2</v>
      </c>
      <c r="H18" s="31">
        <f t="shared" si="3"/>
        <v>0.21254916135250732</v>
      </c>
      <c r="I18" s="25">
        <f t="shared" si="0"/>
        <v>0.19029299999999999</v>
      </c>
      <c r="J18" s="31">
        <f t="shared" si="4"/>
        <v>0.63764748405752192</v>
      </c>
      <c r="K18" s="30">
        <f t="shared" si="5"/>
        <v>2024.4554214916188</v>
      </c>
      <c r="L18" s="25">
        <f t="shared" si="6"/>
        <v>235.23969552190462</v>
      </c>
      <c r="M18" s="25">
        <f>IF(P17="Open", $C$2, IF(P17="Win", R17, IF(P17="Loss", R17, "")))</f>
        <v>5000</v>
      </c>
      <c r="N18" s="25">
        <f t="shared" si="7"/>
        <v>50</v>
      </c>
      <c r="O18" s="25">
        <f t="shared" si="8"/>
        <v>150</v>
      </c>
      <c r="P18" s="27" t="s">
        <v>87</v>
      </c>
      <c r="Q18" s="25">
        <f t="shared" si="1"/>
        <v>150</v>
      </c>
      <c r="R18" s="25">
        <f t="shared" ref="R18:R25" si="9">IF(P18="Open", R17 + Q18, IF(P18="Win", R17 + Q18, IF(P18="Loss", R17 + Q18, R17)))</f>
        <v>5150</v>
      </c>
      <c r="S18" s="36">
        <v>45324</v>
      </c>
      <c r="T18" s="37"/>
      <c r="U18" s="25"/>
    </row>
    <row r="19" spans="1:21">
      <c r="A19" s="27">
        <v>4</v>
      </c>
      <c r="D19" s="27" t="s">
        <v>63</v>
      </c>
      <c r="E19" s="25">
        <v>1.3621799999999999</v>
      </c>
      <c r="F19" s="25">
        <v>1.0994999999999999</v>
      </c>
      <c r="G19" s="25">
        <f t="shared" si="2"/>
        <v>0.26268000000000002</v>
      </c>
      <c r="H19" s="31">
        <f t="shared" si="3"/>
        <v>0.19283795093159498</v>
      </c>
      <c r="I19" s="25">
        <f t="shared" si="0"/>
        <v>2.15022</v>
      </c>
      <c r="J19" s="31">
        <f t="shared" si="4"/>
        <v>0.57851385279478496</v>
      </c>
      <c r="K19" s="30">
        <f t="shared" si="5"/>
        <v>190.34566773260238</v>
      </c>
      <c r="L19" s="25">
        <f t="shared" si="6"/>
        <v>259.28506167199629</v>
      </c>
      <c r="M19" s="25">
        <f>IF(P18="Open", $C$2, IF(P18="Win", R18, IF(P18="Loss", R18, "")))</f>
        <v>5150</v>
      </c>
      <c r="N19" s="25">
        <f t="shared" si="7"/>
        <v>51.5</v>
      </c>
      <c r="O19" s="25" t="str">
        <f t="shared" si="8"/>
        <v/>
      </c>
      <c r="Q19" s="25">
        <f t="shared" si="1"/>
        <v>0</v>
      </c>
      <c r="R19" s="25">
        <f t="shared" si="9"/>
        <v>5150</v>
      </c>
      <c r="S19" s="36"/>
      <c r="T19" s="37"/>
      <c r="U19" s="25"/>
    </row>
    <row r="20" spans="1:21">
      <c r="A20" s="27">
        <v>5</v>
      </c>
      <c r="D20" s="27" t="s">
        <v>64</v>
      </c>
      <c r="E20" s="25">
        <v>2.1462699999999999</v>
      </c>
      <c r="F20" s="25">
        <v>2.35595</v>
      </c>
      <c r="G20" s="25">
        <f t="shared" si="2"/>
        <v>0.20968000000000009</v>
      </c>
      <c r="H20" s="31">
        <f t="shared" si="3"/>
        <v>9.7695070983613477E-2</v>
      </c>
      <c r="I20" s="25">
        <f t="shared" si="0"/>
        <v>1.5172299999999996</v>
      </c>
      <c r="J20" s="31">
        <f t="shared" si="4"/>
        <v>0.29308521295084045</v>
      </c>
      <c r="K20" s="30">
        <f t="shared" si="5"/>
        <v>238.4586035864173</v>
      </c>
      <c r="L20" s="25">
        <f t="shared" si="6"/>
        <v>511.79654711941981</v>
      </c>
      <c r="M20" s="25"/>
      <c r="N20" s="25"/>
      <c r="O20" s="25" t="str">
        <f t="shared" si="8"/>
        <v/>
      </c>
      <c r="Q20" s="25">
        <f t="shared" si="1"/>
        <v>0</v>
      </c>
      <c r="R20" s="25">
        <f t="shared" si="9"/>
        <v>5150</v>
      </c>
      <c r="S20" s="36">
        <v>45356</v>
      </c>
      <c r="T20" s="37"/>
      <c r="U20" s="25"/>
    </row>
    <row r="21" spans="1:21">
      <c r="A21" s="27">
        <v>6</v>
      </c>
      <c r="D21" s="27" t="s">
        <v>64</v>
      </c>
      <c r="E21" s="25">
        <v>1</v>
      </c>
      <c r="F21" s="25">
        <v>1.25</v>
      </c>
      <c r="G21" s="25">
        <f t="shared" si="2"/>
        <v>0.25</v>
      </c>
      <c r="H21" s="31">
        <f t="shared" si="3"/>
        <v>0.25</v>
      </c>
      <c r="I21" s="25">
        <f t="shared" si="0"/>
        <v>0.25</v>
      </c>
      <c r="J21" s="31">
        <f t="shared" si="4"/>
        <v>0.75</v>
      </c>
      <c r="K21" s="30">
        <f t="shared" si="5"/>
        <v>200</v>
      </c>
      <c r="L21" s="25">
        <f t="shared" si="6"/>
        <v>200</v>
      </c>
      <c r="M21" s="25"/>
      <c r="N21" s="25"/>
      <c r="O21" s="25" t="str">
        <f t="shared" si="8"/>
        <v/>
      </c>
      <c r="Q21" s="25">
        <f t="shared" si="1"/>
        <v>0</v>
      </c>
      <c r="R21" s="25">
        <f t="shared" si="9"/>
        <v>5150</v>
      </c>
      <c r="S21" s="36"/>
      <c r="T21" s="37"/>
      <c r="U21" s="25"/>
    </row>
    <row r="22" spans="1:21">
      <c r="A22" s="27">
        <v>7</v>
      </c>
      <c r="E22" s="25"/>
      <c r="F22" s="25"/>
      <c r="G22" s="25" t="str">
        <f t="shared" si="2"/>
        <v/>
      </c>
      <c r="H22" s="31" t="str">
        <f t="shared" si="3"/>
        <v/>
      </c>
      <c r="I22" s="25" t="str">
        <f t="shared" si="0"/>
        <v/>
      </c>
      <c r="J22" s="31" t="str">
        <f t="shared" si="4"/>
        <v/>
      </c>
      <c r="K22" s="30" t="str">
        <f t="shared" si="5"/>
        <v/>
      </c>
      <c r="L22" s="25"/>
      <c r="M22" s="25"/>
      <c r="N22" s="25"/>
      <c r="O22" s="25" t="str">
        <f t="shared" si="8"/>
        <v/>
      </c>
      <c r="Q22" s="25">
        <f t="shared" si="1"/>
        <v>0</v>
      </c>
      <c r="R22" s="25">
        <f t="shared" si="9"/>
        <v>5150</v>
      </c>
      <c r="T22" s="37"/>
      <c r="U22" s="25"/>
    </row>
    <row r="23" spans="1:21">
      <c r="A23" s="27">
        <v>8</v>
      </c>
      <c r="E23" s="25"/>
      <c r="F23" s="25"/>
      <c r="G23" s="25" t="str">
        <f t="shared" si="2"/>
        <v/>
      </c>
      <c r="H23" s="31" t="str">
        <f t="shared" si="3"/>
        <v/>
      </c>
      <c r="I23" s="25" t="str">
        <f t="shared" si="0"/>
        <v/>
      </c>
      <c r="J23" s="31" t="str">
        <f t="shared" si="4"/>
        <v/>
      </c>
      <c r="K23" s="30" t="str">
        <f t="shared" si="5"/>
        <v/>
      </c>
      <c r="L23" s="25"/>
      <c r="M23" s="25"/>
      <c r="N23" s="25"/>
      <c r="O23" s="25" t="str">
        <f t="shared" si="8"/>
        <v/>
      </c>
      <c r="Q23" s="25">
        <f t="shared" si="1"/>
        <v>0</v>
      </c>
      <c r="R23" s="25">
        <f t="shared" si="9"/>
        <v>5150</v>
      </c>
    </row>
    <row r="24" spans="1:21">
      <c r="A24" s="27">
        <v>9</v>
      </c>
      <c r="E24" s="25"/>
      <c r="F24" s="25"/>
      <c r="G24" s="25" t="str">
        <f t="shared" si="2"/>
        <v/>
      </c>
      <c r="H24" s="31" t="str">
        <f t="shared" si="3"/>
        <v/>
      </c>
      <c r="I24" s="25" t="str">
        <f t="shared" si="0"/>
        <v/>
      </c>
      <c r="J24" s="31" t="str">
        <f t="shared" si="4"/>
        <v/>
      </c>
      <c r="K24" s="30" t="str">
        <f t="shared" si="5"/>
        <v/>
      </c>
      <c r="L24" s="25"/>
      <c r="M24" s="25" t="str">
        <f>IF(P23="Open", $C$2, IF(P23&lt;&gt;"", R23, ""))</f>
        <v/>
      </c>
      <c r="N24" s="25"/>
      <c r="O24" s="25" t="str">
        <f t="shared" si="8"/>
        <v/>
      </c>
      <c r="Q24" s="25">
        <f t="shared" si="1"/>
        <v>0</v>
      </c>
      <c r="R24" s="25">
        <f t="shared" si="9"/>
        <v>5150</v>
      </c>
    </row>
    <row r="25" spans="1:21">
      <c r="A25" s="27">
        <v>10</v>
      </c>
      <c r="E25" s="25"/>
      <c r="F25" s="25"/>
      <c r="G25" s="25" t="str">
        <f t="shared" si="2"/>
        <v/>
      </c>
      <c r="H25" s="31" t="str">
        <f t="shared" si="3"/>
        <v/>
      </c>
      <c r="I25" s="25" t="str">
        <f t="shared" si="0"/>
        <v/>
      </c>
      <c r="J25" s="31" t="str">
        <f t="shared" si="4"/>
        <v/>
      </c>
      <c r="K25" s="30" t="str">
        <f t="shared" si="5"/>
        <v/>
      </c>
      <c r="L25" s="25"/>
      <c r="M25" s="25" t="str">
        <f>IF(P24="Open", $C$2, IF(P24&lt;&gt;"", R24, ""))</f>
        <v/>
      </c>
      <c r="N25" s="25"/>
      <c r="O25" s="25" t="str">
        <f t="shared" si="8"/>
        <v/>
      </c>
      <c r="Q25" s="25">
        <f t="shared" si="1"/>
        <v>0</v>
      </c>
      <c r="R25" s="25">
        <f t="shared" si="9"/>
        <v>5150</v>
      </c>
    </row>
    <row r="26" spans="1:21">
      <c r="A26" s="27">
        <v>11</v>
      </c>
      <c r="E26" s="25"/>
      <c r="F26" s="25"/>
      <c r="G26" s="25" t="str">
        <f t="shared" si="2"/>
        <v/>
      </c>
      <c r="H26" s="31" t="str">
        <f t="shared" si="3"/>
        <v/>
      </c>
      <c r="I26" s="25" t="str">
        <f t="shared" si="0"/>
        <v/>
      </c>
      <c r="J26" s="31" t="str">
        <f t="shared" si="4"/>
        <v/>
      </c>
      <c r="K26" s="30" t="str">
        <f t="shared" si="5"/>
        <v/>
      </c>
      <c r="L26" s="25"/>
      <c r="M26" s="25" t="str">
        <f>IF(P25="Open", $C$2, IF(P25&lt;&gt;"", R25, ""))</f>
        <v/>
      </c>
      <c r="N26" s="25"/>
      <c r="O26" s="25" t="str">
        <f t="shared" si="8"/>
        <v/>
      </c>
      <c r="Q26" s="25">
        <f t="shared" si="1"/>
        <v>0</v>
      </c>
      <c r="R26" s="25"/>
    </row>
    <row r="27" spans="1:21">
      <c r="A27" s="27">
        <v>12</v>
      </c>
      <c r="E27" s="25"/>
      <c r="F27" s="25"/>
      <c r="G27" s="25" t="str">
        <f t="shared" si="2"/>
        <v/>
      </c>
      <c r="H27" s="31" t="str">
        <f t="shared" si="3"/>
        <v/>
      </c>
      <c r="I27" s="25" t="str">
        <f t="shared" si="0"/>
        <v/>
      </c>
      <c r="J27" s="31" t="str">
        <f t="shared" si="4"/>
        <v/>
      </c>
      <c r="K27" s="30" t="str">
        <f t="shared" si="5"/>
        <v/>
      </c>
      <c r="L27" s="25"/>
      <c r="M27" s="25"/>
      <c r="N27" s="25"/>
      <c r="O27" s="25" t="str">
        <f t="shared" si="8"/>
        <v/>
      </c>
      <c r="Q27" s="25">
        <f t="shared" si="1"/>
        <v>0</v>
      </c>
      <c r="R27" s="25"/>
    </row>
    <row r="28" spans="1:21">
      <c r="A28" s="27">
        <v>13</v>
      </c>
      <c r="E28" s="25"/>
      <c r="F28" s="25"/>
      <c r="G28" s="25" t="str">
        <f t="shared" si="2"/>
        <v/>
      </c>
      <c r="H28" s="31" t="str">
        <f t="shared" si="3"/>
        <v/>
      </c>
      <c r="I28" s="25" t="str">
        <f t="shared" si="0"/>
        <v/>
      </c>
      <c r="J28" s="31" t="str">
        <f t="shared" si="4"/>
        <v/>
      </c>
      <c r="K28" s="30" t="str">
        <f t="shared" si="5"/>
        <v/>
      </c>
      <c r="L28" s="25"/>
      <c r="M28" s="25"/>
      <c r="N28" s="25"/>
      <c r="O28" s="25" t="str">
        <f t="shared" si="8"/>
        <v/>
      </c>
      <c r="Q28" s="25">
        <f t="shared" si="1"/>
        <v>0</v>
      </c>
      <c r="R28" s="25"/>
    </row>
    <row r="29" spans="1:21">
      <c r="A29" s="27">
        <v>14</v>
      </c>
      <c r="E29" s="25"/>
      <c r="F29" s="25"/>
      <c r="G29" s="25" t="str">
        <f t="shared" si="2"/>
        <v/>
      </c>
      <c r="H29" s="31" t="str">
        <f t="shared" si="3"/>
        <v/>
      </c>
      <c r="I29" s="25" t="str">
        <f t="shared" si="0"/>
        <v/>
      </c>
      <c r="J29" s="31" t="str">
        <f t="shared" si="4"/>
        <v/>
      </c>
      <c r="K29" s="30" t="str">
        <f t="shared" si="5"/>
        <v/>
      </c>
      <c r="L29" s="25"/>
      <c r="M29" s="25"/>
      <c r="N29" s="25"/>
      <c r="O29" s="25" t="str">
        <f t="shared" si="8"/>
        <v/>
      </c>
      <c r="Q29" s="25">
        <f t="shared" si="1"/>
        <v>0</v>
      </c>
      <c r="R29" s="25"/>
    </row>
    <row r="30" spans="1:21">
      <c r="A30" s="27">
        <v>15</v>
      </c>
      <c r="E30" s="25"/>
      <c r="F30" s="25"/>
      <c r="G30" s="25" t="str">
        <f t="shared" si="2"/>
        <v/>
      </c>
      <c r="H30" s="31" t="str">
        <f t="shared" si="3"/>
        <v/>
      </c>
      <c r="I30" s="25" t="str">
        <f t="shared" si="0"/>
        <v/>
      </c>
      <c r="J30" s="31" t="str">
        <f t="shared" si="4"/>
        <v/>
      </c>
      <c r="K30" s="30" t="str">
        <f t="shared" si="5"/>
        <v/>
      </c>
      <c r="L30" s="25"/>
      <c r="M30" s="25"/>
      <c r="N30" s="25"/>
      <c r="O30" s="25" t="str">
        <f t="shared" si="8"/>
        <v/>
      </c>
      <c r="Q30" s="25">
        <f t="shared" si="1"/>
        <v>0</v>
      </c>
      <c r="R30" s="25"/>
    </row>
    <row r="31" spans="1:21">
      <c r="A31" s="27">
        <v>16</v>
      </c>
      <c r="E31" s="25"/>
      <c r="F31" s="25"/>
      <c r="G31" s="25" t="str">
        <f t="shared" si="2"/>
        <v/>
      </c>
      <c r="H31" s="31" t="str">
        <f t="shared" si="3"/>
        <v/>
      </c>
      <c r="I31" s="25" t="str">
        <f t="shared" si="0"/>
        <v/>
      </c>
      <c r="J31" s="31" t="str">
        <f t="shared" si="4"/>
        <v/>
      </c>
      <c r="K31" s="30" t="str">
        <f t="shared" si="5"/>
        <v/>
      </c>
      <c r="L31" s="25"/>
      <c r="M31" s="25"/>
      <c r="N31" s="25"/>
      <c r="O31" s="25" t="str">
        <f t="shared" si="8"/>
        <v/>
      </c>
      <c r="Q31" s="25">
        <f t="shared" si="1"/>
        <v>0</v>
      </c>
      <c r="R31" s="25"/>
    </row>
    <row r="32" spans="1:21">
      <c r="A32" s="27">
        <v>17</v>
      </c>
      <c r="E32" s="25"/>
      <c r="F32" s="25"/>
      <c r="G32" s="25" t="str">
        <f t="shared" si="2"/>
        <v/>
      </c>
      <c r="H32" s="31" t="str">
        <f t="shared" si="3"/>
        <v/>
      </c>
      <c r="I32" s="25" t="str">
        <f t="shared" si="0"/>
        <v/>
      </c>
      <c r="J32" s="31" t="str">
        <f t="shared" si="4"/>
        <v/>
      </c>
      <c r="K32" s="30" t="str">
        <f t="shared" si="5"/>
        <v/>
      </c>
      <c r="L32" s="25"/>
      <c r="M32" s="25"/>
      <c r="N32" s="25"/>
      <c r="O32" s="25" t="str">
        <f t="shared" si="8"/>
        <v/>
      </c>
      <c r="Q32" s="25">
        <f t="shared" si="1"/>
        <v>0</v>
      </c>
      <c r="R32" s="25"/>
    </row>
    <row r="33" spans="1:18">
      <c r="A33" s="27">
        <v>18</v>
      </c>
      <c r="E33" s="25"/>
      <c r="F33" s="25"/>
      <c r="G33" s="25" t="str">
        <f t="shared" si="2"/>
        <v/>
      </c>
      <c r="H33" s="31" t="str">
        <f t="shared" si="3"/>
        <v/>
      </c>
      <c r="I33" s="25" t="str">
        <f t="shared" si="0"/>
        <v/>
      </c>
      <c r="J33" s="31" t="str">
        <f t="shared" si="4"/>
        <v/>
      </c>
      <c r="K33" s="30" t="str">
        <f t="shared" si="5"/>
        <v/>
      </c>
      <c r="L33" s="25"/>
      <c r="M33" s="25"/>
      <c r="N33" s="25"/>
      <c r="O33" s="25" t="str">
        <f t="shared" si="8"/>
        <v/>
      </c>
      <c r="Q33" s="25">
        <f t="shared" si="1"/>
        <v>0</v>
      </c>
      <c r="R33" s="25"/>
    </row>
    <row r="34" spans="1:18">
      <c r="A34" s="27">
        <v>19</v>
      </c>
      <c r="E34" s="25"/>
      <c r="F34" s="25"/>
      <c r="G34" s="25" t="str">
        <f t="shared" si="2"/>
        <v/>
      </c>
      <c r="H34" s="31" t="str">
        <f t="shared" si="3"/>
        <v/>
      </c>
      <c r="I34" s="25" t="str">
        <f t="shared" si="0"/>
        <v/>
      </c>
      <c r="J34" s="31" t="str">
        <f t="shared" si="4"/>
        <v/>
      </c>
      <c r="K34" s="30" t="str">
        <f t="shared" si="5"/>
        <v/>
      </c>
      <c r="L34" s="25"/>
      <c r="M34" s="25"/>
      <c r="N34" s="25"/>
      <c r="O34" s="25" t="str">
        <f t="shared" si="8"/>
        <v/>
      </c>
      <c r="Q34" s="25">
        <f t="shared" si="1"/>
        <v>0</v>
      </c>
      <c r="R34" s="25"/>
    </row>
    <row r="35" spans="1:18">
      <c r="A35" s="27">
        <v>20</v>
      </c>
      <c r="E35" s="25"/>
      <c r="F35" s="25"/>
      <c r="G35" s="25" t="str">
        <f t="shared" si="2"/>
        <v/>
      </c>
      <c r="H35" s="31" t="str">
        <f t="shared" si="3"/>
        <v/>
      </c>
      <c r="I35" s="25" t="str">
        <f t="shared" si="0"/>
        <v/>
      </c>
      <c r="J35" s="31" t="str">
        <f t="shared" si="4"/>
        <v/>
      </c>
      <c r="K35" s="30" t="str">
        <f t="shared" si="5"/>
        <v/>
      </c>
      <c r="L35" s="25"/>
      <c r="M35" s="25"/>
      <c r="N35" s="25"/>
      <c r="O35" s="25" t="str">
        <f t="shared" si="8"/>
        <v/>
      </c>
      <c r="Q35" s="25">
        <f t="shared" si="1"/>
        <v>0</v>
      </c>
      <c r="R35" s="25"/>
    </row>
    <row r="36" spans="1:18">
      <c r="A36" s="27">
        <v>21</v>
      </c>
      <c r="G36" s="25" t="str">
        <f t="shared" si="2"/>
        <v/>
      </c>
      <c r="H36" s="31" t="str">
        <f t="shared" si="3"/>
        <v/>
      </c>
      <c r="I36" s="25" t="str">
        <f t="shared" si="0"/>
        <v/>
      </c>
      <c r="J36" s="31" t="str">
        <f t="shared" si="4"/>
        <v/>
      </c>
      <c r="K36" s="30" t="str">
        <f t="shared" si="5"/>
        <v/>
      </c>
      <c r="L36" s="25"/>
      <c r="M36" s="25"/>
      <c r="N36" s="25"/>
      <c r="O36" s="25" t="str">
        <f t="shared" si="8"/>
        <v/>
      </c>
      <c r="Q36" s="25">
        <f t="shared" si="1"/>
        <v>0</v>
      </c>
      <c r="R36" s="25"/>
    </row>
    <row r="37" spans="1:18">
      <c r="A37" s="27">
        <v>22</v>
      </c>
      <c r="G37" s="25" t="str">
        <f t="shared" si="2"/>
        <v/>
      </c>
      <c r="H37" s="31" t="str">
        <f t="shared" si="3"/>
        <v/>
      </c>
      <c r="I37" s="25" t="str">
        <f t="shared" si="0"/>
        <v/>
      </c>
      <c r="J37" s="31" t="str">
        <f t="shared" si="4"/>
        <v/>
      </c>
      <c r="K37" s="30" t="str">
        <f t="shared" si="5"/>
        <v/>
      </c>
      <c r="L37" s="25"/>
      <c r="M37" s="25"/>
      <c r="N37" s="25"/>
      <c r="O37" s="25" t="str">
        <f t="shared" si="8"/>
        <v/>
      </c>
      <c r="Q37" s="25">
        <f t="shared" si="1"/>
        <v>0</v>
      </c>
      <c r="R37" s="25"/>
    </row>
    <row r="38" spans="1:18">
      <c r="H38" s="31" t="str">
        <f t="shared" si="3"/>
        <v/>
      </c>
      <c r="I38" s="25" t="str">
        <f t="shared" si="0"/>
        <v/>
      </c>
      <c r="J38" s="31" t="str">
        <f t="shared" si="4"/>
        <v/>
      </c>
      <c r="K38" s="30" t="str">
        <f t="shared" si="5"/>
        <v/>
      </c>
      <c r="L38" s="25"/>
      <c r="M38" s="25"/>
      <c r="N38" s="25"/>
      <c r="O38" s="25" t="str">
        <f t="shared" si="8"/>
        <v/>
      </c>
      <c r="Q38" s="25">
        <f t="shared" si="1"/>
        <v>0</v>
      </c>
    </row>
    <row r="39" spans="1:18">
      <c r="K39" s="30"/>
    </row>
    <row r="40" spans="1:18">
      <c r="K40" s="30"/>
    </row>
  </sheetData>
  <mergeCells count="3">
    <mergeCell ref="G2:N2"/>
    <mergeCell ref="B3:B4"/>
    <mergeCell ref="C3:D3"/>
  </mergeCells>
  <conditionalFormatting sqref="C6">
    <cfRule type="cellIs" dxfId="0" priority="2" operator="greaterThan">
      <formula>$C$5</formula>
    </cfRule>
  </conditionalFormatting>
  <dataValidations count="2">
    <dataValidation type="list" allowBlank="1" showInputMessage="1" showErrorMessage="1" sqref="P16:P44" xr:uid="{52C502FD-3899-4574-BAFA-ED1EE75A4779}">
      <formula1>"Win, Loss, Open"</formula1>
    </dataValidation>
    <dataValidation type="list" allowBlank="1" showInputMessage="1" showErrorMessage="1" sqref="D16:D42" xr:uid="{16E545AB-450B-4F68-95BC-A860E1438687}">
      <formula1>"Long, Short"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7DFD7B-395F-43FA-B9E7-FED13AC2CE65}">
          <x14:formula1>
            <xm:f>'Risk Reward'!$I$4:$I$20</xm:f>
          </x14:formula1>
          <xm:sqref>I8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Tracking</vt:lpstr>
      <vt:lpstr>Transaction</vt:lpstr>
      <vt:lpstr>Risk Reward</vt:lpstr>
      <vt:lpstr>Fixed RR (dynamic risk)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Türköz</dc:creator>
  <cp:lastModifiedBy>Ali Türköz</cp:lastModifiedBy>
  <dcterms:created xsi:type="dcterms:W3CDTF">2024-12-08T00:56:40Z</dcterms:created>
  <dcterms:modified xsi:type="dcterms:W3CDTF">2025-01-01T20:53:31Z</dcterms:modified>
</cp:coreProperties>
</file>