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9150" activeTab="6"/>
  </bookViews>
  <sheets>
    <sheet name="A remplir" sheetId="2" r:id="rId1"/>
    <sheet name="Base de données prix" sheetId="3" r:id="rId2"/>
    <sheet name="Calcul automatisme" sheetId="4" r:id="rId3"/>
    <sheet name="Calcul capteur" sheetId="8" r:id="rId4"/>
    <sheet name="Agglomération" sheetId="7" r:id="rId5"/>
    <sheet name="Synthèse" sheetId="6" r:id="rId6"/>
    <sheet name="Calcul section câble" sheetId="9" r:id="rId7"/>
  </sheets>
  <calcPr calcId="145621"/>
</workbook>
</file>

<file path=xl/calcChain.xml><?xml version="1.0" encoding="utf-8"?>
<calcChain xmlns="http://schemas.openxmlformats.org/spreadsheetml/2006/main">
  <c r="H52" i="9" l="1"/>
  <c r="F44" i="4"/>
  <c r="F43" i="4"/>
  <c r="E41" i="4"/>
  <c r="F40" i="4"/>
  <c r="F39" i="4"/>
  <c r="F38" i="4"/>
  <c r="F37" i="4"/>
  <c r="E44" i="4"/>
  <c r="E43" i="4"/>
  <c r="E40" i="4"/>
  <c r="E39" i="4"/>
  <c r="E38" i="4"/>
  <c r="E37" i="4"/>
  <c r="D40" i="4"/>
  <c r="D39" i="4"/>
  <c r="C43" i="4"/>
  <c r="C42" i="4"/>
  <c r="C41" i="4"/>
  <c r="C40" i="4"/>
  <c r="C39" i="4"/>
  <c r="C38" i="4"/>
  <c r="C37" i="4"/>
  <c r="F36" i="4"/>
  <c r="E36" i="4"/>
  <c r="C36" i="4"/>
  <c r="F35" i="4"/>
  <c r="E35" i="4"/>
  <c r="C35" i="4"/>
  <c r="C23" i="8"/>
  <c r="C22" i="8"/>
  <c r="C21" i="8"/>
  <c r="D32" i="4"/>
  <c r="C20" i="8"/>
  <c r="C19" i="8"/>
  <c r="C18" i="8"/>
  <c r="C17" i="8"/>
  <c r="C16" i="8"/>
  <c r="C15" i="8"/>
  <c r="C14" i="8"/>
  <c r="C12" i="8"/>
  <c r="C11" i="8"/>
  <c r="C10" i="8"/>
  <c r="C9" i="8"/>
  <c r="C8" i="8"/>
  <c r="C7" i="8"/>
  <c r="C6" i="8"/>
  <c r="C5" i="8"/>
  <c r="C4" i="8"/>
  <c r="C3" i="8"/>
  <c r="F4" i="7" l="1"/>
  <c r="F5" i="7"/>
  <c r="F6" i="7"/>
  <c r="F7" i="7"/>
  <c r="F8" i="7"/>
  <c r="F9" i="7"/>
  <c r="F10" i="7"/>
  <c r="F11" i="7"/>
  <c r="F12" i="7"/>
  <c r="F13" i="7"/>
  <c r="F14" i="7"/>
  <c r="F15" i="7"/>
  <c r="F16" i="7"/>
  <c r="F3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3" i="7"/>
  <c r="E3" i="7"/>
  <c r="E4" i="7"/>
  <c r="H4" i="7" s="1"/>
  <c r="E5" i="7"/>
  <c r="H5" i="7" s="1"/>
  <c r="E6" i="7"/>
  <c r="E7" i="7"/>
  <c r="E8" i="7"/>
  <c r="H8" i="7" s="1"/>
  <c r="E16" i="7"/>
  <c r="H16" i="7" s="1"/>
  <c r="D31" i="4"/>
  <c r="D30" i="4"/>
  <c r="D24" i="4"/>
  <c r="D23" i="4"/>
  <c r="F15" i="4"/>
  <c r="E15" i="4"/>
  <c r="F53" i="4"/>
  <c r="E52" i="4"/>
  <c r="C52" i="4"/>
  <c r="E51" i="4"/>
  <c r="F51" i="4"/>
  <c r="C51" i="4"/>
  <c r="D48" i="4"/>
  <c r="C49" i="4"/>
  <c r="C47" i="4"/>
  <c r="D46" i="4"/>
  <c r="D33" i="4"/>
  <c r="D29" i="4"/>
  <c r="D27" i="4"/>
  <c r="C28" i="4"/>
  <c r="C26" i="4"/>
  <c r="D25" i="4"/>
  <c r="D22" i="4"/>
  <c r="C21" i="4"/>
  <c r="C20" i="4"/>
  <c r="C19" i="4"/>
  <c r="D18" i="4"/>
  <c r="E76" i="4"/>
  <c r="D14" i="4"/>
  <c r="C13" i="4"/>
  <c r="E12" i="4"/>
  <c r="E11" i="4"/>
  <c r="C10" i="4"/>
  <c r="E8" i="4"/>
  <c r="E9" i="4"/>
  <c r="E7" i="4"/>
  <c r="C6" i="4"/>
  <c r="C5" i="4"/>
  <c r="I15" i="3"/>
  <c r="D84" i="4" s="1"/>
  <c r="E84" i="4" s="1"/>
  <c r="G15" i="3"/>
  <c r="B15" i="6" l="1"/>
  <c r="B13" i="6"/>
  <c r="G7" i="7"/>
  <c r="G3" i="7"/>
  <c r="B22" i="6"/>
  <c r="B18" i="6"/>
  <c r="B14" i="6"/>
  <c r="B20" i="6"/>
  <c r="B16" i="6"/>
  <c r="B12" i="6"/>
  <c r="B19" i="6"/>
  <c r="G5" i="7"/>
  <c r="B21" i="6"/>
  <c r="B17" i="6"/>
  <c r="H7" i="7"/>
  <c r="H3" i="7"/>
  <c r="G16" i="7"/>
  <c r="G6" i="7"/>
  <c r="G8" i="7"/>
  <c r="H6" i="7"/>
  <c r="G4" i="7"/>
  <c r="F56" i="4" l="1"/>
  <c r="C62" i="4" s="1"/>
  <c r="E56" i="4"/>
  <c r="C60" i="4" s="1"/>
  <c r="D62" i="4" l="1"/>
  <c r="C68" i="4" s="1"/>
  <c r="D68" i="4" s="1"/>
  <c r="C82" i="4" s="1"/>
  <c r="E14" i="7" s="1"/>
  <c r="C8" i="6"/>
  <c r="D60" i="4"/>
  <c r="C66" i="4" s="1"/>
  <c r="D66" i="4" s="1"/>
  <c r="C80" i="4" s="1"/>
  <c r="E12" i="7" s="1"/>
  <c r="C6" i="6"/>
  <c r="C56" i="4"/>
  <c r="C59" i="4" s="1"/>
  <c r="D56" i="4"/>
  <c r="C61" i="4" s="1"/>
  <c r="I14" i="3"/>
  <c r="D83" i="4" s="1"/>
  <c r="G14" i="3"/>
  <c r="G19" i="3"/>
  <c r="G3" i="3"/>
  <c r="G4" i="3"/>
  <c r="G5" i="3"/>
  <c r="G6" i="3"/>
  <c r="G7" i="3"/>
  <c r="G8" i="3"/>
  <c r="G9" i="3"/>
  <c r="G10" i="3"/>
  <c r="G11" i="3"/>
  <c r="G12" i="3"/>
  <c r="G13" i="3"/>
  <c r="G17" i="3"/>
  <c r="E62" i="4" l="1"/>
  <c r="D8" i="6" s="1"/>
  <c r="E8" i="6" s="1"/>
  <c r="H14" i="7"/>
  <c r="G14" i="7"/>
  <c r="H12" i="7"/>
  <c r="G12" i="7"/>
  <c r="D59" i="4"/>
  <c r="C65" i="4" s="1"/>
  <c r="D65" i="4" s="1"/>
  <c r="C79" i="4" s="1"/>
  <c r="E11" i="7" s="1"/>
  <c r="C5" i="6"/>
  <c r="D61" i="4"/>
  <c r="C67" i="4" s="1"/>
  <c r="D67" i="4" s="1"/>
  <c r="C7" i="6"/>
  <c r="E60" i="4"/>
  <c r="G18" i="3"/>
  <c r="I18" i="3" s="1"/>
  <c r="F62" i="4" l="1"/>
  <c r="F60" i="4"/>
  <c r="D6" i="6"/>
  <c r="E6" i="6" s="1"/>
  <c r="H11" i="7"/>
  <c r="G11" i="7"/>
  <c r="E61" i="4"/>
  <c r="C81" i="4"/>
  <c r="E13" i="7" s="1"/>
  <c r="C77" i="4"/>
  <c r="E9" i="7" s="1"/>
  <c r="E59" i="4"/>
  <c r="E80" i="4"/>
  <c r="I10" i="3"/>
  <c r="D79" i="4" s="1"/>
  <c r="I11" i="3"/>
  <c r="D80" i="4" s="1"/>
  <c r="I12" i="3"/>
  <c r="D81" i="4" s="1"/>
  <c r="I13" i="3"/>
  <c r="D82" i="4" s="1"/>
  <c r="E82" i="4" s="1"/>
  <c r="F59" i="4" l="1"/>
  <c r="D5" i="6"/>
  <c r="E5" i="6" s="1"/>
  <c r="G9" i="7"/>
  <c r="H9" i="7"/>
  <c r="H13" i="7"/>
  <c r="G13" i="7"/>
  <c r="F61" i="4"/>
  <c r="D7" i="6"/>
  <c r="E7" i="6" s="1"/>
  <c r="C83" i="4"/>
  <c r="E15" i="7" s="1"/>
  <c r="C78" i="4"/>
  <c r="E10" i="7" s="1"/>
  <c r="E81" i="4"/>
  <c r="E79" i="4"/>
  <c r="G15" i="7" l="1"/>
  <c r="H15" i="7"/>
  <c r="G10" i="7"/>
  <c r="H10" i="7"/>
  <c r="E83" i="4"/>
  <c r="I4" i="3" l="1"/>
  <c r="D72" i="4" s="1"/>
  <c r="E72" i="4" s="1"/>
  <c r="I5" i="3"/>
  <c r="D73" i="4" s="1"/>
  <c r="E73" i="4" s="1"/>
  <c r="I6" i="3"/>
  <c r="D74" i="4" s="1"/>
  <c r="E74" i="4" s="1"/>
  <c r="I7" i="3"/>
  <c r="D75" i="4" s="1"/>
  <c r="E75" i="4" s="1"/>
  <c r="I8" i="3"/>
  <c r="D77" i="4" s="1"/>
  <c r="E77" i="4" s="1"/>
  <c r="I9" i="3"/>
  <c r="D78" i="4" s="1"/>
  <c r="E78" i="4" s="1"/>
  <c r="I3" i="3"/>
  <c r="D71" i="4" s="1"/>
  <c r="E71" i="4" s="1"/>
  <c r="E85" i="4" l="1"/>
</calcChain>
</file>

<file path=xl/sharedStrings.xml><?xml version="1.0" encoding="utf-8"?>
<sst xmlns="http://schemas.openxmlformats.org/spreadsheetml/2006/main" count="367" uniqueCount="170">
  <si>
    <t>Sonde de température</t>
  </si>
  <si>
    <t>Thermostat antigel</t>
  </si>
  <si>
    <t>Sonde d'hygrométrie</t>
  </si>
  <si>
    <t>Sonde de CO2</t>
  </si>
  <si>
    <t>Vanne de régulation</t>
  </si>
  <si>
    <t>Vanne de sécurité</t>
  </si>
  <si>
    <t>Clapet coupe feu avec THC</t>
  </si>
  <si>
    <t>Clapet coupe feu sans THC (contact DI)</t>
  </si>
  <si>
    <t>Hygrostat</t>
  </si>
  <si>
    <t>Humidificateur</t>
  </si>
  <si>
    <t>Capteur de pression / filtre</t>
  </si>
  <si>
    <t>Sonde extérieure</t>
  </si>
  <si>
    <t>Nombre</t>
  </si>
  <si>
    <t>Index</t>
  </si>
  <si>
    <t>Désignation</t>
  </si>
  <si>
    <t>Sonde mixte (T/Hygro)</t>
  </si>
  <si>
    <t>Sonde mixte (T/CO2)</t>
  </si>
  <si>
    <t>Pressostat à contact sec (1 niveau)</t>
  </si>
  <si>
    <t>Sonde température d'ambiance</t>
  </si>
  <si>
    <t>Sonde d'ambiance mixte T/hygro</t>
  </si>
  <si>
    <t>Sonde d'ambiance mixte T/CO2</t>
  </si>
  <si>
    <t>Nombre de chaque</t>
  </si>
  <si>
    <t>-</t>
  </si>
  <si>
    <t>0°C + 50°C
0 + 100 Pa
0 - 100%
0 - 2000ppm
Pas de plage</t>
  </si>
  <si>
    <t>-20°C + 80°C
0 + 1000 Pa</t>
  </si>
  <si>
    <t>-40°C + 150°C
0 + 1000 Pa</t>
  </si>
  <si>
    <t>Colonne1</t>
  </si>
  <si>
    <t>Distance moyenne armoire (m)</t>
  </si>
  <si>
    <t>CTA Capteurs</t>
  </si>
  <si>
    <t>TOR</t>
  </si>
  <si>
    <t>Batterie électrique 1er étage</t>
  </si>
  <si>
    <t>Batterie électrique 2ème étage</t>
  </si>
  <si>
    <t>Batterie électrique 3ème étage</t>
  </si>
  <si>
    <t>Régulé</t>
  </si>
  <si>
    <t>Ventilateur</t>
  </si>
  <si>
    <t>Registre simple</t>
  </si>
  <si>
    <t>Registre avec Retour à 0, ressort de rappel</t>
  </si>
  <si>
    <t>CTA Actionneurs</t>
  </si>
  <si>
    <t>PV-GV</t>
  </si>
  <si>
    <t>Vanne de régulation EC / EG</t>
  </si>
  <si>
    <t>Circuit ES/EC/EG - actionneurs</t>
  </si>
  <si>
    <t>Circuit ES/EC/EG - capteurs</t>
  </si>
  <si>
    <t>0 +100°C</t>
  </si>
  <si>
    <t>0 +200°C</t>
  </si>
  <si>
    <t>Thermostat surchauffe</t>
  </si>
  <si>
    <t>Débimètre</t>
  </si>
  <si>
    <t>Pressostat débit</t>
  </si>
  <si>
    <t>pompe</t>
  </si>
  <si>
    <t>Nb de fils</t>
  </si>
  <si>
    <t>Référence</t>
  </si>
  <si>
    <t>Fournisseur</t>
  </si>
  <si>
    <t>Raccordements</t>
  </si>
  <si>
    <t>référence</t>
  </si>
  <si>
    <t>Prix achat HT</t>
  </si>
  <si>
    <t>Remise</t>
  </si>
  <si>
    <t>Prix public HT</t>
  </si>
  <si>
    <t>Condition DQE</t>
  </si>
  <si>
    <t>Prix DQE</t>
  </si>
  <si>
    <t>Automate PCD3.M5340</t>
  </si>
  <si>
    <t>SAIA</t>
  </si>
  <si>
    <t>PCD3.M5340</t>
  </si>
  <si>
    <t>Pile de sauvegarde</t>
  </si>
  <si>
    <t>Module carte SD PCD7.R610</t>
  </si>
  <si>
    <t>Carte SD PCD7.R-MSD1024</t>
  </si>
  <si>
    <t>Support batterie pour PCD3</t>
  </si>
  <si>
    <t>4 639 4898 0</t>
  </si>
  <si>
    <t>4 507 4817 0</t>
  </si>
  <si>
    <t>PCD7.R610</t>
  </si>
  <si>
    <t>PCD7.R-MSD1024</t>
  </si>
  <si>
    <t>PCD3.C200</t>
  </si>
  <si>
    <t>Extension pour automate SAIA - 4 Modules</t>
  </si>
  <si>
    <t>Connecteur de raccordement PCD3.M/T/C à PCD3.Cxxx</t>
  </si>
  <si>
    <t>PCD3.K010</t>
  </si>
  <si>
    <t>PCD3.E165</t>
  </si>
  <si>
    <t>PCD3.A251</t>
  </si>
  <si>
    <t>PCD3.W340</t>
  </si>
  <si>
    <t>PCD3.W410</t>
  </si>
  <si>
    <t>Carte 16 entrées TOR</t>
  </si>
  <si>
    <t>Carte 8 sorties TOR</t>
  </si>
  <si>
    <t>Carte 4 sorties analogiques</t>
  </si>
  <si>
    <t>Carte 8 entrées analogiques</t>
  </si>
  <si>
    <t>CP111-PO</t>
  </si>
  <si>
    <t>CP112-PO</t>
  </si>
  <si>
    <t>CP113-PO</t>
  </si>
  <si>
    <t>C2AI</t>
  </si>
  <si>
    <t>ID Câble</t>
  </si>
  <si>
    <t>Bornes</t>
  </si>
  <si>
    <t>Sonde de pression 0 - 1 000 Pa</t>
  </si>
  <si>
    <t>Sonde de pression 0 - 10 000Pa</t>
  </si>
  <si>
    <t>Sonde de pression 0 - 100 Pa</t>
  </si>
  <si>
    <t>Protection pour emplacements inutilisés</t>
  </si>
  <si>
    <t>4 104 7515 0</t>
  </si>
  <si>
    <t xml:space="preserve">Designation </t>
  </si>
  <si>
    <t>type de point</t>
  </si>
  <si>
    <t>TA/TS</t>
  </si>
  <si>
    <t>TM</t>
  </si>
  <si>
    <t>TC</t>
  </si>
  <si>
    <t>TR</t>
  </si>
  <si>
    <t>TOTAL</t>
  </si>
  <si>
    <t>Divers</t>
  </si>
  <si>
    <t>Présence tension 230V</t>
  </si>
  <si>
    <t>Présence tension 24V</t>
  </si>
  <si>
    <t>Voyant Défaut général</t>
  </si>
  <si>
    <t>Voyant mode manuel</t>
  </si>
  <si>
    <t>Bouton réarmement</t>
  </si>
  <si>
    <t>Détection incendie</t>
  </si>
  <si>
    <t>Synthèse alarme niveau 1</t>
  </si>
  <si>
    <t>Synthèse alarme niveau 2</t>
  </si>
  <si>
    <t>Calculés</t>
  </si>
  <si>
    <t>Nombre d'entrées logiques</t>
  </si>
  <si>
    <t>Nombre de sorties logiques</t>
  </si>
  <si>
    <t>Nombre d'entrées analogiques</t>
  </si>
  <si>
    <t>Nombre de sorties analogiques</t>
  </si>
  <si>
    <t>Marge</t>
  </si>
  <si>
    <t>Carte d'entrées TOR PCD3.E165</t>
  </si>
  <si>
    <t>Carte de sorties TOR PCD3.A251</t>
  </si>
  <si>
    <t>Carte d'entrées Analogiques PCD3.W340</t>
  </si>
  <si>
    <t>Carte de sorties Analogiques PCD3.W410</t>
  </si>
  <si>
    <t>Ecran Web 12"</t>
  </si>
  <si>
    <t>Prix vente DQE</t>
  </si>
  <si>
    <t>Total</t>
  </si>
  <si>
    <t>PCD7.D421DTPF</t>
  </si>
  <si>
    <t>Reel</t>
  </si>
  <si>
    <t>Puissance</t>
  </si>
  <si>
    <t>Marge recalculée</t>
  </si>
  <si>
    <t>Calculée</t>
  </si>
  <si>
    <t>Réelle</t>
  </si>
  <si>
    <t>Analogique</t>
  </si>
  <si>
    <t>Thermostat température ambiante</t>
  </si>
  <si>
    <t>Carte de communication supplémentaire</t>
  </si>
  <si>
    <t>PU DQE</t>
  </si>
  <si>
    <t>Thermostat de surchauffe manuel supplémentaire</t>
  </si>
  <si>
    <t>Thermostat de surchauffe auto supplémentaire</t>
  </si>
  <si>
    <t>Equipement supplémentaire</t>
  </si>
  <si>
    <t>Ajustement consigne/ réglage/retour position</t>
  </si>
  <si>
    <t>Interrupteur marche/arrêt/retour position supplémentaire</t>
  </si>
  <si>
    <t>Besoin</t>
  </si>
  <si>
    <t>Marge réelle</t>
  </si>
  <si>
    <t>nombre</t>
  </si>
  <si>
    <t>PU HT</t>
  </si>
  <si>
    <t>Prix Total</t>
  </si>
  <si>
    <t>Désignation2</t>
  </si>
  <si>
    <t>Sonde de température en gaine</t>
  </si>
  <si>
    <t>Thermostat antigel en gaine</t>
  </si>
  <si>
    <t>Sonde de CO2 en gaine</t>
  </si>
  <si>
    <t>Thermostat température ambiante 1</t>
  </si>
  <si>
    <t>Thermostat température ambiante 2</t>
  </si>
  <si>
    <t>Thermostat température ambiante 3</t>
  </si>
  <si>
    <t>Monophase/triphasé</t>
  </si>
  <si>
    <t>Tension d'alim</t>
  </si>
  <si>
    <t>Distance armoire</t>
  </si>
  <si>
    <t>Monophase/triphasé2</t>
  </si>
  <si>
    <t>Tension d'alim3</t>
  </si>
  <si>
    <t>Monophase/triphasé3</t>
  </si>
  <si>
    <t>Puissance2</t>
  </si>
  <si>
    <t>Distance armoire3</t>
  </si>
  <si>
    <t>230V</t>
  </si>
  <si>
    <t>Intensité</t>
  </si>
  <si>
    <t>Section de câble</t>
  </si>
  <si>
    <t>Batterie type 1</t>
  </si>
  <si>
    <t>Batterie type 2</t>
  </si>
  <si>
    <t>Batterie type 3</t>
  </si>
  <si>
    <t>380V</t>
  </si>
  <si>
    <t>Nombre2</t>
  </si>
  <si>
    <t>Tension d'alim2</t>
  </si>
  <si>
    <t>Distance armoire2</t>
  </si>
  <si>
    <t>Puissance3</t>
  </si>
  <si>
    <t>Nombre3</t>
  </si>
  <si>
    <t>section calculée</t>
  </si>
  <si>
    <t>SI(D50=230;RECHERCHEV(E50;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</si>
</sst>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5" xfId="0" quotePrefix="1" applyBorder="1" applyAlignment="1">
      <alignment horizontal="center" wrapText="1"/>
    </xf>
    <xf numFmtId="0" fontId="0" fillId="0" borderId="6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Font="1" applyBorder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/>
    <xf numFmtId="0" fontId="0" fillId="0" borderId="0" xfId="0" applyFont="1" applyFill="1" applyBorder="1" applyAlignment="1">
      <alignment horizontal="left"/>
    </xf>
    <xf numFmtId="0" fontId="0" fillId="0" borderId="3" xfId="0" applyFont="1" applyBorder="1" applyAlignment="1">
      <alignment horizontal="center"/>
    </xf>
    <xf numFmtId="164" fontId="0" fillId="0" borderId="0" xfId="0" applyNumberFormat="1" applyFont="1" applyBorder="1" applyAlignment="1"/>
    <xf numFmtId="0" fontId="0" fillId="0" borderId="0" xfId="0" applyFont="1" applyBorder="1" applyAlignment="1"/>
    <xf numFmtId="164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9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164" fontId="0" fillId="6" borderId="8" xfId="0" applyNumberFormat="1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0" fillId="6" borderId="8" xfId="0" applyFill="1" applyBorder="1" applyAlignment="1">
      <alignment horizontal="center" vertical="center"/>
    </xf>
    <xf numFmtId="164" fontId="0" fillId="6" borderId="0" xfId="0" applyNumberFormat="1" applyFill="1" applyAlignment="1">
      <alignment horizontal="center"/>
    </xf>
    <xf numFmtId="0" fontId="0" fillId="6" borderId="0" xfId="0" applyFill="1"/>
    <xf numFmtId="164" fontId="0" fillId="6" borderId="0" xfId="0" applyNumberFormat="1" applyFill="1"/>
    <xf numFmtId="0" fontId="0" fillId="6" borderId="0" xfId="0" applyFill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9" fontId="1" fillId="7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8" xfId="0" applyFont="1" applyBorder="1"/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164" fontId="0" fillId="7" borderId="1" xfId="0" applyNumberFormat="1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1" fillId="0" borderId="7" xfId="0" applyFont="1" applyBorder="1" applyAlignment="1"/>
    <xf numFmtId="164" fontId="1" fillId="0" borderId="8" xfId="0" applyNumberFormat="1" applyFont="1" applyBorder="1" applyAlignment="1"/>
    <xf numFmtId="0" fontId="0" fillId="0" borderId="0" xfId="0" applyFont="1"/>
    <xf numFmtId="0" fontId="0" fillId="0" borderId="3" xfId="0" applyFont="1" applyBorder="1" applyAlignment="1">
      <alignment horizontal="left"/>
    </xf>
    <xf numFmtId="9" fontId="2" fillId="0" borderId="1" xfId="1" applyFont="1" applyBorder="1" applyAlignment="1">
      <alignment horizontal="center"/>
    </xf>
    <xf numFmtId="9" fontId="0" fillId="6" borderId="1" xfId="0" applyNumberFormat="1" applyFill="1" applyBorder="1" applyAlignment="1">
      <alignment vertic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</cellXfs>
  <cellStyles count="2">
    <cellStyle name="Normal" xfId="0" builtinId="0"/>
    <cellStyle name="Pourcentage" xfId="1" builtinId="5"/>
  </cellStyles>
  <dxfs count="9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F19" totalsRowShown="0" headerRowDxfId="87" headerRowBorderDxfId="94" tableBorderDxfId="95" totalsRowBorderDxfId="93">
  <autoFilter ref="A2:F19"/>
  <tableColumns count="6">
    <tableColumn id="1" name="Index" dataDxfId="86"/>
    <tableColumn id="2" name="CTA Capteurs" dataDxfId="92"/>
    <tableColumn id="3" name="0°C + 50°C_x000a_0 + 100 Pa_x000a_0 - 100%_x000a_0 - 2000ppm_x000a_Pas de plage" dataDxfId="91"/>
    <tableColumn id="4" name="-20°C + 80°C_x000a_0 + 1000 Pa" dataDxfId="90"/>
    <tableColumn id="5" name="-40°C + 150°C_x000a_0 + 1000 Pa" dataDxfId="89"/>
    <tableColumn id="6" name="Distance moyenne armoire (m)" dataDxfId="8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5:T41" totalsRowShown="0" headerRowDxfId="7" headerRowBorderDxfId="49" tableBorderDxfId="50" totalsRowBorderDxfId="48">
  <autoFilter ref="A25:T41"/>
  <tableColumns count="20">
    <tableColumn id="1" name="Index" dataDxfId="47"/>
    <tableColumn id="2" name="CTA Actionneurs" dataDxfId="46"/>
    <tableColumn id="3" name="TOR" dataDxfId="45"/>
    <tableColumn id="4" name="PV-GV" dataDxfId="44"/>
    <tableColumn id="5" name="Régulé" dataDxfId="43"/>
    <tableColumn id="11" name="Monophase/triphasé" dataDxfId="17"/>
    <tableColumn id="12" name="Tension d'alim" dataDxfId="16"/>
    <tableColumn id="13" name="Puissance" dataDxfId="15"/>
    <tableColumn id="23" name="nombre" dataDxfId="2"/>
    <tableColumn id="14" name="Distance armoire" dataDxfId="14"/>
    <tableColumn id="15" name="Monophase/triphasé2" dataDxfId="13"/>
    <tableColumn id="16" name="Tension d'alim2" dataDxfId="12"/>
    <tableColumn id="17" name="Puissance2" dataDxfId="11"/>
    <tableColumn id="24" name="Nombre2" dataDxfId="1"/>
    <tableColumn id="18" name="Distance armoire2" dataDxfId="10"/>
    <tableColumn id="19" name="Monophase/triphasé3" dataDxfId="9"/>
    <tableColumn id="20" name="Tension d'alim3" dataDxfId="8"/>
    <tableColumn id="21" name="Puissance3" dataDxfId="6"/>
    <tableColumn id="25" name="Nombre3" dataDxfId="0"/>
    <tableColumn id="22" name="Distance armoire3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145" displayName="Tableau145" ref="A45:F61" totalsRowShown="0" headerRowDxfId="4" headerRowBorderDxfId="84" tableBorderDxfId="85" totalsRowBorderDxfId="83">
  <autoFilter ref="A45:F61"/>
  <tableColumns count="6">
    <tableColumn id="1" name="Index" dataDxfId="82"/>
    <tableColumn id="2" name="Circuit ES/EC/EG - capteurs" dataDxfId="81"/>
    <tableColumn id="3" name="0 +100°C" dataDxfId="80"/>
    <tableColumn id="4" name="0 +200°C" dataDxfId="79"/>
    <tableColumn id="5" name="TOR" dataDxfId="78"/>
    <tableColumn id="6" name="Distance moyenne armoire (m)" dataDxfId="7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1456" displayName="Tableau1456" ref="A63:F79" totalsRowShown="0" headerRowDxfId="3" headerRowBorderDxfId="75" tableBorderDxfId="76" totalsRowBorderDxfId="74">
  <autoFilter ref="A63:F79"/>
  <tableColumns count="6">
    <tableColumn id="1" name="Index" dataDxfId="73"/>
    <tableColumn id="2" name="Circuit ES/EC/EG - actionneurs" dataDxfId="72"/>
    <tableColumn id="3" name="TOR" dataDxfId="71"/>
    <tableColumn id="4" name="PV-GV" dataDxfId="70"/>
    <tableColumn id="5" name="Régulé" dataDxfId="69"/>
    <tableColumn id="6" name="Distance moyenne armoire (m)" dataDxfId="6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7" name="Tableau14568" displayName="Tableau14568" ref="A81:F97" totalsRowShown="0" headerRowDxfId="42" headerRowBorderDxfId="40" tableBorderDxfId="41" totalsRowBorderDxfId="39">
  <autoFilter ref="A81:F97"/>
  <tableColumns count="6">
    <tableColumn id="1" name="Index" dataDxfId="38"/>
    <tableColumn id="2" name="Divers" dataDxfId="37"/>
    <tableColumn id="3" name="TOR" dataDxfId="36"/>
    <tableColumn id="4" name="Analogique" dataDxfId="35"/>
    <tableColumn id="5" name="-" dataDxfId="34"/>
    <tableColumn id="6" name="Distance moyenne armoire (m)" dataDxfId="3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M54" totalsRowShown="0" headerRowDxfId="56" headerRowBorderDxfId="66" tableBorderDxfId="67" totalsRowBorderDxfId="65">
  <autoFilter ref="A2:M54"/>
  <tableColumns count="13">
    <tableColumn id="1" name="Index" dataDxfId="64"/>
    <tableColumn id="2" name="Désignation" dataDxfId="63"/>
    <tableColumn id="3" name="Fournisseur" dataDxfId="62"/>
    <tableColumn id="4" name="référence" dataDxfId="61"/>
    <tableColumn id="5" name="Prix public HT" dataDxfId="55"/>
    <tableColumn id="6" name="Remise" dataDxfId="54"/>
    <tableColumn id="7" name="Prix achat HT" dataDxfId="53"/>
    <tableColumn id="8" name="Condition DQE" dataDxfId="52"/>
    <tableColumn id="9" name="Prix DQE" dataDxfId="51"/>
    <tableColumn id="10" name="ID Câble" dataDxfId="60"/>
    <tableColumn id="11" name="Colonne1" dataDxfId="59"/>
    <tableColumn id="12" name="Nb de fils" dataDxfId="58"/>
    <tableColumn id="13" name="Raccordements" dataDxfId="5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B70:E84" totalsRowShown="0" headerRowDxfId="27" tableBorderDxfId="32">
  <autoFilter ref="B70:E84"/>
  <tableColumns count="4">
    <tableColumn id="1" name="Désignation" dataDxfId="31"/>
    <tableColumn id="2" name="Nombre" dataDxfId="30"/>
    <tableColumn id="3" name="PU DQE" dataDxfId="29"/>
    <tableColumn id="4" name="Prix vente DQE" dataDxfId="28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ableau810" displayName="Tableau810" ref="B2:H16" totalsRowShown="0" headerRowDxfId="26" tableBorderDxfId="25">
  <autoFilter ref="B2:H16"/>
  <tableColumns count="7">
    <tableColumn id="1" name="Fournisseur" dataDxfId="18">
      <calculatedColumnFormula>VLOOKUP(Tableau810[[#This Row],[Désignation2]],Tableau6[[Désignation]:[Prix DQE]],2,0)</calculatedColumnFormula>
    </tableColumn>
    <tableColumn id="7" name="Référence" dataDxfId="19">
      <calculatedColumnFormula>VLOOKUP(Tableau810[[#This Row],[Désignation2]],Tableau6[[Désignation]:[Prix DQE]],3,0)</calculatedColumnFormula>
    </tableColumn>
    <tableColumn id="6" name="Désignation2" dataDxfId="20"/>
    <tableColumn id="2" name="Nombre" dataDxfId="24"/>
    <tableColumn id="3" name="PU DQE" dataDxfId="23">
      <calculatedColumnFormula>VLOOKUP(D3,Tableau6[[Désignation]:[Prix DQE]],8,0)</calculatedColumnFormula>
    </tableColumn>
    <tableColumn id="4" name="Prix vente DQE" dataDxfId="22">
      <calculatedColumnFormula>E3*F3</calculatedColumnFormula>
    </tableColumn>
    <tableColumn id="5" name="Colonne1" dataDxfId="21">
      <calculatedColumnFormula>IF(Tableau810[[#This Row],[Nombre]]&gt;0,1,0)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topLeftCell="A13" workbookViewId="0">
      <selection activeCell="E26" sqref="E26"/>
    </sheetView>
  </sheetViews>
  <sheetFormatPr baseColWidth="10" defaultRowHeight="15" x14ac:dyDescent="0.25"/>
  <cols>
    <col min="1" max="1" width="7.140625" style="1" customWidth="1"/>
    <col min="2" max="2" width="54" bestFit="1" customWidth="1"/>
    <col min="3" max="3" width="12.28515625" style="1" customWidth="1"/>
    <col min="4" max="4" width="11.42578125" style="1"/>
    <col min="5" max="5" width="12.85546875" style="1" customWidth="1"/>
    <col min="6" max="6" width="22.28515625" customWidth="1"/>
    <col min="7" max="7" width="10.28515625" style="17" bestFit="1" customWidth="1"/>
    <col min="8" max="8" width="12" style="17" bestFit="1" customWidth="1"/>
    <col min="9" max="9" width="10.28515625" style="17" bestFit="1" customWidth="1"/>
    <col min="10" max="10" width="11.5703125" style="17" customWidth="1"/>
    <col min="11" max="11" width="12.42578125" style="17" customWidth="1"/>
    <col min="12" max="12" width="10.28515625" bestFit="1" customWidth="1"/>
    <col min="13" max="13" width="13" bestFit="1" customWidth="1"/>
    <col min="16" max="16" width="12" customWidth="1"/>
    <col min="17" max="17" width="10.28515625" bestFit="1" customWidth="1"/>
    <col min="18" max="18" width="13" bestFit="1" customWidth="1"/>
  </cols>
  <sheetData>
    <row r="1" spans="1:6" x14ac:dyDescent="0.25">
      <c r="C1" s="16" t="s">
        <v>21</v>
      </c>
      <c r="D1" s="16"/>
      <c r="E1" s="16"/>
    </row>
    <row r="2" spans="1:6" ht="75" x14ac:dyDescent="0.25">
      <c r="A2" s="20" t="s">
        <v>13</v>
      </c>
      <c r="B2" s="5" t="s">
        <v>28</v>
      </c>
      <c r="C2" s="6" t="s">
        <v>23</v>
      </c>
      <c r="D2" s="6" t="s">
        <v>24</v>
      </c>
      <c r="E2" s="6" t="s">
        <v>25</v>
      </c>
      <c r="F2" s="100" t="s">
        <v>27</v>
      </c>
    </row>
    <row r="3" spans="1:6" x14ac:dyDescent="0.25">
      <c r="A3" s="21">
        <v>1</v>
      </c>
      <c r="B3" s="2" t="s">
        <v>0</v>
      </c>
      <c r="C3" s="15"/>
      <c r="D3" s="3">
        <v>0</v>
      </c>
      <c r="E3" s="15"/>
      <c r="F3" s="4"/>
    </row>
    <row r="4" spans="1:6" x14ac:dyDescent="0.25">
      <c r="A4" s="21">
        <v>2</v>
      </c>
      <c r="B4" s="2" t="s">
        <v>1</v>
      </c>
      <c r="C4" s="3">
        <v>0</v>
      </c>
      <c r="D4" s="15"/>
      <c r="E4" s="15"/>
      <c r="F4" s="4"/>
    </row>
    <row r="5" spans="1:6" x14ac:dyDescent="0.25">
      <c r="A5" s="21">
        <v>3</v>
      </c>
      <c r="B5" s="2" t="s">
        <v>131</v>
      </c>
      <c r="C5" s="3">
        <v>0</v>
      </c>
      <c r="D5" s="15"/>
      <c r="E5" s="15"/>
      <c r="F5" s="4"/>
    </row>
    <row r="6" spans="1:6" x14ac:dyDescent="0.25">
      <c r="A6" s="21">
        <v>4</v>
      </c>
      <c r="B6" s="2" t="s">
        <v>132</v>
      </c>
      <c r="C6" s="3">
        <v>0</v>
      </c>
      <c r="D6" s="15"/>
      <c r="E6" s="15"/>
      <c r="F6" s="4"/>
    </row>
    <row r="7" spans="1:6" x14ac:dyDescent="0.25">
      <c r="A7" s="21">
        <v>5</v>
      </c>
      <c r="B7" s="2" t="s">
        <v>3</v>
      </c>
      <c r="C7" s="3">
        <v>0</v>
      </c>
      <c r="D7" s="15"/>
      <c r="E7" s="15"/>
      <c r="F7" s="4"/>
    </row>
    <row r="8" spans="1:6" x14ac:dyDescent="0.25">
      <c r="A8" s="21">
        <v>6</v>
      </c>
      <c r="B8" s="2" t="s">
        <v>15</v>
      </c>
      <c r="C8" s="15"/>
      <c r="D8" s="3"/>
      <c r="E8" s="15"/>
      <c r="F8" s="4"/>
    </row>
    <row r="9" spans="1:6" x14ac:dyDescent="0.25">
      <c r="A9" s="21">
        <v>7</v>
      </c>
      <c r="B9" s="2" t="s">
        <v>16</v>
      </c>
      <c r="C9" s="15"/>
      <c r="D9" s="3"/>
      <c r="E9" s="15"/>
      <c r="F9" s="4"/>
    </row>
    <row r="10" spans="1:6" x14ac:dyDescent="0.25">
      <c r="A10" s="21">
        <v>8</v>
      </c>
      <c r="B10" s="2" t="s">
        <v>10</v>
      </c>
      <c r="C10" s="3"/>
      <c r="D10" s="3"/>
      <c r="E10" s="3"/>
      <c r="F10" s="4"/>
    </row>
    <row r="11" spans="1:6" x14ac:dyDescent="0.25">
      <c r="A11" s="21">
        <v>9</v>
      </c>
      <c r="B11" s="2" t="s">
        <v>17</v>
      </c>
      <c r="C11" s="3">
        <v>0</v>
      </c>
      <c r="D11" s="15"/>
      <c r="E11" s="15"/>
      <c r="F11" s="4"/>
    </row>
    <row r="12" spans="1:6" x14ac:dyDescent="0.25">
      <c r="A12" s="21">
        <v>10</v>
      </c>
      <c r="B12" s="2" t="s">
        <v>2</v>
      </c>
      <c r="C12" s="3">
        <v>0</v>
      </c>
      <c r="D12" s="15"/>
      <c r="E12" s="15"/>
      <c r="F12" s="4"/>
    </row>
    <row r="13" spans="1:6" x14ac:dyDescent="0.25">
      <c r="A13" s="21">
        <v>11</v>
      </c>
      <c r="B13" s="2" t="s">
        <v>8</v>
      </c>
      <c r="C13" s="3"/>
      <c r="D13" s="15"/>
      <c r="E13" s="15"/>
      <c r="F13" s="4"/>
    </row>
    <row r="14" spans="1:6" x14ac:dyDescent="0.25">
      <c r="A14" s="21">
        <v>12</v>
      </c>
      <c r="B14" s="2" t="s">
        <v>18</v>
      </c>
      <c r="C14" s="3"/>
      <c r="D14" s="15"/>
      <c r="E14" s="15"/>
      <c r="F14" s="4"/>
    </row>
    <row r="15" spans="1:6" x14ac:dyDescent="0.25">
      <c r="A15" s="21">
        <v>13</v>
      </c>
      <c r="B15" s="2" t="s">
        <v>19</v>
      </c>
      <c r="C15" s="3"/>
      <c r="D15" s="15"/>
      <c r="E15" s="15"/>
      <c r="F15" s="4"/>
    </row>
    <row r="16" spans="1:6" x14ac:dyDescent="0.25">
      <c r="A16" s="21">
        <v>14</v>
      </c>
      <c r="B16" s="2" t="s">
        <v>20</v>
      </c>
      <c r="C16" s="3"/>
      <c r="D16" s="15"/>
      <c r="E16" s="15"/>
      <c r="F16" s="4"/>
    </row>
    <row r="17" spans="1:20" x14ac:dyDescent="0.25">
      <c r="A17" s="21">
        <v>15</v>
      </c>
      <c r="B17" s="2" t="s">
        <v>11</v>
      </c>
      <c r="C17" s="15"/>
      <c r="D17" s="15"/>
      <c r="E17" s="3">
        <v>0</v>
      </c>
      <c r="F17" s="4"/>
    </row>
    <row r="18" spans="1:20" x14ac:dyDescent="0.25">
      <c r="A18" s="22">
        <v>16</v>
      </c>
      <c r="B18" s="8" t="s">
        <v>128</v>
      </c>
      <c r="C18" s="9">
        <v>0</v>
      </c>
      <c r="D18" s="9">
        <v>0</v>
      </c>
      <c r="E18" s="9">
        <v>0</v>
      </c>
      <c r="F18" s="10"/>
    </row>
    <row r="19" spans="1:20" s="17" customFormat="1" x14ac:dyDescent="0.25">
      <c r="A19" s="21">
        <v>17</v>
      </c>
      <c r="B19" s="87"/>
      <c r="C19" s="9"/>
      <c r="D19" s="9"/>
      <c r="E19" s="9"/>
      <c r="F19" s="8"/>
    </row>
    <row r="20" spans="1:20" s="17" customFormat="1" x14ac:dyDescent="0.25">
      <c r="A20" s="19"/>
      <c r="B20" s="18"/>
      <c r="C20" s="19"/>
      <c r="D20" s="19"/>
      <c r="E20" s="19"/>
    </row>
    <row r="21" spans="1:20" s="17" customFormat="1" x14ac:dyDescent="0.25">
      <c r="A21" s="19"/>
      <c r="B21" s="18"/>
      <c r="C21" s="19"/>
      <c r="D21" s="19"/>
      <c r="E21" s="19"/>
    </row>
    <row r="22" spans="1:20" s="17" customFormat="1" x14ac:dyDescent="0.25">
      <c r="A22" s="19"/>
      <c r="B22" s="18"/>
      <c r="C22" s="19"/>
      <c r="D22" s="19"/>
      <c r="E22" s="19"/>
    </row>
    <row r="23" spans="1:20" s="17" customFormat="1" x14ac:dyDescent="0.25">
      <c r="A23" s="19"/>
      <c r="B23" s="18"/>
      <c r="C23" s="19"/>
      <c r="D23" s="19"/>
      <c r="E23" s="19"/>
    </row>
    <row r="24" spans="1:20" s="17" customFormat="1" x14ac:dyDescent="0.25">
      <c r="A24" s="19"/>
      <c r="C24" s="19"/>
      <c r="D24" s="19"/>
      <c r="E24" s="19"/>
      <c r="F24" s="31" t="s">
        <v>159</v>
      </c>
      <c r="G24" s="31"/>
      <c r="H24" s="31"/>
      <c r="I24" s="31"/>
      <c r="J24" s="31"/>
      <c r="K24" s="31" t="s">
        <v>160</v>
      </c>
      <c r="L24" s="31"/>
      <c r="M24" s="31"/>
      <c r="N24" s="31"/>
      <c r="O24" s="31"/>
      <c r="P24" s="31" t="s">
        <v>161</v>
      </c>
      <c r="Q24" s="31"/>
      <c r="R24" s="31"/>
      <c r="S24" s="31"/>
      <c r="T24" s="31"/>
    </row>
    <row r="25" spans="1:20" s="77" customFormat="1" ht="30" x14ac:dyDescent="0.25">
      <c r="A25" s="98" t="s">
        <v>13</v>
      </c>
      <c r="B25" s="99" t="s">
        <v>37</v>
      </c>
      <c r="C25" s="6" t="s">
        <v>29</v>
      </c>
      <c r="D25" s="6" t="s">
        <v>38</v>
      </c>
      <c r="E25" s="6" t="s">
        <v>33</v>
      </c>
      <c r="F25" s="99" t="s">
        <v>148</v>
      </c>
      <c r="G25" s="99" t="s">
        <v>149</v>
      </c>
      <c r="H25" s="99" t="s">
        <v>123</v>
      </c>
      <c r="I25" s="99" t="s">
        <v>138</v>
      </c>
      <c r="J25" s="99" t="s">
        <v>150</v>
      </c>
      <c r="K25" s="99" t="s">
        <v>151</v>
      </c>
      <c r="L25" s="99" t="s">
        <v>164</v>
      </c>
      <c r="M25" s="99" t="s">
        <v>154</v>
      </c>
      <c r="N25" s="99" t="s">
        <v>163</v>
      </c>
      <c r="O25" s="99" t="s">
        <v>165</v>
      </c>
      <c r="P25" s="99" t="s">
        <v>153</v>
      </c>
      <c r="Q25" s="99" t="s">
        <v>152</v>
      </c>
      <c r="R25" s="99" t="s">
        <v>166</v>
      </c>
      <c r="S25" s="99" t="s">
        <v>167</v>
      </c>
      <c r="T25" s="99" t="s">
        <v>155</v>
      </c>
    </row>
    <row r="26" spans="1:20" x14ac:dyDescent="0.25">
      <c r="A26" s="21">
        <v>20</v>
      </c>
      <c r="B26" s="2" t="s">
        <v>30</v>
      </c>
      <c r="C26" s="3"/>
      <c r="D26" s="15"/>
      <c r="E26" s="3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</row>
    <row r="27" spans="1:20" x14ac:dyDescent="0.25">
      <c r="A27" s="21">
        <v>21</v>
      </c>
      <c r="B27" s="2" t="s">
        <v>31</v>
      </c>
      <c r="C27" s="3"/>
      <c r="D27" s="1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x14ac:dyDescent="0.25">
      <c r="A28" s="21">
        <v>22</v>
      </c>
      <c r="B28" s="2" t="s">
        <v>32</v>
      </c>
      <c r="C28" s="3"/>
      <c r="D28" s="1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5">
      <c r="A29" s="21">
        <v>23</v>
      </c>
      <c r="B29" s="2" t="s">
        <v>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x14ac:dyDescent="0.25">
      <c r="A30" s="21">
        <v>24</v>
      </c>
      <c r="B30" s="2" t="s">
        <v>35</v>
      </c>
      <c r="C30" s="3"/>
      <c r="D30" s="1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25">
      <c r="A31" s="21">
        <v>26</v>
      </c>
      <c r="B31" s="2" t="s">
        <v>36</v>
      </c>
      <c r="C31" s="3"/>
      <c r="D31" s="1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25">
      <c r="A32" s="21">
        <v>28</v>
      </c>
      <c r="B32" s="2" t="s">
        <v>6</v>
      </c>
      <c r="C32" s="3"/>
      <c r="D32" s="15"/>
      <c r="E32" s="1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x14ac:dyDescent="0.25">
      <c r="A33" s="21">
        <v>29</v>
      </c>
      <c r="B33" s="2" t="s">
        <v>7</v>
      </c>
      <c r="C33" s="3"/>
      <c r="D33" s="15"/>
      <c r="E33" s="15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5">
      <c r="A34" s="21">
        <v>30</v>
      </c>
      <c r="B34" s="2" t="s">
        <v>9</v>
      </c>
      <c r="C34" s="15"/>
      <c r="D34" s="1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25">
      <c r="A35" s="21">
        <v>31</v>
      </c>
      <c r="B35" t="s">
        <v>39</v>
      </c>
      <c r="C35" s="3"/>
      <c r="D35" s="1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x14ac:dyDescent="0.25">
      <c r="A36" s="21">
        <v>32</v>
      </c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5">
      <c r="A37" s="21">
        <v>33</v>
      </c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25">
      <c r="A38" s="21">
        <v>34</v>
      </c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x14ac:dyDescent="0.25">
      <c r="A39" s="21">
        <v>35</v>
      </c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x14ac:dyDescent="0.25">
      <c r="A40" s="21">
        <v>36</v>
      </c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x14ac:dyDescent="0.25">
      <c r="A41" s="21">
        <v>37</v>
      </c>
      <c r="B41" s="2"/>
      <c r="C41" s="3"/>
      <c r="D41" s="3"/>
      <c r="E41" s="3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5" spans="1:20" s="77" customFormat="1" ht="30" x14ac:dyDescent="0.25">
      <c r="A45" s="98" t="s">
        <v>13</v>
      </c>
      <c r="B45" s="99" t="s">
        <v>41</v>
      </c>
      <c r="C45" s="6" t="s">
        <v>42</v>
      </c>
      <c r="D45" s="6" t="s">
        <v>43</v>
      </c>
      <c r="E45" s="6" t="s">
        <v>29</v>
      </c>
      <c r="F45" s="100" t="s">
        <v>27</v>
      </c>
      <c r="G45" s="101"/>
      <c r="H45" s="101"/>
      <c r="I45" s="101"/>
      <c r="J45" s="101"/>
      <c r="K45" s="101"/>
    </row>
    <row r="46" spans="1:20" x14ac:dyDescent="0.25">
      <c r="A46" s="21">
        <v>40</v>
      </c>
      <c r="B46" s="2" t="s">
        <v>0</v>
      </c>
      <c r="C46" s="3"/>
      <c r="D46" s="3"/>
      <c r="E46" s="15"/>
      <c r="F46" s="4"/>
    </row>
    <row r="47" spans="1:20" x14ac:dyDescent="0.25">
      <c r="A47" s="21">
        <v>41</v>
      </c>
      <c r="B47" s="2" t="s">
        <v>44</v>
      </c>
      <c r="C47" s="15"/>
      <c r="D47" s="15"/>
      <c r="E47" s="3"/>
      <c r="F47" s="4"/>
    </row>
    <row r="48" spans="1:20" x14ac:dyDescent="0.25">
      <c r="A48" s="21">
        <v>42</v>
      </c>
      <c r="B48" s="2" t="s">
        <v>45</v>
      </c>
      <c r="C48" s="3"/>
      <c r="D48" s="15"/>
      <c r="E48" s="15"/>
      <c r="F48" s="4"/>
    </row>
    <row r="49" spans="1:11" x14ac:dyDescent="0.25">
      <c r="A49" s="21">
        <v>43</v>
      </c>
      <c r="B49" s="2" t="s">
        <v>46</v>
      </c>
      <c r="C49" s="15"/>
      <c r="D49" s="15"/>
      <c r="E49" s="3"/>
      <c r="F49" s="4"/>
    </row>
    <row r="50" spans="1:11" x14ac:dyDescent="0.25">
      <c r="A50" s="21">
        <v>44</v>
      </c>
      <c r="B50" s="2"/>
      <c r="C50" s="3"/>
      <c r="D50" s="3"/>
      <c r="E50" s="3"/>
      <c r="F50" s="4"/>
    </row>
    <row r="51" spans="1:11" x14ac:dyDescent="0.25">
      <c r="A51" s="21">
        <v>45</v>
      </c>
      <c r="B51" s="2"/>
      <c r="C51" s="3"/>
      <c r="D51" s="3"/>
      <c r="E51" s="3"/>
      <c r="F51" s="4"/>
    </row>
    <row r="52" spans="1:11" x14ac:dyDescent="0.25">
      <c r="A52" s="21">
        <v>46</v>
      </c>
      <c r="B52" s="2"/>
      <c r="C52" s="3"/>
      <c r="D52" s="3"/>
      <c r="E52" s="3"/>
      <c r="F52" s="4"/>
    </row>
    <row r="53" spans="1:11" x14ac:dyDescent="0.25">
      <c r="A53" s="21">
        <v>47</v>
      </c>
      <c r="B53" s="2"/>
      <c r="C53" s="3"/>
      <c r="D53" s="3"/>
      <c r="E53" s="3"/>
      <c r="F53" s="4"/>
    </row>
    <row r="54" spans="1:11" x14ac:dyDescent="0.25">
      <c r="A54" s="21">
        <v>48</v>
      </c>
      <c r="B54" s="2"/>
      <c r="C54" s="3"/>
      <c r="D54" s="3"/>
      <c r="E54" s="3"/>
      <c r="F54" s="4"/>
    </row>
    <row r="55" spans="1:11" x14ac:dyDescent="0.25">
      <c r="A55" s="21">
        <v>49</v>
      </c>
      <c r="C55" s="3"/>
      <c r="D55" s="3"/>
      <c r="E55" s="3"/>
      <c r="F55" s="4"/>
    </row>
    <row r="56" spans="1:11" x14ac:dyDescent="0.25">
      <c r="A56" s="21">
        <v>50</v>
      </c>
      <c r="B56" s="2"/>
      <c r="C56" s="3"/>
      <c r="D56" s="3"/>
      <c r="E56" s="3"/>
      <c r="F56" s="4"/>
    </row>
    <row r="57" spans="1:11" x14ac:dyDescent="0.25">
      <c r="A57" s="21">
        <v>51</v>
      </c>
      <c r="B57" s="2"/>
      <c r="C57" s="3"/>
      <c r="D57" s="3"/>
      <c r="E57" s="3"/>
      <c r="F57" s="4"/>
    </row>
    <row r="58" spans="1:11" x14ac:dyDescent="0.25">
      <c r="A58" s="21">
        <v>52</v>
      </c>
      <c r="B58" s="2"/>
      <c r="C58" s="3"/>
      <c r="D58" s="3"/>
      <c r="E58" s="3"/>
      <c r="F58" s="4"/>
    </row>
    <row r="59" spans="1:11" x14ac:dyDescent="0.25">
      <c r="A59" s="21">
        <v>53</v>
      </c>
      <c r="B59" s="2"/>
      <c r="C59" s="3"/>
      <c r="D59" s="3"/>
      <c r="E59" s="3"/>
      <c r="F59" s="4"/>
    </row>
    <row r="60" spans="1:11" x14ac:dyDescent="0.25">
      <c r="A60" s="21">
        <v>54</v>
      </c>
      <c r="B60" s="2"/>
      <c r="C60" s="3"/>
      <c r="D60" s="3"/>
      <c r="E60" s="3"/>
      <c r="F60" s="4"/>
    </row>
    <row r="61" spans="1:11" x14ac:dyDescent="0.25">
      <c r="A61" s="21">
        <v>55</v>
      </c>
      <c r="B61" s="2"/>
      <c r="C61" s="3"/>
      <c r="D61" s="3"/>
      <c r="E61" s="3"/>
      <c r="F61" s="4"/>
    </row>
    <row r="63" spans="1:11" s="77" customFormat="1" ht="30" x14ac:dyDescent="0.25">
      <c r="A63" s="98" t="s">
        <v>13</v>
      </c>
      <c r="B63" s="99" t="s">
        <v>40</v>
      </c>
      <c r="C63" s="6" t="s">
        <v>29</v>
      </c>
      <c r="D63" s="6" t="s">
        <v>38</v>
      </c>
      <c r="E63" s="6" t="s">
        <v>33</v>
      </c>
      <c r="F63" s="100" t="s">
        <v>27</v>
      </c>
      <c r="G63" s="101"/>
      <c r="H63" s="101"/>
      <c r="I63" s="101"/>
      <c r="J63" s="101"/>
      <c r="K63" s="101"/>
    </row>
    <row r="64" spans="1:11" x14ac:dyDescent="0.25">
      <c r="A64" s="21">
        <v>60</v>
      </c>
      <c r="B64" s="2" t="s">
        <v>47</v>
      </c>
      <c r="C64" s="3"/>
      <c r="D64" s="3"/>
      <c r="E64" s="3"/>
      <c r="F64" s="4"/>
    </row>
    <row r="65" spans="1:6" x14ac:dyDescent="0.25">
      <c r="A65" s="21">
        <v>61</v>
      </c>
      <c r="B65" s="2" t="s">
        <v>5</v>
      </c>
      <c r="C65" s="3"/>
      <c r="D65" s="15"/>
      <c r="E65" s="15"/>
      <c r="F65" s="4"/>
    </row>
    <row r="66" spans="1:6" x14ac:dyDescent="0.25">
      <c r="A66" s="21">
        <v>62</v>
      </c>
      <c r="B66" s="2" t="s">
        <v>4</v>
      </c>
      <c r="C66" s="15"/>
      <c r="D66" s="15"/>
      <c r="E66" s="3"/>
      <c r="F66" s="4"/>
    </row>
    <row r="67" spans="1:6" x14ac:dyDescent="0.25">
      <c r="A67" s="21">
        <v>63</v>
      </c>
      <c r="B67" s="2"/>
      <c r="C67" s="3"/>
      <c r="D67" s="3"/>
      <c r="E67" s="3"/>
      <c r="F67" s="4"/>
    </row>
    <row r="68" spans="1:6" x14ac:dyDescent="0.25">
      <c r="A68" s="21">
        <v>64</v>
      </c>
      <c r="B68" s="2"/>
      <c r="C68" s="3"/>
      <c r="D68" s="3"/>
      <c r="E68" s="3"/>
      <c r="F68" s="4"/>
    </row>
    <row r="69" spans="1:6" x14ac:dyDescent="0.25">
      <c r="A69" s="21">
        <v>65</v>
      </c>
      <c r="B69" s="2"/>
      <c r="C69" s="3"/>
      <c r="D69" s="3"/>
      <c r="E69" s="3"/>
      <c r="F69" s="4"/>
    </row>
    <row r="70" spans="1:6" x14ac:dyDescent="0.25">
      <c r="A70" s="21">
        <v>66</v>
      </c>
      <c r="B70" s="2"/>
      <c r="C70" s="3"/>
      <c r="D70" s="3"/>
      <c r="E70" s="3"/>
      <c r="F70" s="4"/>
    </row>
    <row r="71" spans="1:6" x14ac:dyDescent="0.25">
      <c r="A71" s="21">
        <v>67</v>
      </c>
      <c r="B71" s="2"/>
      <c r="C71" s="3"/>
      <c r="D71" s="3"/>
      <c r="E71" s="3"/>
      <c r="F71" s="4"/>
    </row>
    <row r="72" spans="1:6" x14ac:dyDescent="0.25">
      <c r="A72" s="21">
        <v>68</v>
      </c>
      <c r="B72" s="2"/>
      <c r="C72" s="3"/>
      <c r="D72" s="3"/>
      <c r="E72" s="3"/>
      <c r="F72" s="4"/>
    </row>
    <row r="73" spans="1:6" x14ac:dyDescent="0.25">
      <c r="A73" s="21">
        <v>69</v>
      </c>
      <c r="C73" s="3"/>
      <c r="D73" s="3"/>
      <c r="E73" s="3"/>
      <c r="F73" s="4"/>
    </row>
    <row r="74" spans="1:6" x14ac:dyDescent="0.25">
      <c r="A74" s="21">
        <v>70</v>
      </c>
      <c r="B74" s="2"/>
      <c r="C74" s="3"/>
      <c r="D74" s="3"/>
      <c r="E74" s="3"/>
      <c r="F74" s="4"/>
    </row>
    <row r="75" spans="1:6" x14ac:dyDescent="0.25">
      <c r="A75" s="21">
        <v>71</v>
      </c>
      <c r="B75" s="2"/>
      <c r="C75" s="3"/>
      <c r="D75" s="3"/>
      <c r="E75" s="3"/>
      <c r="F75" s="4"/>
    </row>
    <row r="76" spans="1:6" x14ac:dyDescent="0.25">
      <c r="A76" s="21">
        <v>72</v>
      </c>
      <c r="B76" s="2"/>
      <c r="C76" s="3"/>
      <c r="D76" s="3"/>
      <c r="E76" s="3"/>
      <c r="F76" s="4"/>
    </row>
    <row r="77" spans="1:6" x14ac:dyDescent="0.25">
      <c r="A77" s="21">
        <v>73</v>
      </c>
      <c r="B77" s="2"/>
      <c r="C77" s="3"/>
      <c r="D77" s="3"/>
      <c r="E77" s="3"/>
      <c r="F77" s="4"/>
    </row>
    <row r="78" spans="1:6" x14ac:dyDescent="0.25">
      <c r="A78" s="21">
        <v>74</v>
      </c>
      <c r="B78" s="2"/>
      <c r="C78" s="3"/>
      <c r="D78" s="3"/>
      <c r="E78" s="3"/>
      <c r="F78" s="4"/>
    </row>
    <row r="79" spans="1:6" x14ac:dyDescent="0.25">
      <c r="A79" s="21">
        <v>75</v>
      </c>
      <c r="B79" s="2"/>
      <c r="C79" s="3"/>
      <c r="D79" s="3"/>
      <c r="E79" s="3"/>
      <c r="F79" s="4"/>
    </row>
    <row r="81" spans="1:6" x14ac:dyDescent="0.25">
      <c r="A81" s="20" t="s">
        <v>13</v>
      </c>
      <c r="B81" s="5" t="s">
        <v>99</v>
      </c>
      <c r="C81" s="6" t="s">
        <v>29</v>
      </c>
      <c r="D81" s="6" t="s">
        <v>127</v>
      </c>
      <c r="E81" s="6" t="s">
        <v>22</v>
      </c>
      <c r="F81" s="7" t="s">
        <v>27</v>
      </c>
    </row>
    <row r="82" spans="1:6" x14ac:dyDescent="0.25">
      <c r="A82" s="21">
        <v>80</v>
      </c>
      <c r="B82" s="38" t="s">
        <v>100</v>
      </c>
      <c r="C82" s="3">
        <v>1</v>
      </c>
      <c r="D82" s="15" t="s">
        <v>22</v>
      </c>
      <c r="E82" s="15" t="s">
        <v>22</v>
      </c>
      <c r="F82" s="4"/>
    </row>
    <row r="83" spans="1:6" x14ac:dyDescent="0.25">
      <c r="A83" s="21">
        <v>81</v>
      </c>
      <c r="B83" s="38" t="s">
        <v>101</v>
      </c>
      <c r="C83" s="3">
        <v>1</v>
      </c>
      <c r="D83" s="15" t="s">
        <v>22</v>
      </c>
      <c r="E83" s="15" t="s">
        <v>22</v>
      </c>
      <c r="F83" s="4"/>
    </row>
    <row r="84" spans="1:6" x14ac:dyDescent="0.25">
      <c r="A84" s="21">
        <v>82</v>
      </c>
      <c r="B84" s="38" t="s">
        <v>102</v>
      </c>
      <c r="C84" s="13">
        <v>1</v>
      </c>
      <c r="D84" s="15" t="s">
        <v>22</v>
      </c>
      <c r="E84" s="15" t="s">
        <v>22</v>
      </c>
      <c r="F84" s="4"/>
    </row>
    <row r="85" spans="1:6" x14ac:dyDescent="0.25">
      <c r="A85" s="21">
        <v>83</v>
      </c>
      <c r="B85" s="38" t="s">
        <v>103</v>
      </c>
      <c r="C85" s="3">
        <v>1</v>
      </c>
      <c r="D85" s="15" t="s">
        <v>22</v>
      </c>
      <c r="E85" s="15" t="s">
        <v>22</v>
      </c>
      <c r="F85" s="4"/>
    </row>
    <row r="86" spans="1:6" x14ac:dyDescent="0.25">
      <c r="A86" s="21">
        <v>84</v>
      </c>
      <c r="B86" s="38" t="s">
        <v>104</v>
      </c>
      <c r="C86" s="3">
        <v>1</v>
      </c>
      <c r="D86" s="15" t="s">
        <v>22</v>
      </c>
      <c r="E86" s="15" t="s">
        <v>22</v>
      </c>
      <c r="F86" s="4"/>
    </row>
    <row r="87" spans="1:6" x14ac:dyDescent="0.25">
      <c r="A87" s="21">
        <v>85</v>
      </c>
      <c r="B87" s="38" t="s">
        <v>105</v>
      </c>
      <c r="C87" s="3">
        <v>1</v>
      </c>
      <c r="D87" s="15" t="s">
        <v>22</v>
      </c>
      <c r="E87" s="15" t="s">
        <v>22</v>
      </c>
      <c r="F87" s="4"/>
    </row>
    <row r="88" spans="1:6" x14ac:dyDescent="0.25">
      <c r="A88" s="21">
        <v>86</v>
      </c>
      <c r="B88" s="38" t="s">
        <v>106</v>
      </c>
      <c r="C88" s="3">
        <v>1</v>
      </c>
      <c r="D88" s="15" t="s">
        <v>22</v>
      </c>
      <c r="E88" s="15" t="s">
        <v>22</v>
      </c>
      <c r="F88" s="4"/>
    </row>
    <row r="89" spans="1:6" x14ac:dyDescent="0.25">
      <c r="A89" s="21">
        <v>87</v>
      </c>
      <c r="B89" s="38" t="s">
        <v>107</v>
      </c>
      <c r="C89" s="3">
        <v>1</v>
      </c>
      <c r="D89" s="15" t="s">
        <v>22</v>
      </c>
      <c r="E89" s="15" t="s">
        <v>22</v>
      </c>
      <c r="F89" s="4"/>
    </row>
    <row r="90" spans="1:6" x14ac:dyDescent="0.25">
      <c r="A90" s="21">
        <v>88</v>
      </c>
      <c r="B90" s="11" t="s">
        <v>135</v>
      </c>
      <c r="C90" s="3"/>
      <c r="D90" s="15" t="s">
        <v>22</v>
      </c>
      <c r="E90" s="15" t="s">
        <v>22</v>
      </c>
      <c r="F90" s="4"/>
    </row>
    <row r="91" spans="1:6" x14ac:dyDescent="0.25">
      <c r="A91" s="21">
        <v>89</v>
      </c>
      <c r="B91" s="11" t="s">
        <v>134</v>
      </c>
      <c r="C91" s="15" t="s">
        <v>22</v>
      </c>
      <c r="D91" s="13"/>
      <c r="E91" s="15" t="s">
        <v>22</v>
      </c>
      <c r="F91" s="4"/>
    </row>
    <row r="92" spans="1:6" x14ac:dyDescent="0.25">
      <c r="A92" s="21">
        <v>90</v>
      </c>
      <c r="B92" s="2" t="s">
        <v>133</v>
      </c>
      <c r="C92" s="3"/>
      <c r="D92" s="3"/>
      <c r="E92" s="15" t="s">
        <v>22</v>
      </c>
      <c r="F92" s="4"/>
    </row>
    <row r="93" spans="1:6" x14ac:dyDescent="0.25">
      <c r="A93" s="21">
        <v>91</v>
      </c>
      <c r="B93" s="2"/>
      <c r="C93" s="3"/>
      <c r="D93" s="3"/>
      <c r="E93" s="15" t="s">
        <v>22</v>
      </c>
      <c r="F93" s="4"/>
    </row>
    <row r="94" spans="1:6" x14ac:dyDescent="0.25">
      <c r="A94" s="21">
        <v>92</v>
      </c>
      <c r="B94" s="2"/>
      <c r="C94" s="3"/>
      <c r="D94" s="3"/>
      <c r="E94" s="15" t="s">
        <v>22</v>
      </c>
      <c r="F94" s="4"/>
    </row>
    <row r="95" spans="1:6" x14ac:dyDescent="0.25">
      <c r="A95" s="21">
        <v>93</v>
      </c>
      <c r="B95" s="2"/>
      <c r="C95" s="3"/>
      <c r="D95" s="3"/>
      <c r="E95" s="15" t="s">
        <v>22</v>
      </c>
      <c r="F95" s="4"/>
    </row>
    <row r="96" spans="1:6" x14ac:dyDescent="0.25">
      <c r="A96" s="21">
        <v>94</v>
      </c>
      <c r="B96" s="2"/>
      <c r="C96" s="3"/>
      <c r="D96" s="3"/>
      <c r="E96" s="15" t="s">
        <v>22</v>
      </c>
      <c r="F96" s="4"/>
    </row>
    <row r="97" spans="1:6" x14ac:dyDescent="0.25">
      <c r="A97" s="21">
        <v>95</v>
      </c>
      <c r="B97" s="2"/>
      <c r="C97" s="3"/>
      <c r="D97" s="3"/>
      <c r="E97" s="15" t="s">
        <v>22</v>
      </c>
      <c r="F97" s="4"/>
    </row>
  </sheetData>
  <mergeCells count="4">
    <mergeCell ref="C1:E1"/>
    <mergeCell ref="F24:J24"/>
    <mergeCell ref="K24:O24"/>
    <mergeCell ref="P24:T24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9"/>
  <sheetViews>
    <sheetView workbookViewId="0">
      <selection activeCell="B17" sqref="B17:B19"/>
    </sheetView>
  </sheetViews>
  <sheetFormatPr baseColWidth="10" defaultRowHeight="15" x14ac:dyDescent="0.25"/>
  <cols>
    <col min="1" max="1" width="8.140625" style="1" customWidth="1"/>
    <col min="2" max="2" width="50" bestFit="1" customWidth="1"/>
    <col min="3" max="3" width="13.5703125" style="1" customWidth="1"/>
    <col min="4" max="4" width="16.140625" bestFit="1" customWidth="1"/>
    <col min="5" max="5" width="15.140625" style="71" customWidth="1"/>
    <col min="6" max="6" width="9.7109375" style="72" customWidth="1"/>
    <col min="7" max="7" width="14.42578125" style="73" customWidth="1"/>
    <col min="8" max="8" width="18.42578125" style="74" bestFit="1" customWidth="1"/>
    <col min="9" max="9" width="13.140625" style="71" bestFit="1" customWidth="1"/>
    <col min="10" max="10" width="10.42578125" style="24" customWidth="1"/>
    <col min="11" max="12" width="11.5703125" customWidth="1"/>
    <col min="13" max="13" width="16.7109375" customWidth="1"/>
  </cols>
  <sheetData>
    <row r="2" spans="1:14" x14ac:dyDescent="0.25">
      <c r="A2" s="45" t="s">
        <v>13</v>
      </c>
      <c r="B2" s="46" t="s">
        <v>14</v>
      </c>
      <c r="C2" s="37" t="s">
        <v>50</v>
      </c>
      <c r="D2" s="46" t="s">
        <v>52</v>
      </c>
      <c r="E2" s="60" t="s">
        <v>55</v>
      </c>
      <c r="F2" s="61" t="s">
        <v>54</v>
      </c>
      <c r="G2" s="60" t="s">
        <v>53</v>
      </c>
      <c r="H2" s="61" t="s">
        <v>56</v>
      </c>
      <c r="I2" s="60" t="s">
        <v>57</v>
      </c>
      <c r="J2" s="47" t="s">
        <v>85</v>
      </c>
      <c r="K2" s="37" t="s">
        <v>26</v>
      </c>
      <c r="L2" s="37" t="s">
        <v>48</v>
      </c>
      <c r="M2" s="48" t="s">
        <v>51</v>
      </c>
      <c r="N2" s="30" t="s">
        <v>86</v>
      </c>
    </row>
    <row r="3" spans="1:14" x14ac:dyDescent="0.25">
      <c r="A3" s="42">
        <v>1</v>
      </c>
      <c r="B3" s="26" t="s">
        <v>58</v>
      </c>
      <c r="C3" s="29" t="s">
        <v>59</v>
      </c>
      <c r="D3" s="26" t="s">
        <v>60</v>
      </c>
      <c r="E3" s="62">
        <v>1579.35</v>
      </c>
      <c r="F3" s="63">
        <v>0.3</v>
      </c>
      <c r="G3" s="64">
        <f t="shared" ref="G3:G17" si="0">E3*(1-F3)</f>
        <v>1105.5449999999998</v>
      </c>
      <c r="H3" s="65">
        <v>0.94</v>
      </c>
      <c r="I3" s="62">
        <f>E3*H3</f>
        <v>1484.5889999999999</v>
      </c>
      <c r="J3" s="27"/>
      <c r="K3" s="29"/>
      <c r="L3" s="29"/>
      <c r="M3" s="43"/>
    </row>
    <row r="4" spans="1:14" x14ac:dyDescent="0.25">
      <c r="A4" s="42">
        <v>2</v>
      </c>
      <c r="B4" s="26" t="s">
        <v>64</v>
      </c>
      <c r="C4" s="29" t="s">
        <v>59</v>
      </c>
      <c r="D4" s="26" t="s">
        <v>65</v>
      </c>
      <c r="E4" s="62">
        <v>23.8</v>
      </c>
      <c r="F4" s="63">
        <v>0.3</v>
      </c>
      <c r="G4" s="64">
        <f t="shared" si="0"/>
        <v>16.66</v>
      </c>
      <c r="H4" s="65">
        <v>0.94</v>
      </c>
      <c r="I4" s="62">
        <f t="shared" ref="I4:I13" si="1">E4*H4</f>
        <v>22.372</v>
      </c>
      <c r="J4" s="27">
        <v>0</v>
      </c>
      <c r="K4" s="29"/>
      <c r="L4" s="29"/>
      <c r="M4" s="43"/>
    </row>
    <row r="5" spans="1:14" x14ac:dyDescent="0.25">
      <c r="A5" s="42">
        <v>3</v>
      </c>
      <c r="B5" s="26" t="s">
        <v>61</v>
      </c>
      <c r="C5" s="29" t="s">
        <v>59</v>
      </c>
      <c r="D5" s="26" t="s">
        <v>66</v>
      </c>
      <c r="E5" s="62">
        <v>11.9</v>
      </c>
      <c r="F5" s="63">
        <v>0.3</v>
      </c>
      <c r="G5" s="64">
        <f t="shared" si="0"/>
        <v>8.33</v>
      </c>
      <c r="H5" s="65">
        <v>0.94</v>
      </c>
      <c r="I5" s="62">
        <f t="shared" si="1"/>
        <v>11.186</v>
      </c>
      <c r="J5" s="27">
        <v>0</v>
      </c>
      <c r="K5" s="29"/>
      <c r="L5" s="29"/>
      <c r="M5" s="43"/>
    </row>
    <row r="6" spans="1:14" x14ac:dyDescent="0.25">
      <c r="A6" s="42">
        <v>4</v>
      </c>
      <c r="B6" s="26" t="s">
        <v>62</v>
      </c>
      <c r="C6" s="29" t="s">
        <v>59</v>
      </c>
      <c r="D6" s="26" t="s">
        <v>67</v>
      </c>
      <c r="E6" s="62">
        <v>190.5</v>
      </c>
      <c r="F6" s="63">
        <v>0.3</v>
      </c>
      <c r="G6" s="64">
        <f t="shared" si="0"/>
        <v>133.35</v>
      </c>
      <c r="H6" s="65">
        <v>0.94</v>
      </c>
      <c r="I6" s="62">
        <f t="shared" si="1"/>
        <v>179.07</v>
      </c>
      <c r="J6" s="27">
        <v>0</v>
      </c>
      <c r="K6" s="29"/>
      <c r="L6" s="29"/>
      <c r="M6" s="43"/>
    </row>
    <row r="7" spans="1:14" x14ac:dyDescent="0.25">
      <c r="A7" s="42">
        <v>5</v>
      </c>
      <c r="B7" s="26" t="s">
        <v>63</v>
      </c>
      <c r="C7" s="29" t="s">
        <v>59</v>
      </c>
      <c r="D7" s="26" t="s">
        <v>68</v>
      </c>
      <c r="E7" s="62">
        <v>59.5</v>
      </c>
      <c r="F7" s="63">
        <v>0.3</v>
      </c>
      <c r="G7" s="64">
        <f t="shared" si="0"/>
        <v>41.65</v>
      </c>
      <c r="H7" s="65">
        <v>0.94</v>
      </c>
      <c r="I7" s="62">
        <f t="shared" si="1"/>
        <v>55.93</v>
      </c>
      <c r="J7" s="27">
        <v>0</v>
      </c>
      <c r="K7" s="29"/>
      <c r="L7" s="29"/>
      <c r="M7" s="43"/>
    </row>
    <row r="8" spans="1:14" x14ac:dyDescent="0.25">
      <c r="A8" s="42">
        <v>6</v>
      </c>
      <c r="B8" s="26" t="s">
        <v>70</v>
      </c>
      <c r="C8" s="29" t="s">
        <v>59</v>
      </c>
      <c r="D8" s="26" t="s">
        <v>69</v>
      </c>
      <c r="E8" s="62">
        <v>190.5</v>
      </c>
      <c r="F8" s="63">
        <v>0.3</v>
      </c>
      <c r="G8" s="64">
        <f t="shared" si="0"/>
        <v>133.35</v>
      </c>
      <c r="H8" s="65">
        <v>0.94</v>
      </c>
      <c r="I8" s="62">
        <f t="shared" si="1"/>
        <v>179.07</v>
      </c>
      <c r="J8" s="27"/>
      <c r="K8" s="29"/>
      <c r="L8" s="29"/>
      <c r="M8" s="43"/>
    </row>
    <row r="9" spans="1:14" x14ac:dyDescent="0.25">
      <c r="A9" s="42">
        <v>7</v>
      </c>
      <c r="B9" s="26" t="s">
        <v>71</v>
      </c>
      <c r="C9" s="29" t="s">
        <v>59</v>
      </c>
      <c r="D9" s="26" t="s">
        <v>72</v>
      </c>
      <c r="E9" s="62">
        <v>42.85</v>
      </c>
      <c r="F9" s="63">
        <v>0.3</v>
      </c>
      <c r="G9" s="64">
        <f t="shared" si="0"/>
        <v>29.994999999999997</v>
      </c>
      <c r="H9" s="65">
        <v>0.94</v>
      </c>
      <c r="I9" s="62">
        <f t="shared" si="1"/>
        <v>40.278999999999996</v>
      </c>
      <c r="J9" s="27"/>
      <c r="K9" s="29"/>
      <c r="L9" s="29"/>
      <c r="M9" s="43"/>
    </row>
    <row r="10" spans="1:14" x14ac:dyDescent="0.25">
      <c r="A10" s="42">
        <v>8</v>
      </c>
      <c r="B10" s="26" t="s">
        <v>77</v>
      </c>
      <c r="C10" s="29" t="s">
        <v>59</v>
      </c>
      <c r="D10" s="26" t="s">
        <v>73</v>
      </c>
      <c r="E10" s="62">
        <v>133.35</v>
      </c>
      <c r="F10" s="63">
        <v>0.3</v>
      </c>
      <c r="G10" s="64">
        <f t="shared" si="0"/>
        <v>93.344999999999985</v>
      </c>
      <c r="H10" s="65">
        <v>0.94</v>
      </c>
      <c r="I10" s="62">
        <f t="shared" si="1"/>
        <v>125.34899999999999</v>
      </c>
      <c r="J10" s="27"/>
      <c r="K10" s="29"/>
      <c r="L10" s="29"/>
      <c r="M10" s="43"/>
    </row>
    <row r="11" spans="1:14" x14ac:dyDescent="0.25">
      <c r="A11" s="42">
        <v>9</v>
      </c>
      <c r="B11" s="26" t="s">
        <v>78</v>
      </c>
      <c r="C11" s="29" t="s">
        <v>59</v>
      </c>
      <c r="D11" s="26" t="s">
        <v>74</v>
      </c>
      <c r="E11" s="62">
        <v>143.65</v>
      </c>
      <c r="F11" s="63">
        <v>0.3</v>
      </c>
      <c r="G11" s="64">
        <f t="shared" si="0"/>
        <v>100.55499999999999</v>
      </c>
      <c r="H11" s="65">
        <v>0.94</v>
      </c>
      <c r="I11" s="62">
        <f t="shared" si="1"/>
        <v>135.03100000000001</v>
      </c>
      <c r="J11" s="27"/>
      <c r="K11" s="29"/>
      <c r="L11" s="29"/>
      <c r="M11" s="43"/>
    </row>
    <row r="12" spans="1:14" x14ac:dyDescent="0.25">
      <c r="A12" s="42">
        <v>10</v>
      </c>
      <c r="B12" s="26" t="s">
        <v>80</v>
      </c>
      <c r="C12" s="29" t="s">
        <v>59</v>
      </c>
      <c r="D12" s="26" t="s">
        <v>75</v>
      </c>
      <c r="E12" s="62">
        <v>315.85000000000002</v>
      </c>
      <c r="F12" s="63">
        <v>0.3</v>
      </c>
      <c r="G12" s="64">
        <f t="shared" si="0"/>
        <v>221.095</v>
      </c>
      <c r="H12" s="65">
        <v>0.94</v>
      </c>
      <c r="I12" s="62">
        <f t="shared" si="1"/>
        <v>296.899</v>
      </c>
      <c r="J12" s="27"/>
      <c r="K12" s="29"/>
      <c r="L12" s="29"/>
      <c r="M12" s="43"/>
    </row>
    <row r="13" spans="1:14" x14ac:dyDescent="0.25">
      <c r="A13" s="42">
        <v>11</v>
      </c>
      <c r="B13" s="26" t="s">
        <v>79</v>
      </c>
      <c r="C13" s="29" t="s">
        <v>59</v>
      </c>
      <c r="D13" s="26" t="s">
        <v>76</v>
      </c>
      <c r="E13" s="62">
        <v>293.64999999999998</v>
      </c>
      <c r="F13" s="63">
        <v>0.3</v>
      </c>
      <c r="G13" s="64">
        <f t="shared" si="0"/>
        <v>205.55499999999998</v>
      </c>
      <c r="H13" s="65">
        <v>0.94</v>
      </c>
      <c r="I13" s="62">
        <f t="shared" si="1"/>
        <v>276.03099999999995</v>
      </c>
      <c r="J13" s="27"/>
      <c r="K13" s="29"/>
      <c r="L13" s="29"/>
      <c r="M13" s="43"/>
    </row>
    <row r="14" spans="1:14" x14ac:dyDescent="0.25">
      <c r="A14" s="42">
        <v>12</v>
      </c>
      <c r="B14" s="26" t="s">
        <v>90</v>
      </c>
      <c r="C14" s="29" t="s">
        <v>59</v>
      </c>
      <c r="D14" s="26" t="s">
        <v>91</v>
      </c>
      <c r="E14" s="62">
        <v>11.1</v>
      </c>
      <c r="F14" s="63">
        <v>0.3</v>
      </c>
      <c r="G14" s="64">
        <f>E14*(1-F14)</f>
        <v>7.77</v>
      </c>
      <c r="H14" s="65">
        <v>0.94</v>
      </c>
      <c r="I14" s="62">
        <f>E14*H14</f>
        <v>10.433999999999999</v>
      </c>
      <c r="J14" s="27"/>
      <c r="K14" s="29"/>
      <c r="L14" s="29"/>
      <c r="M14" s="43"/>
    </row>
    <row r="15" spans="1:14" x14ac:dyDescent="0.25">
      <c r="A15" s="42">
        <v>13</v>
      </c>
      <c r="B15" s="26" t="s">
        <v>118</v>
      </c>
      <c r="C15" s="29" t="s">
        <v>59</v>
      </c>
      <c r="D15" s="26" t="s">
        <v>121</v>
      </c>
      <c r="E15" s="62">
        <v>1646.8</v>
      </c>
      <c r="F15" s="63">
        <v>0.3</v>
      </c>
      <c r="G15" s="64">
        <f>E15*(1-F15)</f>
        <v>1152.76</v>
      </c>
      <c r="H15" s="65">
        <v>0.94</v>
      </c>
      <c r="I15" s="62">
        <f>E15*H15</f>
        <v>1547.992</v>
      </c>
      <c r="J15" s="28"/>
      <c r="K15" s="26"/>
      <c r="L15" s="26"/>
      <c r="M15" s="44"/>
    </row>
    <row r="16" spans="1:14" x14ac:dyDescent="0.25">
      <c r="A16" s="42">
        <v>14</v>
      </c>
      <c r="B16" s="26" t="s">
        <v>129</v>
      </c>
      <c r="C16" s="29" t="s">
        <v>59</v>
      </c>
      <c r="D16" s="26"/>
      <c r="E16" s="62"/>
      <c r="F16" s="97"/>
      <c r="G16" s="64"/>
      <c r="H16" s="65"/>
      <c r="I16" s="62"/>
      <c r="J16" s="28"/>
      <c r="K16" s="26"/>
      <c r="L16" s="26"/>
      <c r="M16" s="44"/>
    </row>
    <row r="17" spans="1:13" x14ac:dyDescent="0.25">
      <c r="A17" s="42">
        <v>15</v>
      </c>
      <c r="B17" s="26" t="s">
        <v>89</v>
      </c>
      <c r="C17" s="29" t="s">
        <v>84</v>
      </c>
      <c r="D17" s="26" t="s">
        <v>81</v>
      </c>
      <c r="E17" s="62"/>
      <c r="F17" s="63">
        <v>0.35</v>
      </c>
      <c r="G17" s="64">
        <f t="shared" si="0"/>
        <v>0</v>
      </c>
      <c r="H17" s="65">
        <v>1.1499999999999999</v>
      </c>
      <c r="I17" s="62"/>
      <c r="J17" s="28"/>
      <c r="K17" s="26"/>
      <c r="L17" s="26"/>
      <c r="M17" s="44"/>
    </row>
    <row r="18" spans="1:13" x14ac:dyDescent="0.25">
      <c r="A18" s="42">
        <v>16</v>
      </c>
      <c r="B18" s="26" t="s">
        <v>87</v>
      </c>
      <c r="C18" s="29" t="s">
        <v>84</v>
      </c>
      <c r="D18" s="26" t="s">
        <v>82</v>
      </c>
      <c r="E18" s="62">
        <v>288</v>
      </c>
      <c r="F18" s="63">
        <v>0.35</v>
      </c>
      <c r="G18" s="64">
        <f>E18*(1-F18)</f>
        <v>187.20000000000002</v>
      </c>
      <c r="H18" s="65">
        <v>1.1499999999999999</v>
      </c>
      <c r="I18" s="62">
        <f>G18*H18</f>
        <v>215.28</v>
      </c>
      <c r="J18" s="28"/>
      <c r="K18" s="26"/>
      <c r="L18" s="26"/>
      <c r="M18" s="44"/>
    </row>
    <row r="19" spans="1:13" x14ac:dyDescent="0.25">
      <c r="A19" s="42">
        <v>17</v>
      </c>
      <c r="B19" s="26" t="s">
        <v>88</v>
      </c>
      <c r="C19" s="29" t="s">
        <v>84</v>
      </c>
      <c r="D19" s="26" t="s">
        <v>83</v>
      </c>
      <c r="E19" s="62"/>
      <c r="F19" s="63">
        <v>0.35</v>
      </c>
      <c r="G19" s="64">
        <f>E19*(1-F19)</f>
        <v>0</v>
      </c>
      <c r="H19" s="65">
        <v>1.1499999999999999</v>
      </c>
      <c r="I19" s="62"/>
      <c r="J19" s="28"/>
      <c r="K19" s="26"/>
      <c r="L19" s="26"/>
      <c r="M19" s="44"/>
    </row>
    <row r="20" spans="1:13" x14ac:dyDescent="0.25">
      <c r="A20" s="42">
        <v>18</v>
      </c>
      <c r="B20" s="26"/>
      <c r="C20" s="29"/>
      <c r="D20" s="26"/>
      <c r="E20" s="62"/>
      <c r="F20" s="66"/>
      <c r="G20" s="64"/>
      <c r="H20" s="65"/>
      <c r="I20" s="62"/>
      <c r="J20" s="28"/>
      <c r="K20" s="26"/>
      <c r="L20" s="26"/>
      <c r="M20" s="44"/>
    </row>
    <row r="21" spans="1:13" x14ac:dyDescent="0.25">
      <c r="A21" s="42">
        <v>19</v>
      </c>
      <c r="B21" s="26"/>
      <c r="C21" s="29"/>
      <c r="D21" s="26"/>
      <c r="E21" s="62"/>
      <c r="F21" s="66"/>
      <c r="G21" s="64"/>
      <c r="H21" s="65"/>
      <c r="I21" s="62"/>
      <c r="J21" s="28"/>
      <c r="K21" s="26"/>
      <c r="L21" s="26"/>
      <c r="M21" s="44"/>
    </row>
    <row r="22" spans="1:13" x14ac:dyDescent="0.25">
      <c r="A22" s="42">
        <v>20</v>
      </c>
      <c r="B22" s="26"/>
      <c r="C22" s="29"/>
      <c r="D22" s="26"/>
      <c r="E22" s="62"/>
      <c r="F22" s="66"/>
      <c r="G22" s="64"/>
      <c r="H22" s="65"/>
      <c r="I22" s="62"/>
      <c r="J22" s="28"/>
      <c r="K22" s="26"/>
      <c r="L22" s="26"/>
      <c r="M22" s="44"/>
    </row>
    <row r="23" spans="1:13" x14ac:dyDescent="0.25">
      <c r="A23" s="42">
        <v>21</v>
      </c>
      <c r="B23" s="26"/>
      <c r="C23" s="29"/>
      <c r="D23" s="26"/>
      <c r="E23" s="62"/>
      <c r="F23" s="66"/>
      <c r="G23" s="64"/>
      <c r="H23" s="65"/>
      <c r="I23" s="62"/>
      <c r="J23" s="28"/>
      <c r="K23" s="26"/>
      <c r="L23" s="26"/>
      <c r="M23" s="44"/>
    </row>
    <row r="24" spans="1:13" x14ac:dyDescent="0.25">
      <c r="A24" s="42">
        <v>22</v>
      </c>
      <c r="B24" s="26"/>
      <c r="C24" s="29"/>
      <c r="D24" s="26"/>
      <c r="E24" s="62"/>
      <c r="F24" s="66"/>
      <c r="G24" s="64"/>
      <c r="H24" s="65"/>
      <c r="I24" s="62"/>
      <c r="J24" s="28"/>
      <c r="K24" s="26"/>
      <c r="L24" s="26"/>
      <c r="M24" s="44"/>
    </row>
    <row r="25" spans="1:13" x14ac:dyDescent="0.25">
      <c r="A25" s="42">
        <v>23</v>
      </c>
      <c r="B25" s="26"/>
      <c r="C25" s="29"/>
      <c r="D25" s="26"/>
      <c r="E25" s="62"/>
      <c r="F25" s="66"/>
      <c r="G25" s="64"/>
      <c r="H25" s="65"/>
      <c r="I25" s="62"/>
      <c r="J25" s="28"/>
      <c r="K25" s="26"/>
      <c r="L25" s="26"/>
      <c r="M25" s="44"/>
    </row>
    <row r="26" spans="1:13" x14ac:dyDescent="0.25">
      <c r="A26" s="42">
        <v>24</v>
      </c>
      <c r="B26" s="26"/>
      <c r="C26" s="29"/>
      <c r="D26" s="26"/>
      <c r="E26" s="62"/>
      <c r="F26" s="66"/>
      <c r="G26" s="64"/>
      <c r="H26" s="65"/>
      <c r="I26" s="62"/>
      <c r="J26" s="28"/>
      <c r="K26" s="26"/>
      <c r="L26" s="26"/>
      <c r="M26" s="44"/>
    </row>
    <row r="27" spans="1:13" x14ac:dyDescent="0.25">
      <c r="A27" s="42">
        <v>25</v>
      </c>
      <c r="B27" s="26"/>
      <c r="C27" s="29"/>
      <c r="D27" s="26"/>
      <c r="E27" s="62"/>
      <c r="F27" s="66"/>
      <c r="G27" s="64"/>
      <c r="H27" s="65"/>
      <c r="I27" s="62"/>
      <c r="J27" s="28"/>
      <c r="K27" s="26"/>
      <c r="L27" s="26"/>
      <c r="M27" s="44"/>
    </row>
    <row r="28" spans="1:13" x14ac:dyDescent="0.25">
      <c r="A28" s="42">
        <v>26</v>
      </c>
      <c r="B28" s="26"/>
      <c r="C28" s="29"/>
      <c r="D28" s="26"/>
      <c r="E28" s="62"/>
      <c r="F28" s="66"/>
      <c r="G28" s="64"/>
      <c r="H28" s="65"/>
      <c r="I28" s="62"/>
      <c r="J28" s="28"/>
      <c r="K28" s="26"/>
      <c r="L28" s="26"/>
      <c r="M28" s="44"/>
    </row>
    <row r="29" spans="1:13" x14ac:dyDescent="0.25">
      <c r="A29" s="42">
        <v>27</v>
      </c>
      <c r="B29" s="26"/>
      <c r="C29" s="29"/>
      <c r="D29" s="26"/>
      <c r="E29" s="62"/>
      <c r="F29" s="66"/>
      <c r="G29" s="64"/>
      <c r="H29" s="65"/>
      <c r="I29" s="62"/>
      <c r="J29" s="28"/>
      <c r="K29" s="26"/>
      <c r="L29" s="26"/>
      <c r="M29" s="44"/>
    </row>
    <row r="30" spans="1:13" x14ac:dyDescent="0.25">
      <c r="A30" s="42">
        <v>28</v>
      </c>
      <c r="B30" s="26"/>
      <c r="C30" s="29"/>
      <c r="D30" s="26"/>
      <c r="E30" s="62"/>
      <c r="F30" s="66"/>
      <c r="G30" s="64"/>
      <c r="H30" s="65"/>
      <c r="I30" s="62"/>
      <c r="J30" s="28"/>
      <c r="K30" s="26"/>
      <c r="L30" s="26"/>
      <c r="M30" s="44"/>
    </row>
    <row r="31" spans="1:13" x14ac:dyDescent="0.25">
      <c r="A31" s="42">
        <v>29</v>
      </c>
      <c r="B31" s="26"/>
      <c r="C31" s="29"/>
      <c r="D31" s="26"/>
      <c r="E31" s="62"/>
      <c r="F31" s="66"/>
      <c r="G31" s="64"/>
      <c r="H31" s="65"/>
      <c r="I31" s="62"/>
      <c r="J31" s="28"/>
      <c r="K31" s="26"/>
      <c r="L31" s="26"/>
      <c r="M31" s="44"/>
    </row>
    <row r="32" spans="1:13" x14ac:dyDescent="0.25">
      <c r="A32" s="42">
        <v>30</v>
      </c>
      <c r="B32" s="26"/>
      <c r="C32" s="29"/>
      <c r="D32" s="26"/>
      <c r="E32" s="62"/>
      <c r="F32" s="66"/>
      <c r="G32" s="64"/>
      <c r="H32" s="65"/>
      <c r="I32" s="62"/>
      <c r="J32" s="28"/>
      <c r="K32" s="26"/>
      <c r="L32" s="26"/>
      <c r="M32" s="44"/>
    </row>
    <row r="33" spans="1:13" x14ac:dyDescent="0.25">
      <c r="A33" s="42">
        <v>31</v>
      </c>
      <c r="B33" s="26"/>
      <c r="C33" s="29"/>
      <c r="D33" s="26"/>
      <c r="E33" s="62"/>
      <c r="F33" s="66"/>
      <c r="G33" s="64"/>
      <c r="H33" s="65"/>
      <c r="I33" s="62"/>
      <c r="J33" s="28"/>
      <c r="K33" s="26"/>
      <c r="L33" s="26"/>
      <c r="M33" s="44"/>
    </row>
    <row r="34" spans="1:13" x14ac:dyDescent="0.25">
      <c r="A34" s="42">
        <v>32</v>
      </c>
      <c r="B34" s="26"/>
      <c r="C34" s="29"/>
      <c r="D34" s="26"/>
      <c r="E34" s="62"/>
      <c r="F34" s="66"/>
      <c r="G34" s="64"/>
      <c r="H34" s="65"/>
      <c r="I34" s="62"/>
      <c r="J34" s="28"/>
      <c r="K34" s="26"/>
      <c r="L34" s="26"/>
      <c r="M34" s="44"/>
    </row>
    <row r="35" spans="1:13" x14ac:dyDescent="0.25">
      <c r="A35" s="42">
        <v>33</v>
      </c>
      <c r="B35" s="26"/>
      <c r="C35" s="29"/>
      <c r="D35" s="26"/>
      <c r="E35" s="62"/>
      <c r="F35" s="66"/>
      <c r="G35" s="64"/>
      <c r="H35" s="65"/>
      <c r="I35" s="62"/>
      <c r="J35" s="28"/>
      <c r="K35" s="26"/>
      <c r="L35" s="26"/>
      <c r="M35" s="44"/>
    </row>
    <row r="36" spans="1:13" x14ac:dyDescent="0.25">
      <c r="A36" s="42">
        <v>34</v>
      </c>
      <c r="B36" s="26"/>
      <c r="C36" s="29"/>
      <c r="D36" s="26"/>
      <c r="E36" s="62"/>
      <c r="F36" s="66"/>
      <c r="G36" s="64"/>
      <c r="H36" s="65"/>
      <c r="I36" s="62"/>
      <c r="J36" s="28"/>
      <c r="K36" s="26"/>
      <c r="L36" s="26"/>
      <c r="M36" s="44"/>
    </row>
    <row r="37" spans="1:13" x14ac:dyDescent="0.25">
      <c r="A37" s="42">
        <v>35</v>
      </c>
      <c r="B37" s="26"/>
      <c r="C37" s="29"/>
      <c r="D37" s="26"/>
      <c r="E37" s="62"/>
      <c r="F37" s="66"/>
      <c r="G37" s="64"/>
      <c r="H37" s="65"/>
      <c r="I37" s="62"/>
      <c r="J37" s="28"/>
      <c r="K37" s="26"/>
      <c r="L37" s="26"/>
      <c r="M37" s="44"/>
    </row>
    <row r="38" spans="1:13" x14ac:dyDescent="0.25">
      <c r="A38" s="42">
        <v>36</v>
      </c>
      <c r="B38" s="26"/>
      <c r="C38" s="29"/>
      <c r="D38" s="26"/>
      <c r="E38" s="62"/>
      <c r="F38" s="66"/>
      <c r="G38" s="64"/>
      <c r="H38" s="65"/>
      <c r="I38" s="62"/>
      <c r="J38" s="28"/>
      <c r="K38" s="26"/>
      <c r="L38" s="26"/>
      <c r="M38" s="44"/>
    </row>
    <row r="39" spans="1:13" x14ac:dyDescent="0.25">
      <c r="A39" s="42">
        <v>37</v>
      </c>
      <c r="B39" s="26"/>
      <c r="C39" s="29"/>
      <c r="D39" s="26"/>
      <c r="E39" s="62"/>
      <c r="F39" s="66"/>
      <c r="G39" s="64"/>
      <c r="H39" s="65"/>
      <c r="I39" s="62"/>
      <c r="J39" s="28"/>
      <c r="K39" s="26"/>
      <c r="L39" s="26"/>
      <c r="M39" s="44"/>
    </row>
    <row r="40" spans="1:13" x14ac:dyDescent="0.25">
      <c r="A40" s="42">
        <v>38</v>
      </c>
      <c r="B40" s="26"/>
      <c r="C40" s="29"/>
      <c r="D40" s="26"/>
      <c r="E40" s="62"/>
      <c r="F40" s="66"/>
      <c r="G40" s="64"/>
      <c r="H40" s="65"/>
      <c r="I40" s="62"/>
      <c r="J40" s="28"/>
      <c r="K40" s="26"/>
      <c r="L40" s="26"/>
      <c r="M40" s="44"/>
    </row>
    <row r="41" spans="1:13" x14ac:dyDescent="0.25">
      <c r="A41" s="42">
        <v>39</v>
      </c>
      <c r="B41" s="26"/>
      <c r="C41" s="29"/>
      <c r="D41" s="26"/>
      <c r="E41" s="62"/>
      <c r="F41" s="66"/>
      <c r="G41" s="64"/>
      <c r="H41" s="65"/>
      <c r="I41" s="62"/>
      <c r="J41" s="28"/>
      <c r="K41" s="26"/>
      <c r="L41" s="26"/>
      <c r="M41" s="44"/>
    </row>
    <row r="42" spans="1:13" x14ac:dyDescent="0.25">
      <c r="A42" s="42">
        <v>40</v>
      </c>
      <c r="B42" s="26"/>
      <c r="C42" s="29"/>
      <c r="D42" s="26"/>
      <c r="E42" s="62"/>
      <c r="F42" s="66"/>
      <c r="G42" s="64"/>
      <c r="H42" s="65"/>
      <c r="I42" s="62"/>
      <c r="J42" s="28"/>
      <c r="K42" s="26"/>
      <c r="L42" s="26"/>
      <c r="M42" s="44"/>
    </row>
    <row r="43" spans="1:13" x14ac:dyDescent="0.25">
      <c r="A43" s="42">
        <v>41</v>
      </c>
      <c r="B43" s="26"/>
      <c r="C43" s="29"/>
      <c r="D43" s="26"/>
      <c r="E43" s="62"/>
      <c r="F43" s="66"/>
      <c r="G43" s="64"/>
      <c r="H43" s="65"/>
      <c r="I43" s="62"/>
      <c r="J43" s="28"/>
      <c r="K43" s="26"/>
      <c r="L43" s="26"/>
      <c r="M43" s="44"/>
    </row>
    <row r="44" spans="1:13" x14ac:dyDescent="0.25">
      <c r="A44" s="42">
        <v>42</v>
      </c>
      <c r="B44" s="26"/>
      <c r="C44" s="29"/>
      <c r="D44" s="26"/>
      <c r="E44" s="62"/>
      <c r="F44" s="66"/>
      <c r="G44" s="64"/>
      <c r="H44" s="65"/>
      <c r="I44" s="62"/>
      <c r="J44" s="28"/>
      <c r="K44" s="26"/>
      <c r="L44" s="26"/>
      <c r="M44" s="44"/>
    </row>
    <row r="45" spans="1:13" x14ac:dyDescent="0.25">
      <c r="A45" s="42">
        <v>43</v>
      </c>
      <c r="B45" s="26"/>
      <c r="C45" s="29"/>
      <c r="D45" s="26"/>
      <c r="E45" s="62"/>
      <c r="F45" s="66"/>
      <c r="G45" s="64"/>
      <c r="H45" s="65"/>
      <c r="I45" s="62"/>
      <c r="J45" s="28"/>
      <c r="K45" s="26"/>
      <c r="L45" s="26"/>
      <c r="M45" s="44"/>
    </row>
    <row r="46" spans="1:13" x14ac:dyDescent="0.25">
      <c r="A46" s="42">
        <v>44</v>
      </c>
      <c r="B46" s="26"/>
      <c r="C46" s="29"/>
      <c r="D46" s="26"/>
      <c r="E46" s="62"/>
      <c r="F46" s="66"/>
      <c r="G46" s="64"/>
      <c r="H46" s="65"/>
      <c r="I46" s="62"/>
      <c r="J46" s="28"/>
      <c r="K46" s="26"/>
      <c r="L46" s="26"/>
      <c r="M46" s="44"/>
    </row>
    <row r="47" spans="1:13" x14ac:dyDescent="0.25">
      <c r="A47" s="42">
        <v>45</v>
      </c>
      <c r="B47" s="26"/>
      <c r="C47" s="29"/>
      <c r="D47" s="26"/>
      <c r="E47" s="62"/>
      <c r="F47" s="66"/>
      <c r="G47" s="64"/>
      <c r="H47" s="65"/>
      <c r="I47" s="62"/>
      <c r="J47" s="28"/>
      <c r="K47" s="26"/>
      <c r="L47" s="26"/>
      <c r="M47" s="44"/>
    </row>
    <row r="48" spans="1:13" x14ac:dyDescent="0.25">
      <c r="A48" s="42">
        <v>46</v>
      </c>
      <c r="B48" s="26"/>
      <c r="C48" s="29"/>
      <c r="D48" s="26"/>
      <c r="E48" s="62"/>
      <c r="F48" s="66"/>
      <c r="G48" s="64"/>
      <c r="H48" s="65"/>
      <c r="I48" s="62"/>
      <c r="J48" s="28"/>
      <c r="K48" s="26"/>
      <c r="L48" s="26"/>
      <c r="M48" s="44"/>
    </row>
    <row r="49" spans="1:13" x14ac:dyDescent="0.25">
      <c r="A49" s="42">
        <v>47</v>
      </c>
      <c r="B49" s="49"/>
      <c r="C49" s="50"/>
      <c r="D49" s="49"/>
      <c r="E49" s="67"/>
      <c r="F49" s="68"/>
      <c r="G49" s="69"/>
      <c r="H49" s="70"/>
      <c r="I49" s="67"/>
      <c r="J49" s="51"/>
      <c r="K49" s="49"/>
      <c r="L49" s="49"/>
      <c r="M49" s="52"/>
    </row>
    <row r="50" spans="1:13" x14ac:dyDescent="0.25">
      <c r="A50" s="42">
        <v>48</v>
      </c>
      <c r="B50" s="26"/>
      <c r="C50" s="29"/>
      <c r="D50" s="26"/>
      <c r="E50" s="62"/>
      <c r="F50" s="66"/>
      <c r="G50" s="64"/>
      <c r="H50" s="65"/>
      <c r="I50" s="62"/>
      <c r="J50" s="28"/>
      <c r="K50" s="26"/>
      <c r="L50" s="26"/>
      <c r="M50" s="44"/>
    </row>
    <row r="51" spans="1:13" x14ac:dyDescent="0.25">
      <c r="A51" s="42">
        <v>49</v>
      </c>
      <c r="B51" s="26"/>
      <c r="C51" s="29"/>
      <c r="D51" s="26"/>
      <c r="E51" s="62"/>
      <c r="F51" s="66"/>
      <c r="G51" s="64"/>
      <c r="H51" s="65"/>
      <c r="I51" s="62"/>
      <c r="J51" s="28"/>
      <c r="K51" s="26"/>
      <c r="L51" s="26"/>
      <c r="M51" s="44"/>
    </row>
    <row r="52" spans="1:13" x14ac:dyDescent="0.25">
      <c r="A52" s="42">
        <v>50</v>
      </c>
      <c r="B52" s="26"/>
      <c r="C52" s="29"/>
      <c r="D52" s="26"/>
      <c r="E52" s="62"/>
      <c r="F52" s="66"/>
      <c r="G52" s="64"/>
      <c r="H52" s="65"/>
      <c r="I52" s="62"/>
      <c r="J52" s="28"/>
      <c r="K52" s="26"/>
      <c r="L52" s="26"/>
      <c r="M52" s="44"/>
    </row>
    <row r="53" spans="1:13" x14ac:dyDescent="0.25">
      <c r="A53" s="42">
        <v>51</v>
      </c>
      <c r="B53" s="26"/>
      <c r="C53" s="29"/>
      <c r="D53" s="26"/>
      <c r="E53" s="62"/>
      <c r="F53" s="66"/>
      <c r="G53" s="64"/>
      <c r="H53" s="65"/>
      <c r="I53" s="62"/>
      <c r="J53" s="28"/>
      <c r="K53" s="26"/>
      <c r="L53" s="26"/>
      <c r="M53" s="44"/>
    </row>
    <row r="54" spans="1:13" x14ac:dyDescent="0.25">
      <c r="A54" s="42">
        <v>52</v>
      </c>
      <c r="B54" s="26"/>
      <c r="C54" s="29"/>
      <c r="D54" s="26"/>
      <c r="E54" s="62"/>
      <c r="F54" s="66"/>
      <c r="G54" s="64"/>
      <c r="H54" s="65"/>
      <c r="I54" s="62"/>
      <c r="J54" s="28"/>
      <c r="K54" s="26"/>
      <c r="L54" s="26"/>
      <c r="M54" s="44"/>
    </row>
    <row r="55" spans="1:13" x14ac:dyDescent="0.25">
      <c r="A55" s="29">
        <v>46</v>
      </c>
    </row>
    <row r="56" spans="1:13" x14ac:dyDescent="0.25">
      <c r="A56" s="29">
        <v>47</v>
      </c>
    </row>
    <row r="57" spans="1:13" x14ac:dyDescent="0.25">
      <c r="A57" s="29">
        <v>48</v>
      </c>
    </row>
    <row r="58" spans="1:13" x14ac:dyDescent="0.25">
      <c r="A58" s="29">
        <v>49</v>
      </c>
    </row>
    <row r="59" spans="1:13" x14ac:dyDescent="0.25">
      <c r="A59" s="29">
        <v>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5"/>
  <sheetViews>
    <sheetView topLeftCell="A55" workbookViewId="0">
      <selection activeCell="C93" sqref="C93:D93"/>
    </sheetView>
  </sheetViews>
  <sheetFormatPr baseColWidth="10" defaultRowHeight="15" x14ac:dyDescent="0.25"/>
  <cols>
    <col min="1" max="1" width="6" bestFit="1" customWidth="1"/>
    <col min="2" max="2" width="54" bestFit="1" customWidth="1"/>
    <col min="3" max="3" width="11.42578125" style="1"/>
    <col min="4" max="4" width="9.7109375" style="1" customWidth="1"/>
    <col min="5" max="5" width="16.28515625" style="1" customWidth="1"/>
    <col min="6" max="6" width="11.42578125" style="1"/>
  </cols>
  <sheetData>
    <row r="2" spans="1:6" x14ac:dyDescent="0.25">
      <c r="A2" s="35" t="s">
        <v>13</v>
      </c>
      <c r="B2" s="35" t="s">
        <v>92</v>
      </c>
      <c r="C2" s="32" t="s">
        <v>93</v>
      </c>
      <c r="D2" s="33"/>
      <c r="E2" s="33"/>
      <c r="F2" s="34"/>
    </row>
    <row r="3" spans="1:6" x14ac:dyDescent="0.25">
      <c r="A3" s="36"/>
      <c r="B3" s="36"/>
      <c r="C3" s="3" t="s">
        <v>94</v>
      </c>
      <c r="D3" s="3" t="s">
        <v>95</v>
      </c>
      <c r="E3" s="3" t="s">
        <v>96</v>
      </c>
      <c r="F3" s="3" t="s">
        <v>97</v>
      </c>
    </row>
    <row r="4" spans="1:6" x14ac:dyDescent="0.25">
      <c r="A4" s="12"/>
      <c r="B4" s="39" t="s">
        <v>99</v>
      </c>
      <c r="C4" s="3"/>
      <c r="D4" s="3"/>
      <c r="E4" s="3"/>
      <c r="F4" s="3"/>
    </row>
    <row r="5" spans="1:6" x14ac:dyDescent="0.25">
      <c r="A5" s="12">
        <v>80</v>
      </c>
      <c r="B5" s="38" t="s">
        <v>100</v>
      </c>
      <c r="C5" s="3">
        <f>VLOOKUP($B5,Tableau14568[[Divers]:[Distance moyenne armoire (m)]],2,0)</f>
        <v>1</v>
      </c>
      <c r="D5" s="3"/>
      <c r="E5" s="3"/>
      <c r="F5" s="3"/>
    </row>
    <row r="6" spans="1:6" x14ac:dyDescent="0.25">
      <c r="A6" s="12">
        <v>81</v>
      </c>
      <c r="B6" s="38" t="s">
        <v>101</v>
      </c>
      <c r="C6" s="3">
        <f>VLOOKUP($B6,Tableau14568[[Divers]:[Distance moyenne armoire (m)]],2,0)</f>
        <v>1</v>
      </c>
      <c r="D6" s="3"/>
      <c r="E6" s="3"/>
      <c r="F6" s="3"/>
    </row>
    <row r="7" spans="1:6" x14ac:dyDescent="0.25">
      <c r="A7" s="12">
        <v>82</v>
      </c>
      <c r="B7" s="38" t="s">
        <v>102</v>
      </c>
      <c r="C7" s="3"/>
      <c r="D7" s="3"/>
      <c r="E7" s="3">
        <f>VLOOKUP($B7,Tableau14568[[Divers]:[Distance moyenne armoire (m)]],2,0)</f>
        <v>1</v>
      </c>
      <c r="F7" s="3"/>
    </row>
    <row r="8" spans="1:6" x14ac:dyDescent="0.25">
      <c r="A8" s="12">
        <v>83</v>
      </c>
      <c r="B8" s="38" t="s">
        <v>103</v>
      </c>
      <c r="C8" s="3"/>
      <c r="D8" s="3"/>
      <c r="E8" s="3">
        <f>VLOOKUP($B8,Tableau14568[[Divers]:[Distance moyenne armoire (m)]],2,0)</f>
        <v>1</v>
      </c>
      <c r="F8" s="3"/>
    </row>
    <row r="9" spans="1:6" x14ac:dyDescent="0.25">
      <c r="A9" s="12">
        <v>84</v>
      </c>
      <c r="B9" s="38" t="s">
        <v>104</v>
      </c>
      <c r="C9" s="3"/>
      <c r="D9" s="3"/>
      <c r="E9" s="3">
        <f>VLOOKUP($B9,Tableau14568[[Divers]:[Distance moyenne armoire (m)]],2,0)</f>
        <v>1</v>
      </c>
      <c r="F9" s="3"/>
    </row>
    <row r="10" spans="1:6" x14ac:dyDescent="0.25">
      <c r="A10" s="12">
        <v>85</v>
      </c>
      <c r="B10" s="38" t="s">
        <v>105</v>
      </c>
      <c r="C10" s="3">
        <f>VLOOKUP($B10,Tableau14568[[Divers]:[Distance moyenne armoire (m)]],2,0)</f>
        <v>1</v>
      </c>
      <c r="D10" s="3"/>
      <c r="E10" s="3"/>
      <c r="F10" s="3"/>
    </row>
    <row r="11" spans="1:6" x14ac:dyDescent="0.25">
      <c r="A11" s="12">
        <v>86</v>
      </c>
      <c r="B11" s="38" t="s">
        <v>106</v>
      </c>
      <c r="C11" s="3"/>
      <c r="D11" s="3"/>
      <c r="E11" s="3">
        <f>VLOOKUP($B11,Tableau14568[[Divers]:[Distance moyenne armoire (m)]],2,0)</f>
        <v>1</v>
      </c>
      <c r="F11" s="3"/>
    </row>
    <row r="12" spans="1:6" x14ac:dyDescent="0.25">
      <c r="A12" s="12">
        <v>87</v>
      </c>
      <c r="B12" s="86" t="s">
        <v>107</v>
      </c>
      <c r="C12" s="3"/>
      <c r="D12" s="3"/>
      <c r="E12" s="3">
        <f>VLOOKUP($B12,Tableau14568[[Divers]:[Distance moyenne armoire (m)]],2,0)</f>
        <v>1</v>
      </c>
      <c r="F12" s="3"/>
    </row>
    <row r="13" spans="1:6" x14ac:dyDescent="0.25">
      <c r="A13" s="12">
        <v>88</v>
      </c>
      <c r="B13" s="11" t="s">
        <v>135</v>
      </c>
      <c r="C13" s="3">
        <f>VLOOKUP($B13,Tableau14568[[Divers]:[Distance moyenne armoire (m)]],2,0)</f>
        <v>0</v>
      </c>
      <c r="D13" s="3"/>
      <c r="E13" s="3"/>
      <c r="F13" s="3"/>
    </row>
    <row r="14" spans="1:6" x14ac:dyDescent="0.25">
      <c r="A14" s="12">
        <v>89</v>
      </c>
      <c r="B14" s="11" t="s">
        <v>134</v>
      </c>
      <c r="C14" s="3"/>
      <c r="D14" s="3">
        <f>VLOOKUP($B14,Tableau14568[[Divers]:[Distance moyenne armoire (m)]],3,0)</f>
        <v>0</v>
      </c>
      <c r="E14" s="3"/>
      <c r="F14" s="3"/>
    </row>
    <row r="15" spans="1:6" x14ac:dyDescent="0.25">
      <c r="A15" s="12">
        <v>90</v>
      </c>
      <c r="B15" s="11" t="s">
        <v>133</v>
      </c>
      <c r="C15" s="3"/>
      <c r="D15" s="3"/>
      <c r="E15" s="3">
        <f>VLOOKUP($B15,Tableau14568[[Divers]:[Distance moyenne armoire (m)]],2,0)</f>
        <v>0</v>
      </c>
      <c r="F15" s="3">
        <f>VLOOKUP($B15,Tableau14568[[Divers]:[Distance moyenne armoire (m)]],3,0)</f>
        <v>0</v>
      </c>
    </row>
    <row r="16" spans="1:6" x14ac:dyDescent="0.25">
      <c r="A16" s="12"/>
      <c r="B16" s="29"/>
      <c r="C16" s="3"/>
      <c r="D16" s="3"/>
      <c r="E16" s="3"/>
      <c r="F16" s="3"/>
    </row>
    <row r="17" spans="1:6" x14ac:dyDescent="0.25">
      <c r="A17" s="12">
        <v>0</v>
      </c>
      <c r="B17" s="39" t="s">
        <v>108</v>
      </c>
      <c r="C17" s="3"/>
      <c r="D17" s="3"/>
      <c r="E17" s="3"/>
      <c r="F17" s="3"/>
    </row>
    <row r="18" spans="1:6" x14ac:dyDescent="0.25">
      <c r="A18" s="12">
        <v>1</v>
      </c>
      <c r="B18" s="11" t="s">
        <v>0</v>
      </c>
      <c r="C18" s="3"/>
      <c r="D18" s="3">
        <f>SUM(VLOOKUP($B18,Tableau1[[CTA Capteurs]:[Distance moyenne armoire (m)]],2,0),VLOOKUP($B18,Tableau1[[CTA Capteurs]:[Distance moyenne armoire (m)]],3,0),VLOOKUP($B18,Tableau1[[CTA Capteurs]:[Distance moyenne armoire (m)]],4,0))</f>
        <v>0</v>
      </c>
      <c r="E18" s="3"/>
      <c r="F18" s="3"/>
    </row>
    <row r="19" spans="1:6" x14ac:dyDescent="0.25">
      <c r="A19" s="12">
        <v>2</v>
      </c>
      <c r="B19" s="11" t="s">
        <v>1</v>
      </c>
      <c r="C19" s="3">
        <f>SUM(VLOOKUP($B19,Tableau1[[CTA Capteurs]:[Distance moyenne armoire (m)]],2,0),VLOOKUP($B19,Tableau1[[CTA Capteurs]:[Distance moyenne armoire (m)]],3,0),VLOOKUP($B19,Tableau1[[CTA Capteurs]:[Distance moyenne armoire (m)]],4,0))</f>
        <v>0</v>
      </c>
      <c r="D19" s="3"/>
      <c r="E19" s="3"/>
      <c r="F19" s="3"/>
    </row>
    <row r="20" spans="1:6" x14ac:dyDescent="0.25">
      <c r="A20" s="12">
        <v>3</v>
      </c>
      <c r="B20" s="11" t="s">
        <v>131</v>
      </c>
      <c r="C20" s="3">
        <f>SUM(VLOOKUP($B20,Tableau1[[CTA Capteurs]:[Distance moyenne armoire (m)]],2,0),VLOOKUP($B20,Tableau1[[CTA Capteurs]:[Distance moyenne armoire (m)]],3,0),VLOOKUP($B20,Tableau1[[CTA Capteurs]:[Distance moyenne armoire (m)]],4,0))</f>
        <v>0</v>
      </c>
      <c r="D20" s="3"/>
      <c r="E20" s="3"/>
      <c r="F20" s="3"/>
    </row>
    <row r="21" spans="1:6" x14ac:dyDescent="0.25">
      <c r="A21" s="12">
        <v>4</v>
      </c>
      <c r="B21" s="11" t="s">
        <v>132</v>
      </c>
      <c r="C21" s="3">
        <f>SUM(VLOOKUP($B21,Tableau1[[CTA Capteurs]:[Distance moyenne armoire (m)]],2,0),VLOOKUP($B21,Tableau1[[CTA Capteurs]:[Distance moyenne armoire (m)]],3,0),VLOOKUP($B21,Tableau1[[CTA Capteurs]:[Distance moyenne armoire (m)]],4,0))</f>
        <v>0</v>
      </c>
      <c r="D21" s="3"/>
      <c r="E21" s="3"/>
      <c r="F21" s="3"/>
    </row>
    <row r="22" spans="1:6" x14ac:dyDescent="0.25">
      <c r="A22" s="12">
        <v>5</v>
      </c>
      <c r="B22" s="11" t="s">
        <v>3</v>
      </c>
      <c r="C22" s="3"/>
      <c r="D22" s="3">
        <f>SUM(VLOOKUP($B22,Tableau1[[CTA Capteurs]:[Distance moyenne armoire (m)]],2,0),VLOOKUP($B22,Tableau1[[CTA Capteurs]:[Distance moyenne armoire (m)]],3,0),VLOOKUP($B22,Tableau1[[CTA Capteurs]:[Distance moyenne armoire (m)]],4,0))</f>
        <v>0</v>
      </c>
      <c r="E22" s="3"/>
      <c r="F22" s="3"/>
    </row>
    <row r="23" spans="1:6" x14ac:dyDescent="0.25">
      <c r="A23" s="12">
        <v>6</v>
      </c>
      <c r="B23" s="11" t="s">
        <v>15</v>
      </c>
      <c r="C23" s="3"/>
      <c r="D23" s="3">
        <f>SUM(VLOOKUP($B23,Tableau1[[CTA Capteurs]:[Distance moyenne armoire (m)]],2,0),VLOOKUP($B23,Tableau1[[CTA Capteurs]:[Distance moyenne armoire (m)]],3,0),VLOOKUP($B23,Tableau1[[CTA Capteurs]:[Distance moyenne armoire (m)]],4,0))*2</f>
        <v>0</v>
      </c>
      <c r="E23" s="3"/>
      <c r="F23" s="3"/>
    </row>
    <row r="24" spans="1:6" x14ac:dyDescent="0.25">
      <c r="A24" s="12">
        <v>7</v>
      </c>
      <c r="B24" s="11" t="s">
        <v>16</v>
      </c>
      <c r="C24" s="3"/>
      <c r="D24" s="3">
        <f>SUM(VLOOKUP($B24,Tableau1[[CTA Capteurs]:[Distance moyenne armoire (m)]],2,0),VLOOKUP($B24,Tableau1[[CTA Capteurs]:[Distance moyenne armoire (m)]],3,0),VLOOKUP($B24,Tableau1[[CTA Capteurs]:[Distance moyenne armoire (m)]],4,0))*2</f>
        <v>0</v>
      </c>
      <c r="E24" s="3"/>
      <c r="F24" s="3"/>
    </row>
    <row r="25" spans="1:6" x14ac:dyDescent="0.25">
      <c r="A25" s="12">
        <v>8</v>
      </c>
      <c r="B25" s="11" t="s">
        <v>10</v>
      </c>
      <c r="C25" s="3"/>
      <c r="D25" s="3">
        <f>SUM(VLOOKUP($B25,Tableau1[[CTA Capteurs]:[Distance moyenne armoire (m)]],2,0),VLOOKUP($B25,Tableau1[[CTA Capteurs]:[Distance moyenne armoire (m)]],3,0),VLOOKUP($B25,Tableau1[[CTA Capteurs]:[Distance moyenne armoire (m)]],4,0))</f>
        <v>0</v>
      </c>
      <c r="E25" s="3"/>
      <c r="F25" s="3"/>
    </row>
    <row r="26" spans="1:6" x14ac:dyDescent="0.25">
      <c r="A26" s="12">
        <v>9</v>
      </c>
      <c r="B26" s="11" t="s">
        <v>17</v>
      </c>
      <c r="C26" s="3">
        <f>SUM(VLOOKUP($B26,Tableau1[[CTA Capteurs]:[Distance moyenne armoire (m)]],2,0),VLOOKUP($B26,Tableau1[[CTA Capteurs]:[Distance moyenne armoire (m)]],3,0),VLOOKUP($B26,Tableau1[[CTA Capteurs]:[Distance moyenne armoire (m)]],4,0))</f>
        <v>0</v>
      </c>
      <c r="D26" s="3"/>
      <c r="E26" s="3"/>
      <c r="F26" s="3"/>
    </row>
    <row r="27" spans="1:6" x14ac:dyDescent="0.25">
      <c r="A27" s="12">
        <v>10</v>
      </c>
      <c r="B27" s="11" t="s">
        <v>2</v>
      </c>
      <c r="C27" s="3"/>
      <c r="D27" s="3">
        <f>SUM(VLOOKUP($B27,Tableau1[[CTA Capteurs]:[Distance moyenne armoire (m)]],2,0),VLOOKUP($B27,Tableau1[[CTA Capteurs]:[Distance moyenne armoire (m)]],3,0),VLOOKUP($B27,Tableau1[[CTA Capteurs]:[Distance moyenne armoire (m)]],4,0))</f>
        <v>0</v>
      </c>
      <c r="E27" s="3"/>
      <c r="F27" s="3"/>
    </row>
    <row r="28" spans="1:6" x14ac:dyDescent="0.25">
      <c r="A28" s="12">
        <v>11</v>
      </c>
      <c r="B28" s="11" t="s">
        <v>8</v>
      </c>
      <c r="C28" s="3">
        <f>SUM(VLOOKUP($B28,Tableau1[[CTA Capteurs]:[Distance moyenne armoire (m)]],2,0),VLOOKUP($B28,Tableau1[[CTA Capteurs]:[Distance moyenne armoire (m)]],3,0),VLOOKUP($B28,Tableau1[[CTA Capteurs]:[Distance moyenne armoire (m)]],4,0))</f>
        <v>0</v>
      </c>
      <c r="D28" s="3"/>
      <c r="E28" s="3"/>
      <c r="F28" s="3"/>
    </row>
    <row r="29" spans="1:6" x14ac:dyDescent="0.25">
      <c r="A29" s="12">
        <v>12</v>
      </c>
      <c r="B29" s="11" t="s">
        <v>18</v>
      </c>
      <c r="C29" s="3"/>
      <c r="D29" s="3">
        <f>SUM(VLOOKUP($B29,Tableau1[[CTA Capteurs]:[Distance moyenne armoire (m)]],2,0),VLOOKUP($B29,Tableau1[[CTA Capteurs]:[Distance moyenne armoire (m)]],3,0),VLOOKUP($B29,Tableau1[[CTA Capteurs]:[Distance moyenne armoire (m)]],4,0))</f>
        <v>0</v>
      </c>
      <c r="E29" s="3"/>
      <c r="F29" s="3"/>
    </row>
    <row r="30" spans="1:6" x14ac:dyDescent="0.25">
      <c r="A30" s="12">
        <v>13</v>
      </c>
      <c r="B30" s="11" t="s">
        <v>19</v>
      </c>
      <c r="C30" s="3"/>
      <c r="D30" s="3">
        <f>SUM(VLOOKUP($B30,Tableau1[[CTA Capteurs]:[Distance moyenne armoire (m)]],2,0),VLOOKUP($B30,Tableau1[[CTA Capteurs]:[Distance moyenne armoire (m)]],3,0),VLOOKUP($B30,Tableau1[[CTA Capteurs]:[Distance moyenne armoire (m)]],4,0))*2</f>
        <v>0</v>
      </c>
      <c r="E30" s="3"/>
      <c r="F30" s="3"/>
    </row>
    <row r="31" spans="1:6" x14ac:dyDescent="0.25">
      <c r="A31" s="12">
        <v>14</v>
      </c>
      <c r="B31" s="11" t="s">
        <v>20</v>
      </c>
      <c r="C31" s="3"/>
      <c r="D31" s="3">
        <f>SUM(VLOOKUP($B31,Tableau1[[CTA Capteurs]:[Distance moyenne armoire (m)]],2,0),VLOOKUP($B31,Tableau1[[CTA Capteurs]:[Distance moyenne armoire (m)]],3,0),VLOOKUP($B31,Tableau1[[CTA Capteurs]:[Distance moyenne armoire (m)]],4,0))*2</f>
        <v>0</v>
      </c>
      <c r="E31" s="3"/>
      <c r="F31" s="3"/>
    </row>
    <row r="32" spans="1:6" x14ac:dyDescent="0.25">
      <c r="A32" s="12">
        <v>15</v>
      </c>
      <c r="B32" s="11" t="s">
        <v>11</v>
      </c>
      <c r="C32" s="3"/>
      <c r="D32" s="3">
        <f>SUM(VLOOKUP($B32,Tableau1[[CTA Capteurs]:[Distance moyenne armoire (m)]],2,0),VLOOKUP($B32,Tableau1[[CTA Capteurs]:[Distance moyenne armoire (m)]],3,0),VLOOKUP($B32,Tableau1[[CTA Capteurs]:[Distance moyenne armoire (m)]],4,0))*2</f>
        <v>0</v>
      </c>
      <c r="E32" s="3"/>
      <c r="F32" s="3"/>
    </row>
    <row r="33" spans="1:6" x14ac:dyDescent="0.25">
      <c r="A33" s="12">
        <v>16</v>
      </c>
      <c r="B33" s="88" t="s">
        <v>128</v>
      </c>
      <c r="C33" s="3"/>
      <c r="D33" s="3">
        <f>SUM(VLOOKUP($B33,Tableau1[[CTA Capteurs]:[Distance moyenne armoire (m)]],2,0),VLOOKUP($B33,Tableau1[[CTA Capteurs]:[Distance moyenne armoire (m)]],3,0),VLOOKUP($B33,Tableau1[[CTA Capteurs]:[Distance moyenne armoire (m)]],4,0))</f>
        <v>0</v>
      </c>
      <c r="E33" s="3"/>
      <c r="F33" s="3"/>
    </row>
    <row r="34" spans="1:6" x14ac:dyDescent="0.25">
      <c r="A34" s="12"/>
      <c r="B34" s="11"/>
      <c r="C34" s="3"/>
      <c r="D34" s="3"/>
      <c r="E34" s="3"/>
      <c r="F34" s="3"/>
    </row>
    <row r="35" spans="1:6" x14ac:dyDescent="0.25">
      <c r="A35" s="12">
        <v>20</v>
      </c>
      <c r="B35" s="11" t="s">
        <v>30</v>
      </c>
      <c r="C35" s="3">
        <f>SUM(VLOOKUP($B35,Tableau14[[CTA Actionneurs]:[Régulé]],2,0),VLOOKUP($B35,Tableau14[[CTA Actionneurs]:[Régulé]],3,0),VLOOKUP($B35,Tableau14[[CTA Actionneurs]:[Régulé]],4,0))*3</f>
        <v>0</v>
      </c>
      <c r="D35" s="3"/>
      <c r="E35" s="3">
        <f>VLOOKUP($B35,Tableau14[[CTA Actionneurs]:[Régulé]],2,0)</f>
        <v>0</v>
      </c>
      <c r="F35" s="3">
        <f>VLOOKUP($B35,Tableau14[[CTA Actionneurs]:[Régulé]],4,0)</f>
        <v>0</v>
      </c>
    </row>
    <row r="36" spans="1:6" x14ac:dyDescent="0.25">
      <c r="A36" s="12">
        <v>21</v>
      </c>
      <c r="B36" s="11" t="s">
        <v>31</v>
      </c>
      <c r="C36" s="3">
        <f>SUM(VLOOKUP($B36,Tableau14[[CTA Actionneurs]:[Régulé]],2,0),VLOOKUP($B36,Tableau14[[CTA Actionneurs]:[Régulé]],3,0),VLOOKUP($B36,Tableau14[[CTA Actionneurs]:[Régulé]],4,0))</f>
        <v>0</v>
      </c>
      <c r="D36" s="3"/>
      <c r="E36" s="3">
        <f>VLOOKUP($B36,Tableau14[[CTA Actionneurs]:[Régulé]],2,0)</f>
        <v>0</v>
      </c>
      <c r="F36" s="3">
        <f>VLOOKUP($B36,Tableau14[[CTA Actionneurs]:[Régulé]],4,0)</f>
        <v>0</v>
      </c>
    </row>
    <row r="37" spans="1:6" x14ac:dyDescent="0.25">
      <c r="A37" s="12">
        <v>22</v>
      </c>
      <c r="B37" s="11" t="s">
        <v>32</v>
      </c>
      <c r="C37" s="3">
        <f>SUM(VLOOKUP($B37,Tableau14[[CTA Actionneurs]:[Régulé]],2,0),VLOOKUP($B37,Tableau14[[CTA Actionneurs]:[Régulé]],3,0),VLOOKUP($B37,Tableau14[[CTA Actionneurs]:[Régulé]],4,0))</f>
        <v>0</v>
      </c>
      <c r="D37" s="3"/>
      <c r="E37" s="3">
        <f>VLOOKUP($B37,Tableau14[[CTA Actionneurs]:[Régulé]],2,0)</f>
        <v>0</v>
      </c>
      <c r="F37" s="3">
        <f>VLOOKUP($B37,Tableau14[[CTA Actionneurs]:[Régulé]],4,0)</f>
        <v>0</v>
      </c>
    </row>
    <row r="38" spans="1:6" x14ac:dyDescent="0.25">
      <c r="A38" s="12">
        <v>23</v>
      </c>
      <c r="B38" s="11" t="s">
        <v>34</v>
      </c>
      <c r="C38" s="3">
        <f>SUM(VLOOKUP($B38,Tableau14[[CTA Actionneurs]:[Régulé]],2,0)*2,VLOOKUP($B38,Tableau14[[CTA Actionneurs]:[Régulé]],3,0)*3,VLOOKUP($B38,Tableau14[[CTA Actionneurs]:[Régulé]],4,0)*2)</f>
        <v>0</v>
      </c>
      <c r="D38" s="3"/>
      <c r="E38" s="3">
        <f>SUM(VLOOKUP($B38,Tableau14[[CTA Actionneurs]:[Régulé]],2,0),VLOOKUP($B38,Tableau14[[CTA Actionneurs]:[Régulé]],3,0)*2,VLOOKUP($B38,Tableau14[[CTA Actionneurs]:[Régulé]],4,0))</f>
        <v>0</v>
      </c>
      <c r="F38" s="3">
        <f>VLOOKUP($B38,Tableau14[[CTA Actionneurs]:[Régulé]],4,0)</f>
        <v>0</v>
      </c>
    </row>
    <row r="39" spans="1:6" x14ac:dyDescent="0.25">
      <c r="A39" s="12">
        <v>24</v>
      </c>
      <c r="B39" s="11" t="s">
        <v>35</v>
      </c>
      <c r="C39" s="3">
        <f>VLOOKUP($B39,Tableau14[[CTA Actionneurs]:[Régulé]],2,0)*2</f>
        <v>0</v>
      </c>
      <c r="D39" s="3">
        <f>VLOOKUP($B39,Tableau14[[CTA Actionneurs]:[Régulé]],4,0)</f>
        <v>0</v>
      </c>
      <c r="E39" s="3">
        <f>VLOOKUP($B39,Tableau14[[CTA Actionneurs]:[Régulé]],2,0)</f>
        <v>0</v>
      </c>
      <c r="F39" s="3">
        <f>VLOOKUP($B39,Tableau14[[CTA Actionneurs]:[Régulé]],4,0)</f>
        <v>0</v>
      </c>
    </row>
    <row r="40" spans="1:6" x14ac:dyDescent="0.25">
      <c r="A40" s="12">
        <v>25</v>
      </c>
      <c r="B40" s="11" t="s">
        <v>36</v>
      </c>
      <c r="C40" s="3">
        <f>VLOOKUP($B40,Tableau14[[CTA Actionneurs]:[Régulé]],2,0)*2</f>
        <v>0</v>
      </c>
      <c r="D40" s="3">
        <f>VLOOKUP($B40,Tableau14[[CTA Actionneurs]:[Régulé]],4,0)</f>
        <v>0</v>
      </c>
      <c r="E40" s="3">
        <f>VLOOKUP($B40,Tableau14[[CTA Actionneurs]:[Régulé]],2,0)</f>
        <v>0</v>
      </c>
      <c r="F40" s="3">
        <f>VLOOKUP($B40,Tableau14[[CTA Actionneurs]:[Régulé]],4,0)</f>
        <v>0</v>
      </c>
    </row>
    <row r="41" spans="1:6" x14ac:dyDescent="0.25">
      <c r="A41" s="12">
        <v>26</v>
      </c>
      <c r="B41" s="11" t="s">
        <v>6</v>
      </c>
      <c r="C41" s="3">
        <f>VLOOKUP($B41,Tableau14[[CTA Actionneurs]:[Régulé]],2,0)*3</f>
        <v>0</v>
      </c>
      <c r="D41" s="3"/>
      <c r="E41" s="3">
        <f>VLOOKUP($B41,Tableau14[[CTA Actionneurs]:[Régulé]],2,0)</f>
        <v>0</v>
      </c>
      <c r="F41" s="3"/>
    </row>
    <row r="42" spans="1:6" x14ac:dyDescent="0.25">
      <c r="A42" s="12">
        <v>27</v>
      </c>
      <c r="B42" s="11" t="s">
        <v>7</v>
      </c>
      <c r="C42" s="3">
        <f>VLOOKUP($B42,Tableau14[[CTA Actionneurs]:[Régulé]],2,0)*2</f>
        <v>0</v>
      </c>
      <c r="D42" s="3"/>
      <c r="E42" s="3"/>
      <c r="F42" s="3"/>
    </row>
    <row r="43" spans="1:6" x14ac:dyDescent="0.25">
      <c r="A43" s="12">
        <v>28</v>
      </c>
      <c r="B43" s="11" t="s">
        <v>9</v>
      </c>
      <c r="C43" s="3">
        <f>VLOOKUP($B43,Tableau14[[CTA Actionneurs]:[Régulé]],4,0)*2</f>
        <v>0</v>
      </c>
      <c r="D43" s="3"/>
      <c r="E43" s="3">
        <f>VLOOKUP($B43,Tableau14[[CTA Actionneurs]:[Régulé]],4,0)</f>
        <v>0</v>
      </c>
      <c r="F43" s="3">
        <f>VLOOKUP($B43,Tableau14[[CTA Actionneurs]:[Régulé]],4,0)</f>
        <v>0</v>
      </c>
    </row>
    <row r="44" spans="1:6" x14ac:dyDescent="0.25">
      <c r="A44" s="12">
        <v>29</v>
      </c>
      <c r="B44" s="11" t="s">
        <v>39</v>
      </c>
      <c r="C44" s="3"/>
      <c r="D44" s="3"/>
      <c r="E44" s="3">
        <f>VLOOKUP($B44,Tableau14[[CTA Actionneurs]:[Régulé]],2,0)</f>
        <v>0</v>
      </c>
      <c r="F44" s="3">
        <f>VLOOKUP($B44,Tableau14[[CTA Actionneurs]:[Régulé]],4,0)</f>
        <v>0</v>
      </c>
    </row>
    <row r="45" spans="1:6" x14ac:dyDescent="0.25">
      <c r="A45" s="12">
        <v>30</v>
      </c>
      <c r="B45" s="2"/>
      <c r="C45" s="3"/>
      <c r="D45" s="3"/>
      <c r="E45" s="3"/>
      <c r="F45" s="3"/>
    </row>
    <row r="46" spans="1:6" x14ac:dyDescent="0.25">
      <c r="A46" s="12">
        <v>40</v>
      </c>
      <c r="B46" s="11" t="s">
        <v>0</v>
      </c>
      <c r="C46" s="3"/>
      <c r="D46" s="3">
        <f>VLOOKUP($B46,Tableau145[[Circuit ES/EC/EG - capteurs]:[Distance moyenne armoire (m)]],2,0)+VLOOKUP($B46,Tableau145[[Circuit ES/EC/EG - capteurs]:[Distance moyenne armoire (m)]],3,0)</f>
        <v>0</v>
      </c>
      <c r="E46" s="3"/>
      <c r="F46" s="3"/>
    </row>
    <row r="47" spans="1:6" x14ac:dyDescent="0.25">
      <c r="A47" s="12">
        <v>41</v>
      </c>
      <c r="B47" s="11" t="s">
        <v>44</v>
      </c>
      <c r="C47" s="3">
        <f>VLOOKUP($B47,Tableau145[[Circuit ES/EC/EG - capteurs]:[Distance moyenne armoire (m)]],4,0)</f>
        <v>0</v>
      </c>
      <c r="D47" s="3"/>
      <c r="E47" s="3"/>
      <c r="F47" s="3"/>
    </row>
    <row r="48" spans="1:6" x14ac:dyDescent="0.25">
      <c r="A48" s="12">
        <v>42</v>
      </c>
      <c r="B48" s="11" t="s">
        <v>45</v>
      </c>
      <c r="C48" s="3"/>
      <c r="D48" s="3">
        <f>VLOOKUP($B48,Tableau145[[Circuit ES/EC/EG - capteurs]:[Distance moyenne armoire (m)]],2,0)+VLOOKUP($B48,Tableau145[[Circuit ES/EC/EG - capteurs]:[Distance moyenne armoire (m)]],3,0)</f>
        <v>0</v>
      </c>
      <c r="E48" s="3"/>
      <c r="F48" s="3"/>
    </row>
    <row r="49" spans="1:6" x14ac:dyDescent="0.25">
      <c r="A49" s="12">
        <v>43</v>
      </c>
      <c r="B49" s="11" t="s">
        <v>46</v>
      </c>
      <c r="C49" s="3">
        <f>VLOOKUP($B49,Tableau145[[Circuit ES/EC/EG - capteurs]:[Distance moyenne armoire (m)]],4,0)</f>
        <v>0</v>
      </c>
      <c r="D49" s="3"/>
      <c r="E49" s="3"/>
      <c r="F49" s="3"/>
    </row>
    <row r="50" spans="1:6" x14ac:dyDescent="0.25">
      <c r="A50" s="12">
        <v>44</v>
      </c>
      <c r="B50" s="2"/>
      <c r="C50" s="3"/>
      <c r="D50" s="3"/>
      <c r="E50" s="3"/>
      <c r="F50" s="3"/>
    </row>
    <row r="51" spans="1:6" x14ac:dyDescent="0.25">
      <c r="A51" s="12">
        <v>60</v>
      </c>
      <c r="B51" s="11" t="s">
        <v>47</v>
      </c>
      <c r="C51" s="3">
        <f>VLOOKUP($B51,Tableau1456[[Circuit ES/EC/EG - actionneurs]:[Distance moyenne armoire (m)]],2,0)*2+VLOOKUP($B51,Tableau1456[[Circuit ES/EC/EG - actionneurs]:[Distance moyenne armoire (m)]],3,0)*3+VLOOKUP($B51,Tableau1456[[Circuit ES/EC/EG - actionneurs]:[Distance moyenne armoire (m)]],4,0)*2</f>
        <v>0</v>
      </c>
      <c r="D51" s="3"/>
      <c r="E51" s="3">
        <f>VLOOKUP($B51,Tableau1456[[Circuit ES/EC/EG - actionneurs]:[Distance moyenne armoire (m)]],2,0)+VLOOKUP($B51,Tableau1456[[Circuit ES/EC/EG - actionneurs]:[Distance moyenne armoire (m)]],3,0)*2+VLOOKUP($B51,Tableau1456[[Circuit ES/EC/EG - actionneurs]:[Distance moyenne armoire (m)]],4,0)</f>
        <v>0</v>
      </c>
      <c r="F51" s="3">
        <f>VLOOKUP($B51,Tableau1456[[Circuit ES/EC/EG - actionneurs]:[Distance moyenne armoire (m)]],4,0)</f>
        <v>0</v>
      </c>
    </row>
    <row r="52" spans="1:6" x14ac:dyDescent="0.25">
      <c r="A52" s="12">
        <v>61</v>
      </c>
      <c r="B52" s="11" t="s">
        <v>5</v>
      </c>
      <c r="C52" s="3">
        <f>VLOOKUP($B52,Tableau1456[[Circuit ES/EC/EG - actionneurs]:[Distance moyenne armoire (m)]],2,0)</f>
        <v>0</v>
      </c>
      <c r="D52" s="3"/>
      <c r="E52" s="3">
        <f>VLOOKUP($B52,Tableau1456[[Circuit ES/EC/EG - actionneurs]:[Distance moyenne armoire (m)]],2,0)</f>
        <v>0</v>
      </c>
      <c r="F52" s="3"/>
    </row>
    <row r="53" spans="1:6" x14ac:dyDescent="0.25">
      <c r="A53" s="12">
        <v>62</v>
      </c>
      <c r="B53" s="11" t="s">
        <v>4</v>
      </c>
      <c r="C53" s="3"/>
      <c r="D53" s="3"/>
      <c r="E53" s="3"/>
      <c r="F53" s="3">
        <f>VLOOKUP($B53,Tableau1456[[Circuit ES/EC/EG - actionneurs]:[Distance moyenne armoire (m)]],4,0)</f>
        <v>0</v>
      </c>
    </row>
    <row r="54" spans="1:6" x14ac:dyDescent="0.25">
      <c r="A54" s="12">
        <v>63</v>
      </c>
      <c r="B54" s="2"/>
      <c r="C54" s="3"/>
      <c r="D54" s="3"/>
      <c r="E54" s="3"/>
      <c r="F54" s="3"/>
    </row>
    <row r="55" spans="1:6" x14ac:dyDescent="0.25">
      <c r="A55" s="12">
        <v>64</v>
      </c>
      <c r="B55" s="2"/>
      <c r="C55" s="3" t="s">
        <v>94</v>
      </c>
      <c r="D55" s="3" t="s">
        <v>95</v>
      </c>
      <c r="E55" s="3" t="s">
        <v>96</v>
      </c>
      <c r="F55" s="3" t="s">
        <v>97</v>
      </c>
    </row>
    <row r="56" spans="1:6" x14ac:dyDescent="0.25">
      <c r="A56" s="12">
        <v>65</v>
      </c>
      <c r="B56" s="2" t="s">
        <v>98</v>
      </c>
      <c r="C56" s="3">
        <f>SUM(C4:C54)</f>
        <v>3</v>
      </c>
      <c r="D56" s="3">
        <f>SUM(D4:D54)</f>
        <v>0</v>
      </c>
      <c r="E56" s="3">
        <f>SUM(E4:E54)</f>
        <v>5</v>
      </c>
      <c r="F56" s="3">
        <f>SUM(F4:F54)</f>
        <v>0</v>
      </c>
    </row>
    <row r="58" spans="1:6" ht="30" x14ac:dyDescent="0.25">
      <c r="B58" s="40"/>
      <c r="C58" s="78" t="s">
        <v>113</v>
      </c>
      <c r="D58" s="84">
        <v>0.3</v>
      </c>
      <c r="E58" s="29" t="s">
        <v>122</v>
      </c>
      <c r="F58" s="81" t="s">
        <v>124</v>
      </c>
    </row>
    <row r="59" spans="1:6" x14ac:dyDescent="0.25">
      <c r="B59" s="76" t="s">
        <v>109</v>
      </c>
      <c r="C59" s="78">
        <f>C56</f>
        <v>3</v>
      </c>
      <c r="D59" s="78">
        <f>ROUND(C59*(1+D$58),0)</f>
        <v>4</v>
      </c>
      <c r="E59" s="29">
        <f>D65*16</f>
        <v>16</v>
      </c>
      <c r="F59" s="82">
        <f>E59/C59-1</f>
        <v>4.333333333333333</v>
      </c>
    </row>
    <row r="60" spans="1:6" x14ac:dyDescent="0.25">
      <c r="B60" s="76" t="s">
        <v>110</v>
      </c>
      <c r="C60" s="78">
        <f>E56</f>
        <v>5</v>
      </c>
      <c r="D60" s="78">
        <f>ROUND(C60*(1+D$58),0)</f>
        <v>7</v>
      </c>
      <c r="E60" s="29">
        <f>D66*8</f>
        <v>8</v>
      </c>
      <c r="F60" s="82">
        <f t="shared" ref="F60:F62" si="0">E60/C60-1</f>
        <v>0.60000000000000009</v>
      </c>
    </row>
    <row r="61" spans="1:6" x14ac:dyDescent="0.25">
      <c r="B61" s="76" t="s">
        <v>111</v>
      </c>
      <c r="C61" s="78">
        <f>D56</f>
        <v>0</v>
      </c>
      <c r="D61" s="78">
        <f>ROUND(C61*(1+D$58),0)</f>
        <v>0</v>
      </c>
      <c r="E61" s="29">
        <f>D67*8</f>
        <v>0</v>
      </c>
      <c r="F61" s="82" t="e">
        <f t="shared" si="0"/>
        <v>#DIV/0!</v>
      </c>
    </row>
    <row r="62" spans="1:6" x14ac:dyDescent="0.25">
      <c r="B62" s="76" t="s">
        <v>112</v>
      </c>
      <c r="C62" s="78">
        <f>F56</f>
        <v>0</v>
      </c>
      <c r="D62" s="78">
        <f>ROUND(C62*(1+D$58),0)</f>
        <v>0</v>
      </c>
      <c r="E62" s="29">
        <f>D68*4</f>
        <v>0</v>
      </c>
      <c r="F62" s="82" t="e">
        <f t="shared" si="0"/>
        <v>#DIV/0!</v>
      </c>
    </row>
    <row r="63" spans="1:6" x14ac:dyDescent="0.25">
      <c r="B63" s="40"/>
      <c r="C63" s="79"/>
      <c r="D63" s="79"/>
      <c r="E63" s="80"/>
      <c r="F63" s="25"/>
    </row>
    <row r="64" spans="1:6" x14ac:dyDescent="0.25">
      <c r="C64" s="1" t="s">
        <v>125</v>
      </c>
      <c r="D64" s="1" t="s">
        <v>126</v>
      </c>
    </row>
    <row r="65" spans="2:6" x14ac:dyDescent="0.25">
      <c r="B65" s="41" t="s">
        <v>114</v>
      </c>
      <c r="C65" s="57">
        <f>D59/16</f>
        <v>0.25</v>
      </c>
      <c r="D65" s="83">
        <f>ROUNDUP(C65,0)</f>
        <v>1</v>
      </c>
      <c r="E65"/>
      <c r="F65"/>
    </row>
    <row r="66" spans="2:6" x14ac:dyDescent="0.25">
      <c r="B66" s="41" t="s">
        <v>115</v>
      </c>
      <c r="C66" s="57">
        <f>D60/8</f>
        <v>0.875</v>
      </c>
      <c r="D66" s="83">
        <f>ROUNDUP(C66,0)</f>
        <v>1</v>
      </c>
      <c r="E66"/>
      <c r="F66"/>
    </row>
    <row r="67" spans="2:6" x14ac:dyDescent="0.25">
      <c r="B67" s="41" t="s">
        <v>116</v>
      </c>
      <c r="C67" s="57">
        <f>D61/8</f>
        <v>0</v>
      </c>
      <c r="D67" s="83">
        <f>ROUNDUP(C67,0)</f>
        <v>0</v>
      </c>
      <c r="E67"/>
      <c r="F67"/>
    </row>
    <row r="68" spans="2:6" x14ac:dyDescent="0.25">
      <c r="B68" s="41" t="s">
        <v>117</v>
      </c>
      <c r="C68" s="57">
        <f>D62/4</f>
        <v>0</v>
      </c>
      <c r="D68" s="83">
        <f>ROUNDUP(C68,0)</f>
        <v>0</v>
      </c>
      <c r="E68"/>
      <c r="F68"/>
    </row>
    <row r="70" spans="2:6" x14ac:dyDescent="0.25">
      <c r="B70" s="56" t="s">
        <v>14</v>
      </c>
      <c r="C70" s="1" t="s">
        <v>12</v>
      </c>
      <c r="D70" s="1" t="s">
        <v>130</v>
      </c>
      <c r="E70" s="1" t="s">
        <v>119</v>
      </c>
    </row>
    <row r="71" spans="2:6" x14ac:dyDescent="0.25">
      <c r="B71" s="53" t="s">
        <v>58</v>
      </c>
      <c r="C71" s="12">
        <v>1</v>
      </c>
      <c r="D71" s="85">
        <f>VLOOKUP(B71,Tableau6[[Désignation]:[Prix DQE]],8,0)</f>
        <v>1484.5889999999999</v>
      </c>
      <c r="E71" s="55">
        <f>C71*D71</f>
        <v>1484.5889999999999</v>
      </c>
      <c r="F71" s="58"/>
    </row>
    <row r="72" spans="2:6" x14ac:dyDescent="0.25">
      <c r="B72" s="53" t="s">
        <v>64</v>
      </c>
      <c r="C72" s="14">
        <v>1</v>
      </c>
      <c r="D72" s="85">
        <f>VLOOKUP(B72,Tableau6[[Désignation]:[Prix DQE]],8,0)</f>
        <v>22.372</v>
      </c>
      <c r="E72" s="55">
        <f t="shared" ref="E72:E84" si="1">C72*D72</f>
        <v>22.372</v>
      </c>
      <c r="F72" s="58"/>
    </row>
    <row r="73" spans="2:6" x14ac:dyDescent="0.25">
      <c r="B73" s="53" t="s">
        <v>61</v>
      </c>
      <c r="C73" s="14">
        <v>1</v>
      </c>
      <c r="D73" s="85">
        <f>VLOOKUP(B73,Tableau6[[Désignation]:[Prix DQE]],8,0)</f>
        <v>11.186</v>
      </c>
      <c r="E73" s="55">
        <f t="shared" si="1"/>
        <v>11.186</v>
      </c>
      <c r="F73" s="58"/>
    </row>
    <row r="74" spans="2:6" x14ac:dyDescent="0.25">
      <c r="B74" s="53" t="s">
        <v>62</v>
      </c>
      <c r="C74" s="14">
        <v>1</v>
      </c>
      <c r="D74" s="85">
        <f>VLOOKUP(B74,Tableau6[[Désignation]:[Prix DQE]],8,0)</f>
        <v>179.07</v>
      </c>
      <c r="E74" s="55">
        <f t="shared" si="1"/>
        <v>179.07</v>
      </c>
      <c r="F74" s="58"/>
    </row>
    <row r="75" spans="2:6" x14ac:dyDescent="0.25">
      <c r="B75" s="53" t="s">
        <v>63</v>
      </c>
      <c r="C75" s="14">
        <v>1</v>
      </c>
      <c r="D75" s="85">
        <f>VLOOKUP(B75,Tableau6[[Désignation]:[Prix DQE]],8,0)</f>
        <v>55.93</v>
      </c>
      <c r="E75" s="55">
        <f t="shared" si="1"/>
        <v>55.93</v>
      </c>
      <c r="F75" s="58"/>
    </row>
    <row r="76" spans="2:6" x14ac:dyDescent="0.25">
      <c r="B76" s="53" t="s">
        <v>129</v>
      </c>
      <c r="C76" s="91">
        <v>0</v>
      </c>
      <c r="D76" s="90">
        <v>0</v>
      </c>
      <c r="E76" s="55">
        <f t="shared" si="1"/>
        <v>0</v>
      </c>
      <c r="F76" s="58"/>
    </row>
    <row r="77" spans="2:6" x14ac:dyDescent="0.25">
      <c r="B77" s="53" t="s">
        <v>70</v>
      </c>
      <c r="C77" s="14">
        <f>IF(SUM(D65:D68)+1+C76&lt;4,0,ROUNDUP((SUM(D65:D68)+1+C76-4)/4,0))</f>
        <v>0</v>
      </c>
      <c r="D77" s="85">
        <f>VLOOKUP(B77,Tableau6[[Désignation]:[Prix DQE]],8,0)</f>
        <v>179.07</v>
      </c>
      <c r="E77" s="55">
        <f t="shared" si="1"/>
        <v>0</v>
      </c>
      <c r="F77" s="58"/>
    </row>
    <row r="78" spans="2:6" x14ac:dyDescent="0.25">
      <c r="B78" s="53" t="s">
        <v>71</v>
      </c>
      <c r="C78" s="14">
        <f>C77</f>
        <v>0</v>
      </c>
      <c r="D78" s="85">
        <f>VLOOKUP(B78,Tableau6[[Désignation]:[Prix DQE]],8,0)</f>
        <v>40.278999999999996</v>
      </c>
      <c r="E78" s="55">
        <f t="shared" si="1"/>
        <v>0</v>
      </c>
      <c r="F78" s="58"/>
    </row>
    <row r="79" spans="2:6" x14ac:dyDescent="0.25">
      <c r="B79" s="53" t="s">
        <v>77</v>
      </c>
      <c r="C79" s="14">
        <f>D65</f>
        <v>1</v>
      </c>
      <c r="D79" s="85">
        <f>VLOOKUP(B79,Tableau6[[Désignation]:[Prix DQE]],8,0)</f>
        <v>125.34899999999999</v>
      </c>
      <c r="E79" s="55">
        <f t="shared" si="1"/>
        <v>125.34899999999999</v>
      </c>
      <c r="F79" s="58"/>
    </row>
    <row r="80" spans="2:6" x14ac:dyDescent="0.25">
      <c r="B80" s="53" t="s">
        <v>78</v>
      </c>
      <c r="C80" s="14">
        <f t="shared" ref="C80:C82" si="2">D66</f>
        <v>1</v>
      </c>
      <c r="D80" s="85">
        <f>VLOOKUP(B80,Tableau6[[Désignation]:[Prix DQE]],8,0)</f>
        <v>135.03100000000001</v>
      </c>
      <c r="E80" s="55">
        <f t="shared" si="1"/>
        <v>135.03100000000001</v>
      </c>
      <c r="F80" s="58"/>
    </row>
    <row r="81" spans="2:6" x14ac:dyDescent="0.25">
      <c r="B81" s="53" t="s">
        <v>80</v>
      </c>
      <c r="C81" s="14">
        <f t="shared" si="2"/>
        <v>0</v>
      </c>
      <c r="D81" s="85">
        <f>VLOOKUP(B81,Tableau6[[Désignation]:[Prix DQE]],8,0)</f>
        <v>296.899</v>
      </c>
      <c r="E81" s="55">
        <f t="shared" si="1"/>
        <v>0</v>
      </c>
      <c r="F81" s="58"/>
    </row>
    <row r="82" spans="2:6" x14ac:dyDescent="0.25">
      <c r="B82" s="53" t="s">
        <v>79</v>
      </c>
      <c r="C82" s="14">
        <f t="shared" si="2"/>
        <v>0</v>
      </c>
      <c r="D82" s="85">
        <f>VLOOKUP(B82,Tableau6[[Désignation]:[Prix DQE]],8,0)</f>
        <v>276.03099999999995</v>
      </c>
      <c r="E82" s="55">
        <f t="shared" si="1"/>
        <v>0</v>
      </c>
      <c r="F82" s="58"/>
    </row>
    <row r="83" spans="2:6" x14ac:dyDescent="0.25">
      <c r="B83" s="53" t="s">
        <v>90</v>
      </c>
      <c r="C83" s="14">
        <f>IF(SUM(C79:C82)+C76&lt;4,4-SUM(C79:C82)+C76,(4+C77*4)-C79-C80-C81-C82+1-C76)</f>
        <v>2</v>
      </c>
      <c r="D83" s="85">
        <f>VLOOKUP(B83,Tableau6[[Désignation]:[Prix DQE]],8,0)</f>
        <v>10.433999999999999</v>
      </c>
      <c r="E83" s="55">
        <f t="shared" si="1"/>
        <v>20.867999999999999</v>
      </c>
      <c r="F83" s="58"/>
    </row>
    <row r="84" spans="2:6" x14ac:dyDescent="0.25">
      <c r="B84" s="41" t="s">
        <v>118</v>
      </c>
      <c r="C84" s="14">
        <v>1</v>
      </c>
      <c r="D84" s="85">
        <f>VLOOKUP(B84,Tableau6[[Désignation]:[Prix DQE]],8,0)</f>
        <v>1547.992</v>
      </c>
      <c r="E84" s="55">
        <f t="shared" si="1"/>
        <v>1547.992</v>
      </c>
      <c r="F84" s="58"/>
    </row>
    <row r="85" spans="2:6" x14ac:dyDescent="0.25">
      <c r="B85" s="89" t="s">
        <v>120</v>
      </c>
      <c r="C85" s="89"/>
      <c r="D85" s="92"/>
      <c r="E85" s="93">
        <f>SUM(E71:E84)</f>
        <v>3582.3869999999997</v>
      </c>
      <c r="F85" s="59"/>
    </row>
  </sheetData>
  <mergeCells count="3">
    <mergeCell ref="C2:F2"/>
    <mergeCell ref="B2:B3"/>
    <mergeCell ref="A2:A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3"/>
  <sheetViews>
    <sheetView workbookViewId="0">
      <selection activeCell="C24" sqref="C24"/>
    </sheetView>
  </sheetViews>
  <sheetFormatPr baseColWidth="10" defaultRowHeight="15" x14ac:dyDescent="0.25"/>
  <cols>
    <col min="2" max="2" width="46.28515625" bestFit="1" customWidth="1"/>
  </cols>
  <sheetData>
    <row r="2" spans="2:3" x14ac:dyDescent="0.25">
      <c r="B2" t="s">
        <v>14</v>
      </c>
      <c r="C2" t="s">
        <v>12</v>
      </c>
    </row>
    <row r="3" spans="2:3" x14ac:dyDescent="0.25">
      <c r="B3" s="11" t="s">
        <v>142</v>
      </c>
      <c r="C3">
        <f>Tableau1[[#This Row],[-20°C + 80°C
0 + 1000 Pa]]</f>
        <v>0</v>
      </c>
    </row>
    <row r="4" spans="2:3" x14ac:dyDescent="0.25">
      <c r="B4" s="11" t="s">
        <v>143</v>
      </c>
      <c r="C4">
        <f>Tableau1[[#This Row],[0°C + 50°C
0 + 100 Pa
0 - 100%
0 - 2000ppm
Pas de plage]]</f>
        <v>0</v>
      </c>
    </row>
    <row r="5" spans="2:3" x14ac:dyDescent="0.25">
      <c r="B5" s="11" t="s">
        <v>131</v>
      </c>
      <c r="C5">
        <f>Tableau1[[#This Row],[0°C + 50°C
0 + 100 Pa
0 - 100%
0 - 2000ppm
Pas de plage]]</f>
        <v>0</v>
      </c>
    </row>
    <row r="6" spans="2:3" x14ac:dyDescent="0.25">
      <c r="B6" s="11" t="s">
        <v>132</v>
      </c>
      <c r="C6">
        <f>Tableau1[[#This Row],[0°C + 50°C
0 + 100 Pa
0 - 100%
0 - 2000ppm
Pas de plage]]</f>
        <v>0</v>
      </c>
    </row>
    <row r="7" spans="2:3" x14ac:dyDescent="0.25">
      <c r="B7" s="11" t="s">
        <v>144</v>
      </c>
      <c r="C7">
        <f>Tableau1[[#This Row],[0°C + 50°C
0 + 100 Pa
0 - 100%
0 - 2000ppm
Pas de plage]]</f>
        <v>0</v>
      </c>
    </row>
    <row r="8" spans="2:3" x14ac:dyDescent="0.25">
      <c r="B8" s="11" t="s">
        <v>15</v>
      </c>
      <c r="C8">
        <f>Tableau1[[#This Row],[-20°C + 80°C
0 + 1000 Pa]]</f>
        <v>0</v>
      </c>
    </row>
    <row r="9" spans="2:3" x14ac:dyDescent="0.25">
      <c r="B9" s="11" t="s">
        <v>16</v>
      </c>
      <c r="C9">
        <f>Tableau1[[#This Row],[-20°C + 80°C
0 + 1000 Pa]]</f>
        <v>0</v>
      </c>
    </row>
    <row r="10" spans="2:3" x14ac:dyDescent="0.25">
      <c r="B10" s="53" t="s">
        <v>89</v>
      </c>
      <c r="C10">
        <f>Tableau1[[#This Row],[0°C + 50°C
0 + 100 Pa
0 - 100%
0 - 2000ppm
Pas de plage]]</f>
        <v>0</v>
      </c>
    </row>
    <row r="11" spans="2:3" x14ac:dyDescent="0.25">
      <c r="B11" s="53" t="s">
        <v>87</v>
      </c>
      <c r="C11">
        <f>'A remplir'!D10</f>
        <v>0</v>
      </c>
    </row>
    <row r="12" spans="2:3" x14ac:dyDescent="0.25">
      <c r="B12" s="53" t="s">
        <v>88</v>
      </c>
      <c r="C12">
        <f>'A remplir'!E10</f>
        <v>0</v>
      </c>
    </row>
    <row r="13" spans="2:3" x14ac:dyDescent="0.25">
      <c r="B13" s="53"/>
    </row>
    <row r="14" spans="2:3" x14ac:dyDescent="0.25">
      <c r="B14" s="11" t="s">
        <v>17</v>
      </c>
      <c r="C14">
        <f>'A remplir'!C11</f>
        <v>0</v>
      </c>
    </row>
    <row r="15" spans="2:3" x14ac:dyDescent="0.25">
      <c r="B15" s="11" t="s">
        <v>2</v>
      </c>
      <c r="C15">
        <f>'A remplir'!C12</f>
        <v>0</v>
      </c>
    </row>
    <row r="16" spans="2:3" x14ac:dyDescent="0.25">
      <c r="B16" s="11" t="s">
        <v>8</v>
      </c>
      <c r="C16">
        <f>'A remplir'!C13</f>
        <v>0</v>
      </c>
    </row>
    <row r="17" spans="2:3" x14ac:dyDescent="0.25">
      <c r="B17" s="11" t="s">
        <v>18</v>
      </c>
      <c r="C17">
        <f>'A remplir'!C14</f>
        <v>0</v>
      </c>
    </row>
    <row r="18" spans="2:3" x14ac:dyDescent="0.25">
      <c r="B18" s="11" t="s">
        <v>19</v>
      </c>
      <c r="C18">
        <f>'A remplir'!C15</f>
        <v>0</v>
      </c>
    </row>
    <row r="19" spans="2:3" x14ac:dyDescent="0.25">
      <c r="B19" s="11" t="s">
        <v>20</v>
      </c>
      <c r="C19">
        <f>'A remplir'!C16</f>
        <v>0</v>
      </c>
    </row>
    <row r="20" spans="2:3" x14ac:dyDescent="0.25">
      <c r="B20" s="11" t="s">
        <v>11</v>
      </c>
      <c r="C20">
        <f>'A remplir'!E17</f>
        <v>0</v>
      </c>
    </row>
    <row r="21" spans="2:3" x14ac:dyDescent="0.25">
      <c r="B21" s="88" t="s">
        <v>145</v>
      </c>
      <c r="C21">
        <f>'A remplir'!C18</f>
        <v>0</v>
      </c>
    </row>
    <row r="22" spans="2:3" x14ac:dyDescent="0.25">
      <c r="B22" s="88" t="s">
        <v>146</v>
      </c>
      <c r="C22">
        <f>'A remplir'!D18</f>
        <v>0</v>
      </c>
    </row>
    <row r="23" spans="2:3" x14ac:dyDescent="0.25">
      <c r="B23" s="88" t="s">
        <v>147</v>
      </c>
      <c r="C23">
        <f>'A remplir'!E18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>
      <selection activeCell="E9" sqref="E9"/>
    </sheetView>
  </sheetViews>
  <sheetFormatPr baseColWidth="10" defaultRowHeight="15" x14ac:dyDescent="0.25"/>
  <cols>
    <col min="2" max="2" width="13.7109375" bestFit="1" customWidth="1"/>
    <col min="3" max="3" width="16.140625" bestFit="1" customWidth="1"/>
    <col min="4" max="4" width="50" customWidth="1"/>
  </cols>
  <sheetData>
    <row r="2" spans="2:8" x14ac:dyDescent="0.25">
      <c r="B2" s="56" t="s">
        <v>50</v>
      </c>
      <c r="C2" s="56" t="s">
        <v>49</v>
      </c>
      <c r="D2" s="56" t="s">
        <v>141</v>
      </c>
      <c r="E2" s="1" t="s">
        <v>12</v>
      </c>
      <c r="F2" s="1" t="s">
        <v>130</v>
      </c>
      <c r="G2" s="1" t="s">
        <v>119</v>
      </c>
      <c r="H2" s="1" t="s">
        <v>26</v>
      </c>
    </row>
    <row r="3" spans="2:8" x14ac:dyDescent="0.25">
      <c r="B3" s="53" t="str">
        <f>VLOOKUP(Tableau810[[#This Row],[Désignation2]],Tableau6[[Désignation]:[Prix DQE]],2,0)</f>
        <v>SAIA</v>
      </c>
      <c r="C3" s="53" t="str">
        <f>VLOOKUP(Tableau810[[#This Row],[Désignation2]],Tableau6[[Désignation]:[Prix DQE]],3,0)</f>
        <v>PCD3.M5340</v>
      </c>
      <c r="D3" s="53" t="s">
        <v>58</v>
      </c>
      <c r="E3" s="14">
        <f>'Calcul automatisme'!C71</f>
        <v>1</v>
      </c>
      <c r="F3" s="85">
        <f>VLOOKUP(D3,Tableau6[[Désignation]:[Prix DQE]],8,0)</f>
        <v>1484.5889999999999</v>
      </c>
      <c r="G3" s="55">
        <f>E3*F3</f>
        <v>1484.5889999999999</v>
      </c>
      <c r="H3">
        <f>IF(Tableau810[[#This Row],[Nombre]]&gt;0,1,0)</f>
        <v>1</v>
      </c>
    </row>
    <row r="4" spans="2:8" x14ac:dyDescent="0.25">
      <c r="B4" s="53" t="str">
        <f>VLOOKUP(Tableau810[[#This Row],[Désignation2]],Tableau6[[Désignation]:[Prix DQE]],2,0)</f>
        <v>SAIA</v>
      </c>
      <c r="C4" s="53" t="str">
        <f>VLOOKUP(Tableau810[[#This Row],[Désignation2]],Tableau6[[Désignation]:[Prix DQE]],3,0)</f>
        <v>4 639 4898 0</v>
      </c>
      <c r="D4" s="53" t="s">
        <v>64</v>
      </c>
      <c r="E4" s="14">
        <f>'Calcul automatisme'!C72</f>
        <v>1</v>
      </c>
      <c r="F4" s="85">
        <f>VLOOKUP(D4,Tableau6[[Désignation]:[Prix DQE]],8,0)</f>
        <v>22.372</v>
      </c>
      <c r="G4" s="55">
        <f t="shared" ref="G4:G16" si="0">E4*F4</f>
        <v>22.372</v>
      </c>
      <c r="H4">
        <f>IF(Tableau810[[#This Row],[Nombre]]&gt;0,1,0)</f>
        <v>1</v>
      </c>
    </row>
    <row r="5" spans="2:8" x14ac:dyDescent="0.25">
      <c r="B5" s="53" t="str">
        <f>VLOOKUP(Tableau810[[#This Row],[Désignation2]],Tableau6[[Désignation]:[Prix DQE]],2,0)</f>
        <v>SAIA</v>
      </c>
      <c r="C5" s="53" t="str">
        <f>VLOOKUP(Tableau810[[#This Row],[Désignation2]],Tableau6[[Désignation]:[Prix DQE]],3,0)</f>
        <v>4 507 4817 0</v>
      </c>
      <c r="D5" s="53" t="s">
        <v>61</v>
      </c>
      <c r="E5" s="14">
        <f>'Calcul automatisme'!C73</f>
        <v>1</v>
      </c>
      <c r="F5" s="85">
        <f>VLOOKUP(D5,Tableau6[[Désignation]:[Prix DQE]],8,0)</f>
        <v>11.186</v>
      </c>
      <c r="G5" s="55">
        <f t="shared" si="0"/>
        <v>11.186</v>
      </c>
      <c r="H5">
        <f>IF(Tableau810[[#This Row],[Nombre]]&gt;0,1,0)</f>
        <v>1</v>
      </c>
    </row>
    <row r="6" spans="2:8" x14ac:dyDescent="0.25">
      <c r="B6" s="53" t="str">
        <f>VLOOKUP(Tableau810[[#This Row],[Désignation2]],Tableau6[[Désignation]:[Prix DQE]],2,0)</f>
        <v>SAIA</v>
      </c>
      <c r="C6" s="53" t="str">
        <f>VLOOKUP(Tableau810[[#This Row],[Désignation2]],Tableau6[[Désignation]:[Prix DQE]],3,0)</f>
        <v>PCD7.R610</v>
      </c>
      <c r="D6" s="53" t="s">
        <v>62</v>
      </c>
      <c r="E6" s="14">
        <f>'Calcul automatisme'!C74</f>
        <v>1</v>
      </c>
      <c r="F6" s="85">
        <f>VLOOKUP(D6,Tableau6[[Désignation]:[Prix DQE]],8,0)</f>
        <v>179.07</v>
      </c>
      <c r="G6" s="55">
        <f t="shared" si="0"/>
        <v>179.07</v>
      </c>
      <c r="H6">
        <f>IF(Tableau810[[#This Row],[Nombre]]&gt;0,1,0)</f>
        <v>1</v>
      </c>
    </row>
    <row r="7" spans="2:8" x14ac:dyDescent="0.25">
      <c r="B7" s="53" t="str">
        <f>VLOOKUP(Tableau810[[#This Row],[Désignation2]],Tableau6[[Désignation]:[Prix DQE]],2,0)</f>
        <v>SAIA</v>
      </c>
      <c r="C7" s="53" t="str">
        <f>VLOOKUP(Tableau810[[#This Row],[Désignation2]],Tableau6[[Désignation]:[Prix DQE]],3,0)</f>
        <v>PCD7.R-MSD1024</v>
      </c>
      <c r="D7" s="53" t="s">
        <v>63</v>
      </c>
      <c r="E7" s="14">
        <f>'Calcul automatisme'!C75</f>
        <v>1</v>
      </c>
      <c r="F7" s="85">
        <f>VLOOKUP(D7,Tableau6[[Désignation]:[Prix DQE]],8,0)</f>
        <v>55.93</v>
      </c>
      <c r="G7" s="55">
        <f t="shared" si="0"/>
        <v>55.93</v>
      </c>
      <c r="H7">
        <f>IF(Tableau810[[#This Row],[Nombre]]&gt;0,1,0)</f>
        <v>1</v>
      </c>
    </row>
    <row r="8" spans="2:8" x14ac:dyDescent="0.25">
      <c r="B8" s="53" t="str">
        <f>VLOOKUP(Tableau810[[#This Row],[Désignation2]],Tableau6[[Désignation]:[Prix DQE]],2,0)</f>
        <v>SAIA</v>
      </c>
      <c r="C8" s="53">
        <f>VLOOKUP(Tableau810[[#This Row],[Désignation2]],Tableau6[[Désignation]:[Prix DQE]],3,0)</f>
        <v>0</v>
      </c>
      <c r="D8" s="53" t="s">
        <v>129</v>
      </c>
      <c r="E8" s="14">
        <f>'Calcul automatisme'!C76</f>
        <v>0</v>
      </c>
      <c r="F8" s="85">
        <f>VLOOKUP(D8,Tableau6[[Désignation]:[Prix DQE]],8,0)</f>
        <v>0</v>
      </c>
      <c r="G8" s="55">
        <f t="shared" si="0"/>
        <v>0</v>
      </c>
      <c r="H8">
        <f>IF(Tableau810[[#This Row],[Nombre]]&gt;0,1,0)</f>
        <v>0</v>
      </c>
    </row>
    <row r="9" spans="2:8" x14ac:dyDescent="0.25">
      <c r="B9" s="53" t="str">
        <f>VLOOKUP(Tableau810[[#This Row],[Désignation2]],Tableau6[[Désignation]:[Prix DQE]],2,0)</f>
        <v>SAIA</v>
      </c>
      <c r="C9" s="53" t="str">
        <f>VLOOKUP(Tableau810[[#This Row],[Désignation2]],Tableau6[[Désignation]:[Prix DQE]],3,0)</f>
        <v>PCD3.C200</v>
      </c>
      <c r="D9" s="53" t="s">
        <v>70</v>
      </c>
      <c r="E9" s="14">
        <f>'Calcul automatisme'!C77</f>
        <v>0</v>
      </c>
      <c r="F9" s="85">
        <f>VLOOKUP(D9,Tableau6[[Désignation]:[Prix DQE]],8,0)</f>
        <v>179.07</v>
      </c>
      <c r="G9" s="55">
        <f t="shared" si="0"/>
        <v>0</v>
      </c>
      <c r="H9">
        <f>IF(Tableau810[[#This Row],[Nombre]]&gt;0,1,0)</f>
        <v>0</v>
      </c>
    </row>
    <row r="10" spans="2:8" x14ac:dyDescent="0.25">
      <c r="B10" s="53" t="str">
        <f>VLOOKUP(Tableau810[[#This Row],[Désignation2]],Tableau6[[Désignation]:[Prix DQE]],2,0)</f>
        <v>SAIA</v>
      </c>
      <c r="C10" s="53" t="str">
        <f>VLOOKUP(Tableau810[[#This Row],[Désignation2]],Tableau6[[Désignation]:[Prix DQE]],3,0)</f>
        <v>PCD3.K010</v>
      </c>
      <c r="D10" s="53" t="s">
        <v>71</v>
      </c>
      <c r="E10" s="14">
        <f>'Calcul automatisme'!C78</f>
        <v>0</v>
      </c>
      <c r="F10" s="85">
        <f>VLOOKUP(D10,Tableau6[[Désignation]:[Prix DQE]],8,0)</f>
        <v>40.278999999999996</v>
      </c>
      <c r="G10" s="55">
        <f t="shared" si="0"/>
        <v>0</v>
      </c>
      <c r="H10">
        <f>IF(Tableau810[[#This Row],[Nombre]]&gt;0,1,0)</f>
        <v>0</v>
      </c>
    </row>
    <row r="11" spans="2:8" x14ac:dyDescent="0.25">
      <c r="B11" s="53" t="str">
        <f>VLOOKUP(Tableau810[[#This Row],[Désignation2]],Tableau6[[Désignation]:[Prix DQE]],2,0)</f>
        <v>SAIA</v>
      </c>
      <c r="C11" s="53" t="str">
        <f>VLOOKUP(Tableau810[[#This Row],[Désignation2]],Tableau6[[Désignation]:[Prix DQE]],3,0)</f>
        <v>PCD3.E165</v>
      </c>
      <c r="D11" s="53" t="s">
        <v>77</v>
      </c>
      <c r="E11" s="14">
        <f>'Calcul automatisme'!C79</f>
        <v>1</v>
      </c>
      <c r="F11" s="85">
        <f>VLOOKUP(D11,Tableau6[[Désignation]:[Prix DQE]],8,0)</f>
        <v>125.34899999999999</v>
      </c>
      <c r="G11" s="55">
        <f t="shared" si="0"/>
        <v>125.34899999999999</v>
      </c>
      <c r="H11">
        <f>IF(Tableau810[[#This Row],[Nombre]]&gt;0,1,0)</f>
        <v>1</v>
      </c>
    </row>
    <row r="12" spans="2:8" x14ac:dyDescent="0.25">
      <c r="B12" s="53" t="str">
        <f>VLOOKUP(Tableau810[[#This Row],[Désignation2]],Tableau6[[Désignation]:[Prix DQE]],2,0)</f>
        <v>SAIA</v>
      </c>
      <c r="C12" s="53" t="str">
        <f>VLOOKUP(Tableau810[[#This Row],[Désignation2]],Tableau6[[Désignation]:[Prix DQE]],3,0)</f>
        <v>PCD3.A251</v>
      </c>
      <c r="D12" s="53" t="s">
        <v>78</v>
      </c>
      <c r="E12" s="14">
        <f>'Calcul automatisme'!C80</f>
        <v>1</v>
      </c>
      <c r="F12" s="85">
        <f>VLOOKUP(D12,Tableau6[[Désignation]:[Prix DQE]],8,0)</f>
        <v>135.03100000000001</v>
      </c>
      <c r="G12" s="55">
        <f t="shared" si="0"/>
        <v>135.03100000000001</v>
      </c>
      <c r="H12">
        <f>IF(Tableau810[[#This Row],[Nombre]]&gt;0,1,0)</f>
        <v>1</v>
      </c>
    </row>
    <row r="13" spans="2:8" x14ac:dyDescent="0.25">
      <c r="B13" s="53" t="str">
        <f>VLOOKUP(Tableau810[[#This Row],[Désignation2]],Tableau6[[Désignation]:[Prix DQE]],2,0)</f>
        <v>SAIA</v>
      </c>
      <c r="C13" s="53" t="str">
        <f>VLOOKUP(Tableau810[[#This Row],[Désignation2]],Tableau6[[Désignation]:[Prix DQE]],3,0)</f>
        <v>PCD3.W340</v>
      </c>
      <c r="D13" s="53" t="s">
        <v>80</v>
      </c>
      <c r="E13" s="14">
        <f>'Calcul automatisme'!C81</f>
        <v>0</v>
      </c>
      <c r="F13" s="85">
        <f>VLOOKUP(D13,Tableau6[[Désignation]:[Prix DQE]],8,0)</f>
        <v>296.899</v>
      </c>
      <c r="G13" s="55">
        <f t="shared" si="0"/>
        <v>0</v>
      </c>
      <c r="H13">
        <f>IF(Tableau810[[#This Row],[Nombre]]&gt;0,1,0)</f>
        <v>0</v>
      </c>
    </row>
    <row r="14" spans="2:8" x14ac:dyDescent="0.25">
      <c r="B14" s="53" t="str">
        <f>VLOOKUP(Tableau810[[#This Row],[Désignation2]],Tableau6[[Désignation]:[Prix DQE]],2,0)</f>
        <v>SAIA</v>
      </c>
      <c r="C14" s="53" t="str">
        <f>VLOOKUP(Tableau810[[#This Row],[Désignation2]],Tableau6[[Désignation]:[Prix DQE]],3,0)</f>
        <v>PCD3.W410</v>
      </c>
      <c r="D14" s="53" t="s">
        <v>79</v>
      </c>
      <c r="E14" s="14">
        <f>'Calcul automatisme'!C82</f>
        <v>0</v>
      </c>
      <c r="F14" s="85">
        <f>VLOOKUP(D14,Tableau6[[Désignation]:[Prix DQE]],8,0)</f>
        <v>276.03099999999995</v>
      </c>
      <c r="G14" s="55">
        <f t="shared" si="0"/>
        <v>0</v>
      </c>
      <c r="H14">
        <f>IF(Tableau810[[#This Row],[Nombre]]&gt;0,1,0)</f>
        <v>0</v>
      </c>
    </row>
    <row r="15" spans="2:8" x14ac:dyDescent="0.25">
      <c r="B15" s="53" t="str">
        <f>VLOOKUP(Tableau810[[#This Row],[Désignation2]],Tableau6[[Désignation]:[Prix DQE]],2,0)</f>
        <v>SAIA</v>
      </c>
      <c r="C15" s="53" t="str">
        <f>VLOOKUP(Tableau810[[#This Row],[Désignation2]],Tableau6[[Désignation]:[Prix DQE]],3,0)</f>
        <v>4 104 7515 0</v>
      </c>
      <c r="D15" s="53" t="s">
        <v>90</v>
      </c>
      <c r="E15" s="14">
        <f>'Calcul automatisme'!C83</f>
        <v>2</v>
      </c>
      <c r="F15" s="85">
        <f>VLOOKUP(D15,Tableau6[[Désignation]:[Prix DQE]],8,0)</f>
        <v>10.433999999999999</v>
      </c>
      <c r="G15" s="55">
        <f t="shared" si="0"/>
        <v>20.867999999999999</v>
      </c>
      <c r="H15">
        <f>IF(Tableau810[[#This Row],[Nombre]]&gt;0,1,0)</f>
        <v>1</v>
      </c>
    </row>
    <row r="16" spans="2:8" x14ac:dyDescent="0.25">
      <c r="B16" s="41" t="str">
        <f>VLOOKUP(Tableau810[[#This Row],[Désignation2]],Tableau6[[Désignation]:[Prix DQE]],2,0)</f>
        <v>SAIA</v>
      </c>
      <c r="C16" s="53" t="str">
        <f>VLOOKUP(Tableau810[[#This Row],[Désignation2]],Tableau6[[Désignation]:[Prix DQE]],3,0)</f>
        <v>PCD7.D421DTPF</v>
      </c>
      <c r="D16" s="41" t="s">
        <v>118</v>
      </c>
      <c r="E16" s="14">
        <f>'Calcul automatisme'!C84</f>
        <v>1</v>
      </c>
      <c r="F16" s="85">
        <f>VLOOKUP(D16,Tableau6[[Désignation]:[Prix DQE]],8,0)</f>
        <v>1547.992</v>
      </c>
      <c r="G16" s="55">
        <f t="shared" si="0"/>
        <v>1547.992</v>
      </c>
      <c r="H16">
        <f>IF(Tableau810[[#This Row],[Nombre]]&gt;0,1,0)</f>
        <v>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2"/>
  <sheetViews>
    <sheetView workbookViewId="0">
      <selection activeCell="C24" sqref="C24"/>
    </sheetView>
  </sheetViews>
  <sheetFormatPr baseColWidth="10" defaultRowHeight="15" x14ac:dyDescent="0.25"/>
  <cols>
    <col min="2" max="2" width="29" bestFit="1" customWidth="1"/>
    <col min="5" max="5" width="12.28515625" style="1" bestFit="1" customWidth="1"/>
  </cols>
  <sheetData>
    <row r="4" spans="2:6" x14ac:dyDescent="0.25">
      <c r="B4" s="94"/>
      <c r="C4" s="12" t="s">
        <v>136</v>
      </c>
      <c r="D4" s="12" t="s">
        <v>126</v>
      </c>
      <c r="E4" s="12" t="s">
        <v>137</v>
      </c>
    </row>
    <row r="5" spans="2:6" x14ac:dyDescent="0.25">
      <c r="B5" s="95" t="s">
        <v>109</v>
      </c>
      <c r="C5" s="54">
        <f>'Calcul automatisme'!C59</f>
        <v>3</v>
      </c>
      <c r="D5" s="54">
        <f>'Calcul automatisme'!E59</f>
        <v>16</v>
      </c>
      <c r="E5" s="96">
        <f>D5/C5-1</f>
        <v>4.333333333333333</v>
      </c>
    </row>
    <row r="6" spans="2:6" x14ac:dyDescent="0.25">
      <c r="B6" s="95" t="s">
        <v>110</v>
      </c>
      <c r="C6" s="54">
        <f>'Calcul automatisme'!C60</f>
        <v>5</v>
      </c>
      <c r="D6" s="54">
        <f>'Calcul automatisme'!E60</f>
        <v>8</v>
      </c>
      <c r="E6" s="96">
        <f t="shared" ref="E6:E8" si="0">D6/C6-1</f>
        <v>0.60000000000000009</v>
      </c>
    </row>
    <row r="7" spans="2:6" x14ac:dyDescent="0.25">
      <c r="B7" s="95" t="s">
        <v>111</v>
      </c>
      <c r="C7" s="54">
        <f>'Calcul automatisme'!C61</f>
        <v>0</v>
      </c>
      <c r="D7" s="54">
        <f>'Calcul automatisme'!E61</f>
        <v>0</v>
      </c>
      <c r="E7" s="96" t="e">
        <f t="shared" si="0"/>
        <v>#DIV/0!</v>
      </c>
    </row>
    <row r="8" spans="2:6" x14ac:dyDescent="0.25">
      <c r="B8" s="95" t="s">
        <v>112</v>
      </c>
      <c r="C8" s="54">
        <f>'Calcul automatisme'!C62</f>
        <v>0</v>
      </c>
      <c r="D8" s="54">
        <f>'Calcul automatisme'!E62</f>
        <v>0</v>
      </c>
      <c r="E8" s="96" t="e">
        <f t="shared" si="0"/>
        <v>#DIV/0!</v>
      </c>
    </row>
    <row r="11" spans="2:6" x14ac:dyDescent="0.25">
      <c r="B11" s="56" t="s">
        <v>14</v>
      </c>
      <c r="C11" t="s">
        <v>49</v>
      </c>
      <c r="D11" t="s">
        <v>138</v>
      </c>
      <c r="E11" s="1" t="s">
        <v>139</v>
      </c>
      <c r="F11" t="s">
        <v>140</v>
      </c>
    </row>
    <row r="12" spans="2:6" x14ac:dyDescent="0.25">
      <c r="B12" t="e">
        <f>VLOOKUP(1,Tableau810[],1,0)</f>
        <v>#N/A</v>
      </c>
    </row>
    <row r="13" spans="2:6" x14ac:dyDescent="0.25">
      <c r="B13" t="e">
        <f>VLOOKUP(1,Tableau810[],1,0)</f>
        <v>#N/A</v>
      </c>
    </row>
    <row r="14" spans="2:6" x14ac:dyDescent="0.25">
      <c r="B14" t="e">
        <f>VLOOKUP(1,Tableau810[],1,0)</f>
        <v>#N/A</v>
      </c>
    </row>
    <row r="15" spans="2:6" x14ac:dyDescent="0.25">
      <c r="B15" t="e">
        <f>VLOOKUP(1,Tableau810[],1,0)</f>
        <v>#N/A</v>
      </c>
    </row>
    <row r="16" spans="2:6" x14ac:dyDescent="0.25">
      <c r="B16" t="e">
        <f>VLOOKUP(1,Tableau810[],1,0)</f>
        <v>#N/A</v>
      </c>
    </row>
    <row r="17" spans="2:2" x14ac:dyDescent="0.25">
      <c r="B17" t="e">
        <f>VLOOKUP(1,Tableau810[],1,0)</f>
        <v>#N/A</v>
      </c>
    </row>
    <row r="18" spans="2:2" x14ac:dyDescent="0.25">
      <c r="B18" t="e">
        <f>VLOOKUP(1,Tableau810[],1,0)</f>
        <v>#N/A</v>
      </c>
    </row>
    <row r="19" spans="2:2" x14ac:dyDescent="0.25">
      <c r="B19" t="e">
        <f>VLOOKUP(1,Tableau810[],1,0)</f>
        <v>#N/A</v>
      </c>
    </row>
    <row r="20" spans="2:2" x14ac:dyDescent="0.25">
      <c r="B20" t="e">
        <f>VLOOKUP(1,Tableau810[],1,0)</f>
        <v>#N/A</v>
      </c>
    </row>
    <row r="21" spans="2:2" x14ac:dyDescent="0.25">
      <c r="B21" t="e">
        <f>VLOOKUP(1,Tableau810[],1,0)</f>
        <v>#N/A</v>
      </c>
    </row>
    <row r="22" spans="2:2" x14ac:dyDescent="0.25">
      <c r="B22" t="e">
        <f>VLOOKUP(1,Tableau810[],1,0)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5"/>
  <sheetViews>
    <sheetView tabSelected="1" topLeftCell="A22" workbookViewId="0">
      <selection activeCell="F53" sqref="F53"/>
    </sheetView>
  </sheetViews>
  <sheetFormatPr baseColWidth="10" defaultRowHeight="15" x14ac:dyDescent="0.25"/>
  <cols>
    <col min="1" max="1" width="11.42578125" style="1"/>
    <col min="2" max="2" width="38.7109375" style="1" bestFit="1" customWidth="1"/>
    <col min="3" max="13" width="11.42578125" style="1"/>
  </cols>
  <sheetData>
    <row r="2" spans="1:13" x14ac:dyDescent="0.25">
      <c r="A2" s="31" t="s">
        <v>156</v>
      </c>
      <c r="B2" s="31"/>
      <c r="C2" s="32" t="s">
        <v>158</v>
      </c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1:13" x14ac:dyDescent="0.25">
      <c r="A3" s="3" t="s">
        <v>123</v>
      </c>
      <c r="B3" s="3" t="s">
        <v>157</v>
      </c>
      <c r="C3" s="3">
        <v>1.5</v>
      </c>
      <c r="D3" s="3">
        <v>2.5</v>
      </c>
      <c r="E3" s="3">
        <v>4</v>
      </c>
      <c r="F3" s="3">
        <v>6</v>
      </c>
      <c r="G3" s="3">
        <v>10</v>
      </c>
      <c r="H3" s="3">
        <v>16</v>
      </c>
      <c r="I3" s="3">
        <v>25</v>
      </c>
      <c r="J3" s="3">
        <v>35</v>
      </c>
      <c r="K3" s="3">
        <v>50</v>
      </c>
      <c r="L3" s="3">
        <v>70</v>
      </c>
      <c r="M3" s="3">
        <v>95</v>
      </c>
    </row>
    <row r="4" spans="1:13" x14ac:dyDescent="0.25">
      <c r="A4" s="3">
        <v>0.5</v>
      </c>
      <c r="B4" s="3">
        <v>2.2999999999999998</v>
      </c>
      <c r="C4" s="3">
        <v>100</v>
      </c>
      <c r="D4" s="3">
        <v>165</v>
      </c>
      <c r="E4" s="3">
        <v>265</v>
      </c>
      <c r="F4" s="3">
        <v>395</v>
      </c>
      <c r="G4" s="3"/>
      <c r="H4" s="3"/>
      <c r="I4" s="3"/>
      <c r="J4" s="3"/>
      <c r="K4" s="3"/>
      <c r="L4" s="3"/>
      <c r="M4" s="3"/>
    </row>
    <row r="5" spans="1:13" x14ac:dyDescent="0.25">
      <c r="A5" s="3">
        <v>1</v>
      </c>
      <c r="B5" s="3">
        <v>4.5999999999999996</v>
      </c>
      <c r="C5" s="3">
        <v>30</v>
      </c>
      <c r="D5" s="3">
        <v>84</v>
      </c>
      <c r="E5" s="3">
        <v>135</v>
      </c>
      <c r="F5" s="3">
        <v>200</v>
      </c>
      <c r="G5" s="3">
        <v>335</v>
      </c>
      <c r="H5" s="3">
        <v>530</v>
      </c>
      <c r="I5" s="3"/>
      <c r="J5" s="3"/>
      <c r="K5" s="3"/>
      <c r="L5" s="3"/>
      <c r="M5" s="3"/>
    </row>
    <row r="6" spans="1:13" x14ac:dyDescent="0.25">
      <c r="A6" s="3">
        <v>1.5</v>
      </c>
      <c r="B6" s="3">
        <v>6.8</v>
      </c>
      <c r="C6" s="3">
        <v>33</v>
      </c>
      <c r="D6" s="3">
        <v>57</v>
      </c>
      <c r="E6" s="3">
        <v>90</v>
      </c>
      <c r="F6" s="3">
        <v>130</v>
      </c>
      <c r="G6" s="3">
        <v>225</v>
      </c>
      <c r="H6" s="3">
        <v>355</v>
      </c>
      <c r="I6" s="3">
        <v>565</v>
      </c>
      <c r="J6" s="3"/>
      <c r="K6" s="3"/>
      <c r="L6" s="3"/>
      <c r="M6" s="3"/>
    </row>
    <row r="7" spans="1:13" x14ac:dyDescent="0.25">
      <c r="A7" s="3">
        <v>2</v>
      </c>
      <c r="B7" s="3">
        <v>9</v>
      </c>
      <c r="C7" s="3">
        <v>25</v>
      </c>
      <c r="D7" s="3">
        <v>43</v>
      </c>
      <c r="E7" s="3">
        <v>68</v>
      </c>
      <c r="F7" s="3">
        <v>100</v>
      </c>
      <c r="G7" s="3">
        <v>170</v>
      </c>
      <c r="H7" s="3">
        <v>265</v>
      </c>
      <c r="I7" s="3">
        <v>430</v>
      </c>
      <c r="J7" s="3">
        <v>595</v>
      </c>
      <c r="K7" s="3"/>
      <c r="L7" s="3"/>
      <c r="M7" s="3"/>
    </row>
    <row r="8" spans="1:13" x14ac:dyDescent="0.25">
      <c r="A8" s="3">
        <v>2.5</v>
      </c>
      <c r="B8" s="3">
        <v>11.5</v>
      </c>
      <c r="C8" s="3">
        <v>20</v>
      </c>
      <c r="D8" s="3">
        <v>34</v>
      </c>
      <c r="E8" s="3">
        <v>54</v>
      </c>
      <c r="F8" s="3">
        <v>80</v>
      </c>
      <c r="G8" s="3">
        <v>135</v>
      </c>
      <c r="H8" s="3">
        <v>210</v>
      </c>
      <c r="I8" s="3">
        <v>340</v>
      </c>
      <c r="J8" s="3">
        <v>470</v>
      </c>
      <c r="K8" s="3">
        <v>630</v>
      </c>
      <c r="L8" s="3"/>
      <c r="M8" s="3"/>
    </row>
    <row r="9" spans="1:13" x14ac:dyDescent="0.25">
      <c r="A9" s="3">
        <v>3</v>
      </c>
      <c r="B9" s="3">
        <v>13.5</v>
      </c>
      <c r="C9" s="3">
        <v>17</v>
      </c>
      <c r="D9" s="3">
        <v>29</v>
      </c>
      <c r="E9" s="3">
        <v>45</v>
      </c>
      <c r="F9" s="3">
        <v>66</v>
      </c>
      <c r="G9" s="3">
        <v>110</v>
      </c>
      <c r="H9" s="3">
        <v>180</v>
      </c>
      <c r="I9" s="3">
        <v>285</v>
      </c>
      <c r="J9" s="3">
        <v>395</v>
      </c>
      <c r="K9" s="3">
        <v>520</v>
      </c>
      <c r="L9" s="3"/>
      <c r="M9" s="3"/>
    </row>
    <row r="10" spans="1:13" x14ac:dyDescent="0.25">
      <c r="A10" s="3">
        <v>3.5</v>
      </c>
      <c r="B10" s="3">
        <v>16</v>
      </c>
      <c r="C10" s="3">
        <v>14</v>
      </c>
      <c r="D10" s="3">
        <v>24</v>
      </c>
      <c r="E10" s="3">
        <v>39</v>
      </c>
      <c r="F10" s="3">
        <v>56</v>
      </c>
      <c r="G10" s="3">
        <v>96</v>
      </c>
      <c r="H10" s="3">
        <v>155</v>
      </c>
      <c r="I10" s="3">
        <v>245</v>
      </c>
      <c r="J10" s="3">
        <v>335</v>
      </c>
      <c r="K10" s="3">
        <v>450</v>
      </c>
      <c r="L10" s="3"/>
      <c r="M10" s="3"/>
    </row>
    <row r="11" spans="1:13" x14ac:dyDescent="0.25">
      <c r="A11" s="3">
        <v>4</v>
      </c>
      <c r="B11" s="3">
        <v>18</v>
      </c>
      <c r="C11" s="3"/>
      <c r="D11" s="3">
        <v>21</v>
      </c>
      <c r="E11" s="3">
        <v>34</v>
      </c>
      <c r="F11" s="3">
        <v>49</v>
      </c>
      <c r="G11" s="3">
        <v>84</v>
      </c>
      <c r="H11" s="3">
        <v>135</v>
      </c>
      <c r="I11" s="3">
        <v>210</v>
      </c>
      <c r="J11" s="3">
        <v>295</v>
      </c>
      <c r="K11" s="3">
        <v>395</v>
      </c>
      <c r="L11" s="3">
        <v>580</v>
      </c>
      <c r="M11" s="3"/>
    </row>
    <row r="12" spans="1:13" x14ac:dyDescent="0.25">
      <c r="A12" s="3">
        <v>4.5</v>
      </c>
      <c r="B12" s="3">
        <v>20</v>
      </c>
      <c r="C12" s="3"/>
      <c r="D12" s="3">
        <v>19</v>
      </c>
      <c r="E12" s="3">
        <v>30</v>
      </c>
      <c r="F12" s="3">
        <v>44</v>
      </c>
      <c r="G12" s="3">
        <v>75</v>
      </c>
      <c r="H12" s="3">
        <v>120</v>
      </c>
      <c r="I12" s="3">
        <v>190</v>
      </c>
      <c r="J12" s="3">
        <v>260</v>
      </c>
      <c r="K12" s="3">
        <v>350</v>
      </c>
      <c r="L12" s="3">
        <v>515</v>
      </c>
      <c r="M12" s="3"/>
    </row>
    <row r="13" spans="1:13" x14ac:dyDescent="0.25">
      <c r="A13" s="3">
        <v>5</v>
      </c>
      <c r="B13" s="3">
        <v>23</v>
      </c>
      <c r="C13" s="3"/>
      <c r="D13" s="3"/>
      <c r="E13" s="3">
        <v>27</v>
      </c>
      <c r="F13" s="3">
        <v>39</v>
      </c>
      <c r="G13" s="3">
        <v>68</v>
      </c>
      <c r="H13" s="3">
        <v>105</v>
      </c>
      <c r="I13" s="3">
        <v>170</v>
      </c>
      <c r="J13" s="3">
        <v>235</v>
      </c>
      <c r="K13" s="3">
        <v>315</v>
      </c>
      <c r="L13" s="3">
        <v>460</v>
      </c>
      <c r="M13" s="3">
        <v>630</v>
      </c>
    </row>
    <row r="14" spans="1:13" x14ac:dyDescent="0.25">
      <c r="A14" s="3">
        <v>6</v>
      </c>
      <c r="B14" s="3">
        <v>27</v>
      </c>
      <c r="C14" s="3"/>
      <c r="D14" s="3"/>
      <c r="E14" s="3">
        <v>23</v>
      </c>
      <c r="F14" s="3">
        <v>32</v>
      </c>
      <c r="G14" s="3">
        <v>56</v>
      </c>
      <c r="H14" s="3">
        <v>90</v>
      </c>
      <c r="I14" s="3">
        <v>140</v>
      </c>
      <c r="J14" s="3">
        <v>195</v>
      </c>
      <c r="K14" s="3">
        <v>260</v>
      </c>
      <c r="L14" s="3">
        <v>385</v>
      </c>
      <c r="M14" s="3">
        <v>530</v>
      </c>
    </row>
    <row r="15" spans="1:13" x14ac:dyDescent="0.25">
      <c r="A15" s="3">
        <v>7</v>
      </c>
      <c r="B15" s="3">
        <v>32</v>
      </c>
      <c r="C15" s="3"/>
      <c r="D15" s="3"/>
      <c r="E15" s="3"/>
      <c r="F15" s="3">
        <v>28</v>
      </c>
      <c r="G15" s="3">
        <v>48</v>
      </c>
      <c r="H15" s="3">
        <v>76</v>
      </c>
      <c r="I15" s="3">
        <v>120</v>
      </c>
      <c r="J15" s="3">
        <v>170</v>
      </c>
      <c r="K15" s="3">
        <v>225</v>
      </c>
      <c r="L15" s="3">
        <v>330</v>
      </c>
      <c r="M15" s="3">
        <v>460</v>
      </c>
    </row>
    <row r="16" spans="1:13" x14ac:dyDescent="0.25">
      <c r="A16" s="3">
        <v>8</v>
      </c>
      <c r="B16" s="3">
        <v>36</v>
      </c>
      <c r="C16" s="3"/>
      <c r="D16" s="3"/>
      <c r="E16" s="3"/>
      <c r="F16" s="3"/>
      <c r="G16" s="3">
        <v>42</v>
      </c>
      <c r="H16" s="3">
        <v>67</v>
      </c>
      <c r="I16" s="3">
        <v>105</v>
      </c>
      <c r="J16" s="3">
        <v>145</v>
      </c>
      <c r="K16" s="3">
        <v>195</v>
      </c>
      <c r="L16" s="3">
        <v>290</v>
      </c>
      <c r="M16" s="3">
        <v>400</v>
      </c>
    </row>
    <row r="17" spans="1:13" x14ac:dyDescent="0.25">
      <c r="A17" s="3">
        <v>9</v>
      </c>
      <c r="B17" s="3">
        <v>41</v>
      </c>
      <c r="C17" s="3"/>
      <c r="D17" s="3"/>
      <c r="E17" s="3"/>
      <c r="F17" s="3"/>
      <c r="G17" s="3">
        <v>38</v>
      </c>
      <c r="H17" s="3">
        <v>60</v>
      </c>
      <c r="I17" s="3">
        <v>94</v>
      </c>
      <c r="J17" s="3">
        <v>130</v>
      </c>
      <c r="K17" s="3">
        <v>175</v>
      </c>
      <c r="L17" s="3">
        <v>255</v>
      </c>
      <c r="M17" s="3">
        <v>355</v>
      </c>
    </row>
    <row r="18" spans="1:13" x14ac:dyDescent="0.25">
      <c r="A18" s="3">
        <v>10</v>
      </c>
      <c r="B18" s="3">
        <v>45</v>
      </c>
      <c r="C18" s="3"/>
      <c r="D18" s="3"/>
      <c r="E18" s="3"/>
      <c r="F18" s="3"/>
      <c r="G18" s="3">
        <v>34</v>
      </c>
      <c r="H18" s="3">
        <v>54</v>
      </c>
      <c r="I18" s="3">
        <v>84</v>
      </c>
      <c r="J18" s="3">
        <v>120</v>
      </c>
      <c r="K18" s="3">
        <v>155</v>
      </c>
      <c r="L18" s="3">
        <v>230</v>
      </c>
      <c r="M18" s="3">
        <v>320</v>
      </c>
    </row>
    <row r="19" spans="1:13" x14ac:dyDescent="0.25">
      <c r="A19" s="3">
        <v>12</v>
      </c>
      <c r="B19" s="3">
        <v>55</v>
      </c>
      <c r="C19" s="3"/>
      <c r="D19" s="3"/>
      <c r="E19" s="3"/>
      <c r="F19" s="3"/>
      <c r="G19" s="3"/>
      <c r="H19" s="3">
        <v>45</v>
      </c>
      <c r="I19" s="3">
        <v>80</v>
      </c>
      <c r="J19" s="3">
        <v>98</v>
      </c>
      <c r="K19" s="3">
        <v>130</v>
      </c>
      <c r="L19" s="3">
        <v>190</v>
      </c>
      <c r="M19" s="3">
        <v>265</v>
      </c>
    </row>
    <row r="20" spans="1:13" x14ac:dyDescent="0.25">
      <c r="A20" s="3">
        <v>14</v>
      </c>
      <c r="B20" s="3">
        <v>64</v>
      </c>
      <c r="C20" s="3"/>
      <c r="D20" s="3"/>
      <c r="E20" s="3"/>
      <c r="F20" s="3"/>
      <c r="G20" s="3"/>
      <c r="H20" s="3">
        <v>38</v>
      </c>
      <c r="I20" s="3">
        <v>60</v>
      </c>
      <c r="J20" s="3">
        <v>84</v>
      </c>
      <c r="K20" s="3">
        <v>110</v>
      </c>
      <c r="L20" s="3">
        <v>165</v>
      </c>
      <c r="M20" s="3">
        <v>230</v>
      </c>
    </row>
    <row r="21" spans="1:13" x14ac:dyDescent="0.25">
      <c r="A21" s="3">
        <v>16</v>
      </c>
      <c r="B21" s="3">
        <v>73</v>
      </c>
      <c r="C21" s="3"/>
      <c r="D21" s="3"/>
      <c r="E21" s="3"/>
      <c r="F21" s="3"/>
      <c r="G21" s="3"/>
      <c r="H21" s="3"/>
      <c r="I21" s="3">
        <v>53</v>
      </c>
      <c r="J21" s="3">
        <v>74</v>
      </c>
      <c r="K21" s="3">
        <v>99</v>
      </c>
      <c r="L21" s="3">
        <v>145</v>
      </c>
      <c r="M21" s="3">
        <v>200</v>
      </c>
    </row>
    <row r="22" spans="1:13" x14ac:dyDescent="0.25">
      <c r="A22" s="3">
        <v>18</v>
      </c>
      <c r="B22" s="3">
        <v>82</v>
      </c>
      <c r="C22" s="3"/>
      <c r="D22" s="3"/>
      <c r="E22" s="3"/>
      <c r="F22" s="3"/>
      <c r="G22" s="3"/>
      <c r="H22" s="3"/>
      <c r="I22" s="3">
        <v>47</v>
      </c>
      <c r="J22" s="3">
        <v>65</v>
      </c>
      <c r="K22" s="3">
        <v>88</v>
      </c>
      <c r="L22" s="3">
        <v>125</v>
      </c>
      <c r="M22" s="3">
        <v>175</v>
      </c>
    </row>
    <row r="23" spans="1:13" x14ac:dyDescent="0.25">
      <c r="A23" s="3">
        <v>20</v>
      </c>
      <c r="B23" s="3">
        <v>91</v>
      </c>
      <c r="C23" s="3"/>
      <c r="D23" s="3"/>
      <c r="E23" s="3"/>
      <c r="F23" s="3"/>
      <c r="G23" s="3"/>
      <c r="H23" s="3"/>
      <c r="I23" s="3"/>
      <c r="J23" s="3">
        <v>59</v>
      </c>
      <c r="K23" s="3">
        <v>79</v>
      </c>
      <c r="L23" s="3">
        <v>115</v>
      </c>
      <c r="M23" s="3">
        <v>160</v>
      </c>
    </row>
    <row r="25" spans="1:13" x14ac:dyDescent="0.25">
      <c r="A25" s="31" t="s">
        <v>162</v>
      </c>
      <c r="B25" s="31"/>
      <c r="C25" s="32" t="s">
        <v>158</v>
      </c>
      <c r="D25" s="33"/>
      <c r="E25" s="33"/>
      <c r="F25" s="33"/>
      <c r="G25" s="33"/>
      <c r="H25" s="33"/>
      <c r="I25" s="33"/>
      <c r="J25" s="33"/>
      <c r="K25" s="33"/>
      <c r="L25" s="33"/>
      <c r="M25" s="34"/>
    </row>
    <row r="26" spans="1:13" x14ac:dyDescent="0.25">
      <c r="A26" s="3" t="s">
        <v>123</v>
      </c>
      <c r="B26" s="3" t="s">
        <v>157</v>
      </c>
      <c r="C26" s="3">
        <v>1.5</v>
      </c>
      <c r="D26" s="3">
        <v>2.5</v>
      </c>
      <c r="E26" s="3">
        <v>4</v>
      </c>
      <c r="F26" s="3">
        <v>6</v>
      </c>
      <c r="G26" s="3">
        <v>10</v>
      </c>
      <c r="H26" s="3">
        <v>16</v>
      </c>
      <c r="I26" s="3">
        <v>25</v>
      </c>
      <c r="J26" s="3">
        <v>35</v>
      </c>
      <c r="K26" s="3">
        <v>50</v>
      </c>
      <c r="L26" s="3">
        <v>70</v>
      </c>
      <c r="M26" s="3">
        <v>95</v>
      </c>
    </row>
    <row r="27" spans="1:13" x14ac:dyDescent="0.25">
      <c r="A27" s="3">
        <v>2.5</v>
      </c>
      <c r="B27" s="3">
        <v>5</v>
      </c>
      <c r="C27" s="3">
        <v>190</v>
      </c>
      <c r="D27" s="3">
        <v>325</v>
      </c>
      <c r="E27" s="3">
        <v>510</v>
      </c>
      <c r="F27" s="3">
        <v>745</v>
      </c>
      <c r="G27" s="3"/>
      <c r="H27" s="3"/>
      <c r="I27" s="3"/>
      <c r="J27" s="3"/>
      <c r="K27" s="3"/>
      <c r="L27" s="3"/>
      <c r="M27" s="3"/>
    </row>
    <row r="28" spans="1:13" x14ac:dyDescent="0.25">
      <c r="A28" s="3">
        <v>3</v>
      </c>
      <c r="B28" s="3">
        <v>6</v>
      </c>
      <c r="C28" s="3">
        <v>160</v>
      </c>
      <c r="D28" s="3">
        <v>270</v>
      </c>
      <c r="E28" s="3">
        <v>420</v>
      </c>
      <c r="F28" s="3">
        <v>620</v>
      </c>
      <c r="G28" s="3"/>
      <c r="H28" s="3"/>
      <c r="I28" s="3"/>
      <c r="J28" s="3"/>
      <c r="K28" s="3"/>
      <c r="L28" s="3"/>
      <c r="M28" s="3"/>
    </row>
    <row r="29" spans="1:13" x14ac:dyDescent="0.25">
      <c r="A29" s="3">
        <v>3.5</v>
      </c>
      <c r="B29" s="3">
        <v>7</v>
      </c>
      <c r="C29" s="3">
        <v>135</v>
      </c>
      <c r="D29" s="3">
        <v>230</v>
      </c>
      <c r="E29" s="3">
        <v>362</v>
      </c>
      <c r="F29" s="3">
        <v>540</v>
      </c>
      <c r="G29" s="3">
        <v>895</v>
      </c>
      <c r="H29" s="3"/>
      <c r="I29" s="3"/>
      <c r="J29" s="3"/>
      <c r="K29" s="3"/>
      <c r="L29" s="3"/>
      <c r="M29" s="3"/>
    </row>
    <row r="30" spans="1:13" x14ac:dyDescent="0.25">
      <c r="A30" s="3">
        <v>4</v>
      </c>
      <c r="B30" s="3">
        <v>8</v>
      </c>
      <c r="C30" s="3">
        <v>120</v>
      </c>
      <c r="D30" s="3">
        <v>200</v>
      </c>
      <c r="E30" s="3">
        <v>320</v>
      </c>
      <c r="F30" s="3">
        <v>470</v>
      </c>
      <c r="G30" s="3">
        <v>785</v>
      </c>
      <c r="H30" s="3"/>
      <c r="I30" s="3"/>
      <c r="J30" s="3"/>
      <c r="K30" s="3"/>
      <c r="L30" s="3"/>
      <c r="M30" s="3"/>
    </row>
    <row r="31" spans="1:13" x14ac:dyDescent="0.25">
      <c r="A31" s="3">
        <v>4.5</v>
      </c>
      <c r="B31" s="3">
        <v>9</v>
      </c>
      <c r="C31" s="3">
        <v>96</v>
      </c>
      <c r="D31" s="3">
        <v>180</v>
      </c>
      <c r="E31" s="3">
        <v>28</v>
      </c>
      <c r="F31" s="3">
        <v>420</v>
      </c>
      <c r="G31" s="3">
        <v>700</v>
      </c>
      <c r="H31" s="3"/>
      <c r="I31" s="3"/>
      <c r="J31" s="3"/>
      <c r="K31" s="3"/>
      <c r="L31" s="3"/>
      <c r="M31" s="3"/>
    </row>
    <row r="32" spans="1:13" x14ac:dyDescent="0.25">
      <c r="A32" s="3">
        <v>5</v>
      </c>
      <c r="B32" s="3">
        <v>10</v>
      </c>
      <c r="C32" s="3">
        <v>79</v>
      </c>
      <c r="D32" s="3">
        <v>165</v>
      </c>
      <c r="E32" s="3">
        <v>255</v>
      </c>
      <c r="F32" s="3">
        <v>375</v>
      </c>
      <c r="G32" s="3">
        <v>630</v>
      </c>
      <c r="H32" s="3">
        <v>970</v>
      </c>
      <c r="I32" s="3"/>
      <c r="J32" s="3"/>
      <c r="K32" s="3"/>
      <c r="L32" s="3"/>
      <c r="M32" s="3"/>
    </row>
    <row r="33" spans="1:17" x14ac:dyDescent="0.25">
      <c r="A33" s="3">
        <v>6</v>
      </c>
      <c r="B33" s="3">
        <v>12</v>
      </c>
      <c r="C33" s="3">
        <v>68</v>
      </c>
      <c r="D33" s="3">
        <v>135</v>
      </c>
      <c r="E33" s="3">
        <v>210</v>
      </c>
      <c r="F33" s="3">
        <v>315</v>
      </c>
      <c r="G33" s="3">
        <v>525</v>
      </c>
      <c r="H33" s="3">
        <v>810</v>
      </c>
      <c r="I33" s="3"/>
      <c r="J33" s="3"/>
      <c r="K33" s="3"/>
      <c r="L33" s="3"/>
      <c r="M33" s="3"/>
    </row>
    <row r="34" spans="1:17" x14ac:dyDescent="0.25">
      <c r="A34" s="3">
        <v>7</v>
      </c>
      <c r="B34" s="3">
        <v>14</v>
      </c>
      <c r="C34" s="3">
        <v>60</v>
      </c>
      <c r="D34" s="3">
        <v>115</v>
      </c>
      <c r="E34" s="3">
        <v>180</v>
      </c>
      <c r="F34" s="3">
        <v>270</v>
      </c>
      <c r="G34" s="3">
        <v>455</v>
      </c>
      <c r="H34" s="3">
        <v>700</v>
      </c>
      <c r="I34" s="3"/>
      <c r="J34" s="3"/>
      <c r="K34" s="3"/>
      <c r="L34" s="3"/>
      <c r="M34" s="3"/>
    </row>
    <row r="35" spans="1:17" x14ac:dyDescent="0.25">
      <c r="A35" s="3">
        <v>8</v>
      </c>
      <c r="B35" s="3">
        <v>16</v>
      </c>
      <c r="C35" s="3">
        <v>51</v>
      </c>
      <c r="D35" s="3">
        <v>105</v>
      </c>
      <c r="E35" s="3">
        <v>160</v>
      </c>
      <c r="F35" s="3">
        <v>240</v>
      </c>
      <c r="G35" s="3">
        <v>400</v>
      </c>
      <c r="H35" s="3">
        <v>610</v>
      </c>
      <c r="I35" s="3">
        <v>940</v>
      </c>
      <c r="J35" s="3"/>
      <c r="K35" s="3"/>
      <c r="L35" s="3"/>
      <c r="M35" s="3"/>
    </row>
    <row r="36" spans="1:17" x14ac:dyDescent="0.25">
      <c r="A36" s="3">
        <v>9</v>
      </c>
      <c r="B36" s="3">
        <v>18</v>
      </c>
      <c r="C36" s="3"/>
      <c r="D36" s="3">
        <v>92</v>
      </c>
      <c r="E36" s="3">
        <v>145</v>
      </c>
      <c r="F36" s="3">
        <v>215</v>
      </c>
      <c r="G36" s="3">
        <v>355</v>
      </c>
      <c r="H36" s="3">
        <v>550</v>
      </c>
      <c r="I36" s="3">
        <v>850</v>
      </c>
      <c r="J36" s="3"/>
      <c r="K36" s="3"/>
      <c r="L36" s="3"/>
      <c r="M36" s="3"/>
    </row>
    <row r="37" spans="1:17" x14ac:dyDescent="0.25">
      <c r="A37" s="3">
        <v>10</v>
      </c>
      <c r="B37" s="3">
        <v>19</v>
      </c>
      <c r="C37" s="3"/>
      <c r="D37" s="3">
        <v>84</v>
      </c>
      <c r="E37" s="3">
        <v>130</v>
      </c>
      <c r="F37" s="3">
        <v>190</v>
      </c>
      <c r="G37" s="3">
        <v>320</v>
      </c>
      <c r="H37" s="3">
        <v>500</v>
      </c>
      <c r="I37" s="3">
        <v>780</v>
      </c>
      <c r="J37" s="3"/>
      <c r="K37" s="3"/>
      <c r="L37" s="3"/>
      <c r="M37" s="3"/>
    </row>
    <row r="38" spans="1:17" x14ac:dyDescent="0.25">
      <c r="A38" s="3">
        <v>12</v>
      </c>
      <c r="B38" s="3">
        <v>23</v>
      </c>
      <c r="C38" s="3"/>
      <c r="D38" s="3">
        <v>69</v>
      </c>
      <c r="E38" s="3">
        <v>110</v>
      </c>
      <c r="F38" s="3">
        <v>160</v>
      </c>
      <c r="G38" s="3">
        <v>265</v>
      </c>
      <c r="H38" s="3">
        <v>45</v>
      </c>
      <c r="I38" s="3">
        <v>640</v>
      </c>
      <c r="J38" s="3">
        <v>880</v>
      </c>
      <c r="K38" s="3"/>
      <c r="L38" s="3"/>
      <c r="M38" s="3"/>
    </row>
    <row r="39" spans="1:17" x14ac:dyDescent="0.25">
      <c r="A39" s="3">
        <v>14</v>
      </c>
      <c r="B39" s="3">
        <v>27</v>
      </c>
      <c r="C39" s="3"/>
      <c r="D39" s="3"/>
      <c r="E39" s="3">
        <v>94</v>
      </c>
      <c r="F39" s="3">
        <v>140</v>
      </c>
      <c r="G39" s="3">
        <v>230</v>
      </c>
      <c r="H39" s="3">
        <v>355</v>
      </c>
      <c r="I39" s="3">
        <v>550</v>
      </c>
      <c r="J39" s="3">
        <v>750</v>
      </c>
      <c r="K39" s="3"/>
      <c r="L39" s="3"/>
      <c r="M39" s="3"/>
    </row>
    <row r="40" spans="1:17" x14ac:dyDescent="0.25">
      <c r="A40" s="3">
        <v>16</v>
      </c>
      <c r="B40" s="3">
        <v>31</v>
      </c>
      <c r="C40" s="3"/>
      <c r="D40" s="3"/>
      <c r="E40" s="3">
        <v>81</v>
      </c>
      <c r="F40" s="3">
        <v>120</v>
      </c>
      <c r="G40" s="3">
        <v>200</v>
      </c>
      <c r="H40" s="3">
        <v>315</v>
      </c>
      <c r="I40" s="3">
        <v>485</v>
      </c>
      <c r="J40" s="3">
        <v>655</v>
      </c>
      <c r="K40" s="3">
        <v>860</v>
      </c>
      <c r="L40" s="3"/>
      <c r="M40" s="3"/>
    </row>
    <row r="41" spans="1:17" x14ac:dyDescent="0.25">
      <c r="A41" s="3">
        <v>18</v>
      </c>
      <c r="B41" s="3">
        <v>35</v>
      </c>
      <c r="C41" s="3"/>
      <c r="D41" s="3"/>
      <c r="E41" s="3"/>
      <c r="F41" s="3">
        <v>110</v>
      </c>
      <c r="G41" s="3">
        <v>180</v>
      </c>
      <c r="H41" s="3">
        <v>280</v>
      </c>
      <c r="I41" s="3">
        <v>430</v>
      </c>
      <c r="J41" s="3">
        <v>580</v>
      </c>
      <c r="K41" s="3">
        <v>770</v>
      </c>
      <c r="L41" s="3"/>
      <c r="M41" s="3"/>
    </row>
    <row r="42" spans="1:17" x14ac:dyDescent="0.25">
      <c r="A42" s="3">
        <v>20</v>
      </c>
      <c r="B42" s="3">
        <v>38</v>
      </c>
      <c r="C42" s="3"/>
      <c r="D42" s="3"/>
      <c r="E42" s="3"/>
      <c r="F42" s="3">
        <v>98</v>
      </c>
      <c r="G42" s="3">
        <v>160</v>
      </c>
      <c r="H42" s="3">
        <v>255</v>
      </c>
      <c r="I42" s="3">
        <v>390</v>
      </c>
      <c r="J42" s="3">
        <v>520</v>
      </c>
      <c r="K42" s="3">
        <v>690</v>
      </c>
      <c r="L42" s="3"/>
      <c r="M42" s="3"/>
    </row>
    <row r="43" spans="1:17" x14ac:dyDescent="0.25">
      <c r="A43" s="3">
        <v>25</v>
      </c>
      <c r="B43" s="3">
        <v>48</v>
      </c>
      <c r="C43" s="3"/>
      <c r="D43" s="3"/>
      <c r="E43" s="3"/>
      <c r="F43" s="3"/>
      <c r="G43" s="3">
        <v>130</v>
      </c>
      <c r="H43" s="3">
        <v>205</v>
      </c>
      <c r="I43" s="3">
        <v>315</v>
      </c>
      <c r="J43" s="3">
        <v>420</v>
      </c>
      <c r="K43" s="3">
        <v>555</v>
      </c>
      <c r="L43" s="3">
        <v>760</v>
      </c>
      <c r="M43" s="3"/>
    </row>
    <row r="44" spans="1:17" x14ac:dyDescent="0.25">
      <c r="A44" s="3">
        <v>30</v>
      </c>
      <c r="B44" s="3">
        <v>57</v>
      </c>
      <c r="C44" s="3"/>
      <c r="D44" s="3"/>
      <c r="E44" s="3"/>
      <c r="F44" s="3"/>
      <c r="G44" s="3"/>
      <c r="H44" s="3">
        <v>170</v>
      </c>
      <c r="I44" s="3">
        <v>260</v>
      </c>
      <c r="J44" s="3">
        <v>355</v>
      </c>
      <c r="K44" s="3">
        <v>465</v>
      </c>
      <c r="L44" s="3">
        <v>640</v>
      </c>
      <c r="M44" s="3">
        <v>840</v>
      </c>
    </row>
    <row r="45" spans="1:17" x14ac:dyDescent="0.25">
      <c r="A45" s="3">
        <v>35</v>
      </c>
      <c r="B45" s="3">
        <v>67</v>
      </c>
      <c r="C45" s="3"/>
      <c r="D45" s="3"/>
      <c r="E45" s="3"/>
      <c r="F45" s="3"/>
      <c r="G45" s="3"/>
      <c r="H45" s="3">
        <v>145</v>
      </c>
      <c r="I45" s="3">
        <v>225</v>
      </c>
      <c r="J45" s="3">
        <v>300</v>
      </c>
      <c r="K45" s="3">
        <v>400</v>
      </c>
      <c r="L45" s="3">
        <v>550</v>
      </c>
      <c r="M45" s="3">
        <v>730</v>
      </c>
    </row>
    <row r="46" spans="1:17" x14ac:dyDescent="0.25">
      <c r="A46" s="3">
        <v>40</v>
      </c>
      <c r="B46" s="3">
        <v>76</v>
      </c>
      <c r="C46" s="3"/>
      <c r="D46" s="3"/>
      <c r="E46" s="3"/>
      <c r="F46" s="3"/>
      <c r="G46" s="3"/>
      <c r="H46" s="3"/>
      <c r="I46" s="3">
        <v>195</v>
      </c>
      <c r="J46" s="3">
        <v>260</v>
      </c>
      <c r="K46" s="3">
        <v>350</v>
      </c>
      <c r="L46" s="3">
        <v>480</v>
      </c>
      <c r="M46" s="3">
        <v>640</v>
      </c>
    </row>
    <row r="48" spans="1:17" x14ac:dyDescent="0.25">
      <c r="C48" s="31" t="s">
        <v>159</v>
      </c>
      <c r="D48" s="31"/>
      <c r="E48" s="31"/>
      <c r="F48" s="31"/>
      <c r="G48" s="31"/>
      <c r="H48" s="31" t="s">
        <v>160</v>
      </c>
      <c r="I48" s="31"/>
      <c r="J48" s="31"/>
      <c r="K48" s="31"/>
      <c r="L48" s="31"/>
      <c r="M48" s="31" t="s">
        <v>161</v>
      </c>
      <c r="N48" s="31"/>
      <c r="O48" s="31"/>
      <c r="P48" s="31"/>
      <c r="Q48" s="31"/>
    </row>
    <row r="49" spans="1:19" ht="45" customHeight="1" x14ac:dyDescent="0.25">
      <c r="A49" s="102" t="s">
        <v>13</v>
      </c>
      <c r="B49" s="103" t="s">
        <v>37</v>
      </c>
      <c r="C49" s="99" t="s">
        <v>148</v>
      </c>
      <c r="D49" s="99" t="s">
        <v>149</v>
      </c>
      <c r="E49" s="99" t="s">
        <v>123</v>
      </c>
      <c r="F49" s="99" t="s">
        <v>138</v>
      </c>
      <c r="G49" s="99" t="s">
        <v>150</v>
      </c>
      <c r="H49" s="99"/>
      <c r="I49" s="99" t="s">
        <v>168</v>
      </c>
      <c r="J49" s="99" t="s">
        <v>151</v>
      </c>
      <c r="K49" s="99" t="s">
        <v>164</v>
      </c>
      <c r="L49" s="99" t="s">
        <v>154</v>
      </c>
      <c r="M49" s="99" t="s">
        <v>163</v>
      </c>
      <c r="N49" s="99" t="s">
        <v>165</v>
      </c>
      <c r="O49" s="99" t="s">
        <v>153</v>
      </c>
      <c r="P49" s="99" t="s">
        <v>152</v>
      </c>
      <c r="Q49" s="99" t="s">
        <v>166</v>
      </c>
      <c r="R49" s="99" t="s">
        <v>167</v>
      </c>
      <c r="S49" s="99" t="s">
        <v>155</v>
      </c>
    </row>
    <row r="50" spans="1:19" x14ac:dyDescent="0.25">
      <c r="A50" s="12">
        <v>20</v>
      </c>
      <c r="B50" s="11" t="s">
        <v>30</v>
      </c>
      <c r="C50" s="75"/>
      <c r="D50" s="75"/>
      <c r="E50" s="75"/>
      <c r="F50" s="75"/>
      <c r="G50" s="75"/>
      <c r="H50" s="75" t="s">
        <v>169</v>
      </c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</row>
    <row r="51" spans="1:19" x14ac:dyDescent="0.25">
      <c r="A51" s="12">
        <v>21</v>
      </c>
      <c r="B51" s="11" t="s">
        <v>31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x14ac:dyDescent="0.25">
      <c r="A52" s="12">
        <v>22</v>
      </c>
      <c r="B52" s="11" t="s">
        <v>32</v>
      </c>
      <c r="C52" s="3"/>
      <c r="D52" s="3"/>
      <c r="E52" s="3"/>
      <c r="F52" s="3">
        <v>1.5</v>
      </c>
      <c r="G52" s="3"/>
      <c r="H52" s="3">
        <f>HLOOKUP(F52,A26:M46,4,1)</f>
        <v>135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x14ac:dyDescent="0.25">
      <c r="A53" s="12">
        <v>23</v>
      </c>
      <c r="B53" s="11" t="s">
        <v>34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x14ac:dyDescent="0.25">
      <c r="A54" s="12">
        <v>24</v>
      </c>
      <c r="B54" s="11" t="s">
        <v>35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x14ac:dyDescent="0.25">
      <c r="A55" s="12">
        <v>26</v>
      </c>
      <c r="B55" s="11" t="s">
        <v>36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x14ac:dyDescent="0.25">
      <c r="A56" s="12">
        <v>28</v>
      </c>
      <c r="B56" s="11" t="s">
        <v>6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x14ac:dyDescent="0.25">
      <c r="A57" s="12">
        <v>29</v>
      </c>
      <c r="B57" s="11" t="s">
        <v>7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x14ac:dyDescent="0.25">
      <c r="A58" s="12">
        <v>30</v>
      </c>
      <c r="B58" s="11" t="s">
        <v>9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x14ac:dyDescent="0.25">
      <c r="A59" s="12">
        <v>31</v>
      </c>
      <c r="B59" s="23" t="s">
        <v>39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x14ac:dyDescent="0.2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x14ac:dyDescent="0.2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x14ac:dyDescent="0.2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x14ac:dyDescent="0.2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x14ac:dyDescent="0.2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3:19" x14ac:dyDescent="0.25"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</row>
  </sheetData>
  <mergeCells count="7">
    <mergeCell ref="A2:B2"/>
    <mergeCell ref="C2:M2"/>
    <mergeCell ref="A25:B25"/>
    <mergeCell ref="C25:M25"/>
    <mergeCell ref="C48:G48"/>
    <mergeCell ref="H48:L48"/>
    <mergeCell ref="M48:Q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 remplir</vt:lpstr>
      <vt:lpstr>Base de données prix</vt:lpstr>
      <vt:lpstr>Calcul automatisme</vt:lpstr>
      <vt:lpstr>Calcul capteur</vt:lpstr>
      <vt:lpstr>Agglomération</vt:lpstr>
      <vt:lpstr>Synthèse</vt:lpstr>
      <vt:lpstr>Calcul section câble</vt:lpstr>
    </vt:vector>
  </TitlesOfParts>
  <Company>DALKIA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BUZONNIERE Tristan</dc:creator>
  <cp:lastModifiedBy>Delphine</cp:lastModifiedBy>
  <dcterms:created xsi:type="dcterms:W3CDTF">2015-10-22T06:58:52Z</dcterms:created>
  <dcterms:modified xsi:type="dcterms:W3CDTF">2015-10-27T14:33:33Z</dcterms:modified>
</cp:coreProperties>
</file>