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corralmaublancm\Desktop\"/>
    </mc:Choice>
  </mc:AlternateContent>
  <xr:revisionPtr revIDLastSave="0" documentId="13_ncr:1_{52F6D287-5D3F-4CC8-816E-2A8B7BDE17BA}" xr6:coauthVersionLast="47" xr6:coauthVersionMax="47" xr10:uidLastSave="{00000000-0000-0000-0000-000000000000}"/>
  <bookViews>
    <workbookView xWindow="-120" yWindow="-120" windowWidth="20730" windowHeight="11160" activeTab="1" xr2:uid="{3303FC20-9EEE-4123-AF31-6DC9029FDF02}"/>
  </bookViews>
  <sheets>
    <sheet name="Accueil" sheetId="5" r:id="rId1"/>
    <sheet name="Stock" sheetId="1" r:id="rId2"/>
    <sheet name="Dotation" sheetId="2" r:id="rId3"/>
    <sheet name="QTE Dotation" sheetId="7" state="hidden" r:id="rId4"/>
    <sheet name="Réappro" sheetId="3" r:id="rId5"/>
    <sheet name="Listes" sheetId="4" state="hidden" r:id="rId6"/>
    <sheet name="Inventaire du 101242" sheetId="6" state="hidden" r:id="rId7"/>
  </sheets>
  <definedNames>
    <definedName name="_xleta.DATE" hidden="1" xlm="1">#NAME?</definedName>
    <definedName name="bla">Listes!#REF!</definedName>
    <definedName name="EQPMT">Listes!$B$16:$B$22</definedName>
    <definedName name="EQPMTT">Listes!#REF!</definedName>
    <definedName name="POINTURES">Listes!$G$8:$G$18</definedName>
    <definedName name="QTE">Listes!$H$8:$H$12</definedName>
    <definedName name="Tailles">Listes!$D$8:$E$22</definedName>
    <definedName name="TFR">Listes!$F$8:$F$17</definedName>
    <definedName name="TFrance">Listes!#REF!</definedName>
    <definedName name="TINTER">Listes!$E$8:$E$15</definedName>
    <definedName name="TVESTT">Listes!$D$8:$D$22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0" i="7"/>
  <c r="C27" i="7"/>
  <c r="C26" i="7"/>
  <c r="C25" i="7"/>
  <c r="C24" i="7"/>
  <c r="C23" i="7"/>
  <c r="C22" i="7"/>
  <c r="C21" i="7"/>
  <c r="C15" i="7"/>
  <c r="C18" i="7"/>
  <c r="C17" i="7"/>
  <c r="C16" i="7"/>
  <c r="C14" i="7"/>
  <c r="C13" i="7"/>
  <c r="C12" i="7"/>
  <c r="C11" i="7"/>
  <c r="C9" i="7"/>
  <c r="C8" i="7"/>
  <c r="C7" i="7"/>
  <c r="C6" i="7"/>
  <c r="C5" i="7"/>
  <c r="C4" i="7"/>
  <c r="C3" i="7"/>
  <c r="C2" i="7"/>
  <c r="C32" i="1"/>
  <c r="D32" i="1"/>
  <c r="E32" i="1"/>
  <c r="F32" i="1"/>
  <c r="B32" i="1"/>
  <c r="B29" i="1"/>
  <c r="L18" i="1"/>
  <c r="K18" i="1"/>
  <c r="J18" i="1"/>
  <c r="I18" i="1"/>
  <c r="H18" i="1"/>
  <c r="G18" i="1"/>
  <c r="F18" i="1"/>
  <c r="E18" i="1"/>
  <c r="D18" i="1"/>
  <c r="C18" i="1"/>
  <c r="B18" i="1"/>
  <c r="V6" i="2"/>
  <c r="U6" i="2"/>
  <c r="T6" i="2"/>
  <c r="S6" i="2"/>
  <c r="R6" i="2"/>
  <c r="Q6" i="2"/>
  <c r="P6" i="2"/>
  <c r="C6" i="3"/>
  <c r="C5" i="1" s="1"/>
  <c r="D6" i="3"/>
  <c r="D5" i="1" s="1"/>
  <c r="E6" i="3"/>
  <c r="E5" i="1" s="1"/>
  <c r="F6" i="3"/>
  <c r="F5" i="1" s="1"/>
  <c r="G6" i="3"/>
  <c r="G5" i="1" s="1"/>
  <c r="H6" i="3"/>
  <c r="H5" i="1" s="1"/>
  <c r="I6" i="3"/>
  <c r="I5" i="1" s="1"/>
  <c r="J6" i="3"/>
  <c r="J5" i="1" s="1"/>
  <c r="K6" i="3"/>
  <c r="K5" i="1" s="1"/>
  <c r="L6" i="3"/>
  <c r="L5" i="1" s="1"/>
  <c r="M6" i="3"/>
  <c r="M5" i="1" s="1"/>
  <c r="N6" i="3"/>
  <c r="N5" i="1" s="1"/>
  <c r="O6" i="3"/>
  <c r="O5" i="1" s="1"/>
  <c r="P6" i="3"/>
  <c r="P5" i="1" s="1"/>
  <c r="Q6" i="3"/>
  <c r="B8" i="1" s="1"/>
  <c r="R6" i="3"/>
  <c r="C8" i="1" s="1"/>
  <c r="S6" i="3"/>
  <c r="D8" i="1" s="1"/>
  <c r="T6" i="3"/>
  <c r="E8" i="1" s="1"/>
  <c r="U6" i="3"/>
  <c r="F8" i="1" s="1"/>
  <c r="V6" i="3"/>
  <c r="G8" i="1" s="1"/>
  <c r="W6" i="3"/>
  <c r="H8" i="1" s="1"/>
  <c r="X6" i="3"/>
  <c r="I8" i="1" s="1"/>
  <c r="Y6" i="3"/>
  <c r="B9" i="1" s="1"/>
  <c r="Z6" i="3"/>
  <c r="C9" i="1" s="1"/>
  <c r="AA6" i="3"/>
  <c r="D9" i="1" s="1"/>
  <c r="AB6" i="3"/>
  <c r="E9" i="1" s="1"/>
  <c r="AC6" i="3"/>
  <c r="F9" i="1" s="1"/>
  <c r="AD6" i="3"/>
  <c r="G9" i="1" s="1"/>
  <c r="AE6" i="3"/>
  <c r="H9" i="1" s="1"/>
  <c r="AF6" i="3"/>
  <c r="I9" i="1" s="1"/>
  <c r="AG6" i="3"/>
  <c r="AH6" i="3"/>
  <c r="AI6" i="3"/>
  <c r="AJ6" i="3"/>
  <c r="AK6" i="3"/>
  <c r="AL6" i="3"/>
  <c r="AM6" i="3"/>
  <c r="AN6" i="3"/>
  <c r="AO6" i="3"/>
  <c r="AP6" i="3"/>
  <c r="AQ6" i="3"/>
  <c r="AR6" i="3"/>
  <c r="E11" i="1" s="1"/>
  <c r="AS6" i="3"/>
  <c r="F11" i="1" s="1"/>
  <c r="AT6" i="3"/>
  <c r="G11" i="1" s="1"/>
  <c r="AU6" i="3"/>
  <c r="H11" i="1" s="1"/>
  <c r="AV6" i="3"/>
  <c r="I11" i="1" s="1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BK6" i="3"/>
  <c r="BL6" i="3"/>
  <c r="BM6" i="3"/>
  <c r="BN6" i="3"/>
  <c r="BO6" i="3"/>
  <c r="BP6" i="3"/>
  <c r="BQ6" i="3"/>
  <c r="BR6" i="3"/>
  <c r="BS6" i="3"/>
  <c r="BT6" i="3"/>
  <c r="BU6" i="3"/>
  <c r="BV6" i="3"/>
  <c r="BW6" i="3"/>
  <c r="BX6" i="3"/>
  <c r="BY6" i="3"/>
  <c r="BZ6" i="3"/>
  <c r="CA6" i="3"/>
  <c r="CB6" i="3"/>
  <c r="CC6" i="3"/>
  <c r="CD6" i="3"/>
  <c r="CE6" i="3"/>
  <c r="CF6" i="3"/>
  <c r="CG6" i="3"/>
  <c r="CH6" i="3"/>
  <c r="CI6" i="3"/>
  <c r="B6" i="3"/>
  <c r="B5" i="1" s="1"/>
  <c r="D12" i="1" l="1"/>
  <c r="H12" i="1"/>
  <c r="O15" i="1"/>
  <c r="I12" i="1"/>
  <c r="E12" i="1"/>
  <c r="E10" i="1"/>
  <c r="L15" i="1"/>
  <c r="H15" i="1"/>
  <c r="D15" i="1"/>
  <c r="I10" i="1"/>
  <c r="H10" i="1"/>
  <c r="F12" i="1"/>
  <c r="B12" i="1"/>
  <c r="E15" i="1"/>
  <c r="I15" i="1"/>
  <c r="M15" i="1"/>
  <c r="D10" i="1"/>
  <c r="B10" i="1"/>
  <c r="F10" i="1"/>
  <c r="B11" i="1"/>
  <c r="C12" i="1"/>
  <c r="G12" i="1"/>
  <c r="B15" i="1"/>
  <c r="F15" i="1"/>
  <c r="J15" i="1"/>
  <c r="N15" i="1"/>
  <c r="D11" i="1"/>
  <c r="C10" i="1"/>
  <c r="G10" i="1"/>
  <c r="C11" i="1"/>
  <c r="C15" i="1"/>
  <c r="G15" i="1"/>
  <c r="K15" i="1"/>
  <c r="B22" i="1"/>
  <c r="B27" i="1"/>
  <c r="B25" i="1"/>
  <c r="B26" i="1"/>
  <c r="B23" i="1"/>
  <c r="B21" i="1"/>
  <c r="B20" i="1"/>
</calcChain>
</file>

<file path=xl/sharedStrings.xml><?xml version="1.0" encoding="utf-8"?>
<sst xmlns="http://schemas.openxmlformats.org/spreadsheetml/2006/main" count="293" uniqueCount="189">
  <si>
    <t>Nombre limite alerte</t>
  </si>
  <si>
    <t>STOCK</t>
  </si>
  <si>
    <t>Veste Treillis</t>
  </si>
  <si>
    <t>36/38</t>
  </si>
  <si>
    <t>38/40</t>
  </si>
  <si>
    <t>40/42</t>
  </si>
  <si>
    <t>42/44</t>
  </si>
  <si>
    <t>44/46</t>
  </si>
  <si>
    <t>46/48</t>
  </si>
  <si>
    <t>48/50</t>
  </si>
  <si>
    <t>50/52</t>
  </si>
  <si>
    <t>52/54</t>
  </si>
  <si>
    <t>54/56</t>
  </si>
  <si>
    <t>56/58</t>
  </si>
  <si>
    <t>58/60</t>
  </si>
  <si>
    <t>60/62</t>
  </si>
  <si>
    <t>62/64</t>
  </si>
  <si>
    <t>64/66</t>
  </si>
  <si>
    <t>S</t>
  </si>
  <si>
    <t>M</t>
  </si>
  <si>
    <t>L</t>
  </si>
  <si>
    <t>XL</t>
  </si>
  <si>
    <t>XXL</t>
  </si>
  <si>
    <t>XXXL</t>
  </si>
  <si>
    <t>XXXXL</t>
  </si>
  <si>
    <t>XXXXXL</t>
  </si>
  <si>
    <t>Parka</t>
  </si>
  <si>
    <t>Veste polaire</t>
  </si>
  <si>
    <t>Tee shirt orange</t>
  </si>
  <si>
    <t>Tee shirt bleu</t>
  </si>
  <si>
    <t>Chemise F1</t>
  </si>
  <si>
    <t>Pantalon treillis</t>
  </si>
  <si>
    <t>Chaussures d'intervention</t>
  </si>
  <si>
    <t>Casquette d'intervention</t>
  </si>
  <si>
    <t>Casquette de cérémonie</t>
  </si>
  <si>
    <t>Bonnet</t>
  </si>
  <si>
    <t>Ceinture bleue</t>
  </si>
  <si>
    <t xml:space="preserve">Cagoule feu </t>
  </si>
  <si>
    <t>Gants feu</t>
  </si>
  <si>
    <t>Ceinturon</t>
  </si>
  <si>
    <t>Pantalon pluie</t>
  </si>
  <si>
    <t>Veste pluie</t>
  </si>
  <si>
    <t>Tailles veste treillis</t>
  </si>
  <si>
    <t>Tailles internationales</t>
  </si>
  <si>
    <t>Tailles françaises</t>
  </si>
  <si>
    <t>Pointures</t>
  </si>
  <si>
    <t>Quantité</t>
  </si>
  <si>
    <t>Equipements</t>
  </si>
  <si>
    <t>Date</t>
  </si>
  <si>
    <t>Nom</t>
  </si>
  <si>
    <t>Prénom</t>
  </si>
  <si>
    <t>Tee shirt orange S</t>
  </si>
  <si>
    <t>Tee shirt orange M</t>
  </si>
  <si>
    <t>Tee shirt orange L</t>
  </si>
  <si>
    <t>Tee shirt orange XL</t>
  </si>
  <si>
    <t>Tee shirt orange XXL</t>
  </si>
  <si>
    <t>Tee shirt orange XXXL</t>
  </si>
  <si>
    <t>Tee shirt orange XXXXL</t>
  </si>
  <si>
    <t>Tee shirt orange XXXXXL</t>
  </si>
  <si>
    <t>Tee shirt bleu S</t>
  </si>
  <si>
    <t>Tee shirt bleu M</t>
  </si>
  <si>
    <t>Tee shirt bleu L</t>
  </si>
  <si>
    <t>Tee shirt bleu XL</t>
  </si>
  <si>
    <t>Tee shirt bleu XXL</t>
  </si>
  <si>
    <t>Tee shirt bleu XXXL</t>
  </si>
  <si>
    <t>Tee shirt bleu XXXXL</t>
  </si>
  <si>
    <t>Tee shirt bleu XXXXXL</t>
  </si>
  <si>
    <t>Chemise F1 S</t>
  </si>
  <si>
    <t>Chemise F1 M</t>
  </si>
  <si>
    <t>Chemise F1 L</t>
  </si>
  <si>
    <t>Chemise F1 XL</t>
  </si>
  <si>
    <t>Chemise F1 XXL</t>
  </si>
  <si>
    <t>Chemise F1 XXXL</t>
  </si>
  <si>
    <t>Chemise F1 XXXXL</t>
  </si>
  <si>
    <t>Chemise F1 XXXXXL</t>
  </si>
  <si>
    <t>Pantalon treillis 36</t>
  </si>
  <si>
    <t>Pantalon treillis 38</t>
  </si>
  <si>
    <t>Pantalon treillis 42</t>
  </si>
  <si>
    <t>Pantalon treillis 44</t>
  </si>
  <si>
    <t>Pantalon treillis 48</t>
  </si>
  <si>
    <t>Pantalon treillis 50</t>
  </si>
  <si>
    <t>Pantalon treillis 54</t>
  </si>
  <si>
    <t>Pantalon treillis 56</t>
  </si>
  <si>
    <t>Pantalon treillis 58</t>
  </si>
  <si>
    <t>Pantalon treillis 60</t>
  </si>
  <si>
    <t>Pantalon treillis 62</t>
  </si>
  <si>
    <t>Totaux réapprovisionnés</t>
  </si>
  <si>
    <t>Chaussures
d'intervention</t>
  </si>
  <si>
    <t>Casquette
d'intervention</t>
  </si>
  <si>
    <t>Casquette
de cérémonie</t>
  </si>
  <si>
    <t>Veste
Polaire</t>
  </si>
  <si>
    <t>Pantalon
Treillis</t>
  </si>
  <si>
    <t>Tee Shirt 
Orange</t>
  </si>
  <si>
    <t>Tee Shirt 
Bleu</t>
  </si>
  <si>
    <t>Totaux</t>
  </si>
  <si>
    <t>Qté</t>
  </si>
  <si>
    <t>Ceinture
bleue</t>
  </si>
  <si>
    <t>Ceinture
Bleue</t>
  </si>
  <si>
    <t xml:space="preserve">Cagoule
Feu </t>
  </si>
  <si>
    <t>Gants
Feu</t>
  </si>
  <si>
    <t>Veste treillis
36/38</t>
  </si>
  <si>
    <t>Veste treillis
38/40</t>
  </si>
  <si>
    <t>Veste treillis
40/42</t>
  </si>
  <si>
    <t>Veste treillis
42/44</t>
  </si>
  <si>
    <t>Veste treillis
44/46</t>
  </si>
  <si>
    <t>Veste treillis
46/48</t>
  </si>
  <si>
    <t>Veste treillis
48/50</t>
  </si>
  <si>
    <t>Veste treillis
50/52</t>
  </si>
  <si>
    <t>Veste treillis
52/54</t>
  </si>
  <si>
    <t>Veste treillis
54/56</t>
  </si>
  <si>
    <t>Veste treillis
56/58</t>
  </si>
  <si>
    <t>Veste treillis
58/60</t>
  </si>
  <si>
    <t>Veste treillis
60/62</t>
  </si>
  <si>
    <t>Veste treillis
62/64</t>
  </si>
  <si>
    <t>Veste treillis
64/66</t>
  </si>
  <si>
    <t>Parka
S</t>
  </si>
  <si>
    <t>Parka
M</t>
  </si>
  <si>
    <t>Parka
L</t>
  </si>
  <si>
    <t>Parka
XL</t>
  </si>
  <si>
    <t>Parka
XXL</t>
  </si>
  <si>
    <t>Parka
XXXL</t>
  </si>
  <si>
    <t>Parka
XXXXL</t>
  </si>
  <si>
    <t>Parka
XXXXXL</t>
  </si>
  <si>
    <t>Veste polaire
S</t>
  </si>
  <si>
    <t>Veste polaire
M</t>
  </si>
  <si>
    <t>Veste polaire
L</t>
  </si>
  <si>
    <t>Veste polaire
XL</t>
  </si>
  <si>
    <t>Veste polaire
XXL</t>
  </si>
  <si>
    <t>Veste polaire
XXXL</t>
  </si>
  <si>
    <t>Veste polaire
XXXXL</t>
  </si>
  <si>
    <t>Veste polaire
XXXXXL</t>
  </si>
  <si>
    <t>Tee shirt
orange S</t>
  </si>
  <si>
    <t>Tee shirt
orange M</t>
  </si>
  <si>
    <t>Tee shirt
orange L</t>
  </si>
  <si>
    <t>Tee shirt
orange XL</t>
  </si>
  <si>
    <t>Tee shirt
orange XXL</t>
  </si>
  <si>
    <t>Tee shirt
orange XXXL</t>
  </si>
  <si>
    <t>Tee shirt
orange XXXXL</t>
  </si>
  <si>
    <t>Tee shirt
orange XXXXXL</t>
  </si>
  <si>
    <t>Tee shirt
bleu S</t>
  </si>
  <si>
    <t>Tee shirt
bleu M</t>
  </si>
  <si>
    <t>Tee shirt
bleu L</t>
  </si>
  <si>
    <t>Tee shirt
bleu XL</t>
  </si>
  <si>
    <t>Tee shirt
bleu XXL</t>
  </si>
  <si>
    <t>Tee shirt
bleu XXXL</t>
  </si>
  <si>
    <t>Tee shirt
bleu XXXXL</t>
  </si>
  <si>
    <t>Tee shirt
bleu XXXXXL</t>
  </si>
  <si>
    <t>Chemise
F1 S</t>
  </si>
  <si>
    <t>Chemise
F1 M</t>
  </si>
  <si>
    <t>Chemise
F1 L</t>
  </si>
  <si>
    <t>Chemise
F1 XL</t>
  </si>
  <si>
    <t>Chemise
F1 XXL</t>
  </si>
  <si>
    <t>Chemise
F1 XXXL</t>
  </si>
  <si>
    <t>Chemise
F1 XXXXL</t>
  </si>
  <si>
    <t>Chemise
F1 XXXXXL</t>
  </si>
  <si>
    <t>Pantalon
treillis 36</t>
  </si>
  <si>
    <t>Pantalon
treillis 38</t>
  </si>
  <si>
    <t>Panatalon
treillis 40</t>
  </si>
  <si>
    <t>Pantalon
treillis 42</t>
  </si>
  <si>
    <t>Pantalon
treillis 44</t>
  </si>
  <si>
    <t>Pantalon
treillis 46</t>
  </si>
  <si>
    <t>Pantalon
treillis 48</t>
  </si>
  <si>
    <t>Pantalon
treillis 50</t>
  </si>
  <si>
    <t>Panatalon
treillis 52</t>
  </si>
  <si>
    <t>Pantalon
treillis 54</t>
  </si>
  <si>
    <t>Pantalon
treillis 56</t>
  </si>
  <si>
    <t>Pantalon
treillis 58</t>
  </si>
  <si>
    <t>Pantalon
treillis 60</t>
  </si>
  <si>
    <t>Pantalon
treillis 62</t>
  </si>
  <si>
    <t>Chaussures
d'intervention
36</t>
  </si>
  <si>
    <t>Chaussures
d'intervention
37</t>
  </si>
  <si>
    <t>Chaussures
d'intervention
38</t>
  </si>
  <si>
    <t>Chaussures
d'intervention
39</t>
  </si>
  <si>
    <t>Chaussures
d'intervention
40</t>
  </si>
  <si>
    <t>Chaussures
d'intervention
41</t>
  </si>
  <si>
    <t>Chaussures
d'intervention
42</t>
  </si>
  <si>
    <t>Chaussures
d'intervention
43</t>
  </si>
  <si>
    <t>Chaussures
d'intervention
44</t>
  </si>
  <si>
    <t>Chaussures
d'intervention
45</t>
  </si>
  <si>
    <t>Cagoule
Feu</t>
  </si>
  <si>
    <t>Pantalon
Pluie</t>
  </si>
  <si>
    <t>Veste Pluie
S</t>
  </si>
  <si>
    <t>Veste pluie
M</t>
  </si>
  <si>
    <t>Veste Pluie
L</t>
  </si>
  <si>
    <t>Veste pluie
XL</t>
  </si>
  <si>
    <t>Veste pluie
XXL</t>
  </si>
  <si>
    <t>Pantalon treillis 40</t>
  </si>
  <si>
    <t>Pantalon treillis 46</t>
  </si>
  <si>
    <t>Pantalon treillis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</si>
</sst>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48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</font>
    <font>
      <sz val="48"/>
      <color rgb="FF05479B"/>
      <name val="Aptos Narrow"/>
      <family val="2"/>
      <scheme val="minor"/>
    </font>
    <font>
      <sz val="20"/>
      <color rgb="FF333399"/>
      <name val="Aptos Narrow"/>
      <family val="2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29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/>
    <xf numFmtId="1" fontId="0" fillId="0" borderId="1" xfId="0" applyNumberFormat="1" applyBorder="1"/>
    <xf numFmtId="0" fontId="0" fillId="0" borderId="1" xfId="0" quotePrefix="1" applyBorder="1"/>
    <xf numFmtId="14" fontId="7" fillId="0" borderId="0" xfId="0" applyNumberFormat="1" applyFont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7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29000"/>
      <color rgb="FF0547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152400</xdr:colOff>
          <xdr:row>1</xdr:row>
          <xdr:rowOff>9525</xdr:rowOff>
        </xdr:from>
        <xdr:to>
          <xdr:col>3</xdr:col>
          <xdr:colOff>742950</xdr:colOff>
          <xdr:row>8</xdr:row>
          <xdr:rowOff>114300</xdr:rowOff>
        </xdr:to>
        <xdr:sp macro="" textlink="">
          <xdr:nvSpPr>
            <xdr:cNvPr id="2049" name="BoutonStock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le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9525</xdr:rowOff>
        </xdr:from>
        <xdr:to>
          <xdr:col>8</xdr:col>
          <xdr:colOff>95250</xdr:colOff>
          <xdr:row>8</xdr:row>
          <xdr:rowOff>114300</xdr:rowOff>
        </xdr:to>
        <xdr:sp macro="" textlink="">
          <xdr:nvSpPr>
            <xdr:cNvPr id="2050" name="BoutonDotati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une DOTATION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371475</xdr:colOff>
          <xdr:row>0</xdr:row>
          <xdr:rowOff>180975</xdr:rowOff>
        </xdr:from>
        <xdr:to>
          <xdr:col>12</xdr:col>
          <xdr:colOff>200025</xdr:colOff>
          <xdr:row>8</xdr:row>
          <xdr:rowOff>95250</xdr:rowOff>
        </xdr:to>
        <xdr:sp macro="" textlink="">
          <xdr:nvSpPr>
            <xdr:cNvPr id="2051" name="BoutonReappro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 REAPPROVISIONNEMENT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885825</xdr:colOff>
          <xdr:row>1</xdr:row>
          <xdr:rowOff>47625</xdr:rowOff>
        </xdr:from>
        <xdr:to>
          <xdr:col>3</xdr:col>
          <xdr:colOff>19050</xdr:colOff>
          <xdr:row>1</xdr:row>
          <xdr:rowOff>771525</xdr:rowOff>
        </xdr:to>
        <xdr:sp macro="" textlink="">
          <xdr:nvSpPr>
            <xdr:cNvPr id="3073" name="Retour Accueil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85725</xdr:rowOff>
        </xdr:from>
        <xdr:to>
          <xdr:col>2</xdr:col>
          <xdr:colOff>514350</xdr:colOff>
          <xdr:row>4</xdr:row>
          <xdr:rowOff>47625</xdr:rowOff>
        </xdr:to>
        <xdr:sp macro="" textlink="">
          <xdr:nvSpPr>
            <xdr:cNvPr id="4098" name="Retour Accueil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0</xdr:row>
          <xdr:rowOff>85725</xdr:rowOff>
        </xdr:from>
        <xdr:to>
          <xdr:col>6</xdr:col>
          <xdr:colOff>19050</xdr:colOff>
          <xdr:row>4</xdr:row>
          <xdr:rowOff>47625</xdr:rowOff>
        </xdr:to>
        <xdr:sp macro="" textlink="">
          <xdr:nvSpPr>
            <xdr:cNvPr id="4100" name="BoutonSaisirDotation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une dotation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66675</xdr:rowOff>
        </xdr:from>
        <xdr:to>
          <xdr:col>1</xdr:col>
          <xdr:colOff>428625</xdr:colOff>
          <xdr:row>4</xdr:row>
          <xdr:rowOff>66675</xdr:rowOff>
        </xdr:to>
        <xdr:sp macro="" textlink="">
          <xdr:nvSpPr>
            <xdr:cNvPr id="5122" name="Retour Accuei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552450</xdr:colOff>
          <xdr:row>0</xdr:row>
          <xdr:rowOff>57150</xdr:rowOff>
        </xdr:from>
        <xdr:to>
          <xdr:col>5</xdr:col>
          <xdr:colOff>47625</xdr:colOff>
          <xdr:row>4</xdr:row>
          <xdr:rowOff>76200</xdr:rowOff>
        </xdr:to>
        <xdr:sp macro="" textlink="">
          <xdr:nvSpPr>
            <xdr:cNvPr id="5125" name="BoutonSaisirRéappro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Réapprovisionnement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2</xdr:row>
          <xdr:rowOff>57150</xdr:rowOff>
        </xdr:from>
        <xdr:to>
          <xdr:col>1</xdr:col>
          <xdr:colOff>485775</xdr:colOff>
          <xdr:row>4</xdr:row>
          <xdr:rowOff>152400</xdr:rowOff>
        </xdr:to>
        <xdr:sp macro="" textlink="">
          <xdr:nvSpPr>
            <xdr:cNvPr id="6146" name="Retour Accueil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74E6F-43CC-4053-A3E2-2BD7BD43CF75}">
  <sheetPr codeName="Feuil1"/>
  <dimension ref="A1"/>
  <sheetViews>
    <sheetView workbookViewId="0">
      <selection activeCell="B19" sqref="B19"/>
    </sheetView>
  </sheetViews>
  <sheetFormatPr baseColWidth="10" defaultRowHeight="15" x14ac:dyDescent="0.25"/>
  <sheetData/>
  <sheetProtection sheet="1" objects="1" scenarios="1"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outonStock">
              <controlPr defaultSize="0" print="0" autoFill="0" autoPict="0" macro="[0]!StockClic">
                <anchor>
                  <from>
                    <xdr:col>0</xdr:col>
                    <xdr:colOff>152400</xdr:colOff>
                    <xdr:row>1</xdr:row>
                    <xdr:rowOff>9525</xdr:rowOff>
                  </from>
                  <to>
                    <xdr:col>3</xdr:col>
                    <xdr:colOff>742950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outonDotation">
              <controlPr defaultSize="0" print="0" autoFill="0" autoPict="0" macro="[0]!DotationClic">
                <anchor moveWithCells="1" sizeWithCells="1">
                  <from>
                    <xdr:col>4</xdr:col>
                    <xdr:colOff>266700</xdr:colOff>
                    <xdr:row>1</xdr:row>
                    <xdr:rowOff>9525</xdr:rowOff>
                  </from>
                  <to>
                    <xdr:col>8</xdr:col>
                    <xdr:colOff>95250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outonReappro">
              <controlPr defaultSize="0" print="0" autoFill="0" autoPict="0" macro="[0]!RéapproClic">
                <anchor moveWithCells="1" sizeWithCells="1">
                  <from>
                    <xdr:col>8</xdr:col>
                    <xdr:colOff>371475</xdr:colOff>
                    <xdr:row>0</xdr:row>
                    <xdr:rowOff>180975</xdr:rowOff>
                  </from>
                  <to>
                    <xdr:col>12</xdr:col>
                    <xdr:colOff>200025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F8E3E-1046-4CA7-92B9-E5EA52676A21}">
  <sheetPr codeName="Feuil2"/>
  <dimension ref="A1:P32"/>
  <sheetViews>
    <sheetView tabSelected="1" topLeftCell="A2" workbookViewId="0">
      <selection activeCell="Q7" sqref="Q7"/>
    </sheetView>
  </sheetViews>
  <sheetFormatPr baseColWidth="10" defaultRowHeight="15" x14ac:dyDescent="0.25"/>
  <cols>
    <col min="1" max="1" width="24.140625" bestFit="1" customWidth="1"/>
    <col min="2" max="2" width="15.5703125" bestFit="1" customWidth="1"/>
    <col min="3" max="7" width="5.7109375" bestFit="1" customWidth="1"/>
    <col min="8" max="8" width="6.42578125" bestFit="1" customWidth="1"/>
    <col min="9" max="9" width="7.5703125" bestFit="1" customWidth="1"/>
    <col min="10" max="16" width="5.7109375" bestFit="1" customWidth="1"/>
    <col min="17" max="17" width="15.28515625" customWidth="1"/>
  </cols>
  <sheetData>
    <row r="1" spans="1:16" hidden="1" x14ac:dyDescent="0.25">
      <c r="A1" s="7" t="s">
        <v>0</v>
      </c>
      <c r="B1" s="8">
        <v>0</v>
      </c>
    </row>
    <row r="2" spans="1:16" ht="63.75" x14ac:dyDescent="1">
      <c r="A2" s="20" t="s">
        <v>1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</row>
    <row r="3" spans="1:16" ht="18.75" customHeight="1" x14ac:dyDescent="1">
      <c r="A3" s="19">
        <f ca="1">TODAY()</f>
        <v>45653</v>
      </c>
      <c r="F3" s="1"/>
      <c r="G3" s="1"/>
      <c r="H3" s="1"/>
      <c r="I3" s="1"/>
      <c r="J3" s="1"/>
      <c r="K3" s="1"/>
      <c r="L3" s="1"/>
      <c r="M3" s="1"/>
    </row>
    <row r="4" spans="1:16" ht="15.75" customHeight="1" x14ac:dyDescent="0.25"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8" t="s">
        <v>11</v>
      </c>
      <c r="K4" s="8" t="s">
        <v>12</v>
      </c>
      <c r="L4" s="8" t="s">
        <v>13</v>
      </c>
      <c r="M4" s="8" t="s">
        <v>14</v>
      </c>
      <c r="N4" s="8" t="s">
        <v>15</v>
      </c>
      <c r="O4" s="8" t="s">
        <v>16</v>
      </c>
      <c r="P4" s="8" t="s">
        <v>17</v>
      </c>
    </row>
    <row r="5" spans="1:16" x14ac:dyDescent="0.25">
      <c r="A5" s="9" t="s">
        <v>2</v>
      </c>
      <c r="B5" s="8">
        <f>'Inventaire du 101242'!B2- COUNTIF(Dotation!D9:D50000,"36/38")+Réappro!B6</f>
        <v>0</v>
      </c>
      <c r="C5" s="8">
        <f>'Inventaire du 101242'!C2- COUNTIF(Dotation!D9:D50000,"38/40")+Réappro!C6</f>
        <v>0</v>
      </c>
      <c r="D5" s="8">
        <f>'Inventaire du 101242'!D2- COUNTIF(Dotation!D9:D50000,"40/42")+Réappro!D6</f>
        <v>0</v>
      </c>
      <c r="E5" s="8">
        <f>'Inventaire du 101242'!E2- COUNTIF(Dotation!D9:D50000,"42/44")+Réappro!E6</f>
        <v>0</v>
      </c>
      <c r="F5" s="8">
        <f>'Inventaire du 101242'!F2- COUNTIF(Dotation!D9:D50000,"44/46")+Réappro!F6</f>
        <v>1</v>
      </c>
      <c r="G5" s="8">
        <f>'Inventaire du 101242'!G2- COUNTIF(Dotation!D9:D50000,"46/48")+Réappro!G6</f>
        <v>0</v>
      </c>
      <c r="H5" s="8">
        <f>'Inventaire du 101242'!H2- COUNTIF(Dotation!D9:D50000,"48/50")+Réappro!H6</f>
        <v>1</v>
      </c>
      <c r="I5" s="8">
        <f>'Inventaire du 101242'!I2- COUNTIF(Dotation!D9:D50000,"50/52")+Réappro!I6</f>
        <v>0</v>
      </c>
      <c r="J5" s="8">
        <f>'Inventaire du 101242'!J2- COUNTIF(Dotation!D9:D50000,"52/54")+Réappro!J6</f>
        <v>2</v>
      </c>
      <c r="K5" s="8">
        <f>'Inventaire du 101242'!K2- COUNTIF(Dotation!D9:D50000,"54/56")+Réappro!K6</f>
        <v>0</v>
      </c>
      <c r="L5" s="8">
        <f>'Inventaire du 101242'!L2- COUNTIF(Dotation!D9:D50000,"56/58")+Réappro!L6</f>
        <v>4</v>
      </c>
      <c r="M5" s="8">
        <f>'Inventaire du 101242'!M2- COUNTIF(Dotation!D9:D50000,"58/60")+Réappro!M6</f>
        <v>0</v>
      </c>
      <c r="N5" s="8">
        <f>'Inventaire du 101242'!N2- COUNTIF(Dotation!D9:D50000,"60/62")+Réappro!N6</f>
        <v>3</v>
      </c>
      <c r="O5" s="8">
        <f>'Inventaire du 101242'!O2- COUNTIF(Dotation!D9:D50000,"62/64")+Réappro!O6</f>
        <v>0</v>
      </c>
      <c r="P5" s="8">
        <f>'Inventaire du 101242'!P2- COUNTIF(Dotation!D9:D50000,"64/66")+Réappro!P6</f>
        <v>5</v>
      </c>
    </row>
    <row r="6" spans="1:16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 x14ac:dyDescent="0.25">
      <c r="B7" s="8" t="s">
        <v>18</v>
      </c>
      <c r="C7" s="8" t="s">
        <v>19</v>
      </c>
      <c r="D7" s="8" t="s">
        <v>20</v>
      </c>
      <c r="E7" s="8" t="s">
        <v>21</v>
      </c>
      <c r="F7" s="8" t="s">
        <v>22</v>
      </c>
      <c r="G7" s="8" t="s">
        <v>23</v>
      </c>
      <c r="H7" s="8" t="s">
        <v>24</v>
      </c>
      <c r="I7" s="8" t="s">
        <v>25</v>
      </c>
    </row>
    <row r="8" spans="1:16" x14ac:dyDescent="0.25">
      <c r="A8" s="8" t="s">
        <v>26</v>
      </c>
      <c r="B8" s="8">
        <f>'Inventaire du 101242'!B5 - COUNTIF(Dotation!E9:E50000,"S")+Réappro!Q6</f>
        <v>0</v>
      </c>
      <c r="C8" s="8">
        <f>'Inventaire du 101242'!C5- COUNTIF(Dotation!E9:E50000,"M")+Réappro!R6</f>
        <v>0</v>
      </c>
      <c r="D8" s="8">
        <f>'Inventaire du 101242'!D5- COUNTIF(Dotation!E9:E50000,"L")+Réappro!S6</f>
        <v>1</v>
      </c>
      <c r="E8" s="8">
        <f>'Inventaire du 101242'!E5- COUNTIF(Dotation!E9:E50000,"XL")+Réappro!T6</f>
        <v>0</v>
      </c>
      <c r="F8" s="8">
        <f>'Inventaire du 101242'!F5- COUNTIF(Dotation!E9:E50000,"XXL")+Réappro!U6</f>
        <v>0</v>
      </c>
      <c r="G8" s="8">
        <f>'Inventaire du 101242'!G5- COUNTIF(Dotation!E9:E50000,"XXXL")+Réappro!V6</f>
        <v>0</v>
      </c>
      <c r="H8" s="8">
        <f>'Inventaire du 101242'!H5- COUNTIF(Dotation!E9:E50000,"XXXXL")+Réappro!W6</f>
        <v>0</v>
      </c>
      <c r="I8" s="8">
        <f>'Inventaire du 101242'!I5- COUNTIF(Dotation!E9:E50000,"XXXXXL")+Réappro!X6</f>
        <v>0</v>
      </c>
    </row>
    <row r="9" spans="1:16" x14ac:dyDescent="0.25">
      <c r="A9" s="8" t="s">
        <v>27</v>
      </c>
      <c r="B9" s="8">
        <f>'Inventaire du 101242'!B6 - COUNTIF(Dotation!F9:F50000,"S")+Réappro!Y6</f>
        <v>0</v>
      </c>
      <c r="C9" s="8">
        <f>'Inventaire du 101242'!C6 - COUNTIF(Dotation!F9:F50000,"M")+Réappro!Z6</f>
        <v>0</v>
      </c>
      <c r="D9" s="8">
        <f>'Inventaire du 101242'!D6 - COUNTIF(Dotation!F9:F50000,"L")+Réappro!AA6</f>
        <v>0</v>
      </c>
      <c r="E9" s="8">
        <f>'Inventaire du 101242'!E6 - COUNTIF(Dotation!F9:F50000,"XL")+Réappro!AB6</f>
        <v>3</v>
      </c>
      <c r="F9" s="8">
        <f>'Inventaire du 101242'!F6 - COUNTIF(Dotation!F9:F50000,"XXL")+Réappro!AC6</f>
        <v>1</v>
      </c>
      <c r="G9" s="8">
        <f>'Inventaire du 101242'!G6 - COUNTIF(Dotation!F9:F50000,"XXXL")+Réappro!AD6</f>
        <v>1</v>
      </c>
      <c r="H9" s="8">
        <f>'Inventaire du 101242'!H6 - COUNTIF(Dotation!F9:F50000,"XXXXL")+Réappro!AE6</f>
        <v>0</v>
      </c>
      <c r="I9" s="8">
        <f>'Inventaire du 101242'!I6 - COUNTIF(Dotation!F9:F50000,"XXXXXL")+Réappro!AF6</f>
        <v>0</v>
      </c>
    </row>
    <row r="10" spans="1:16" x14ac:dyDescent="0.25">
      <c r="A10" s="8" t="s">
        <v>28</v>
      </c>
      <c r="B10" s="18">
        <f>'Inventaire du 101242'!B7-'QTE Dotation'!C2+Réappro!AG6</f>
        <v>14</v>
      </c>
      <c r="C10" s="8">
        <f>'Inventaire du 101242'!C7-'QTE Dotation'!C3+Réappro!AH6</f>
        <v>1</v>
      </c>
      <c r="D10" s="8">
        <f>'Inventaire du 101242'!D7-'QTE Dotation'!C4+Réappro!AI6</f>
        <v>14</v>
      </c>
      <c r="E10" s="8">
        <f>'Inventaire du 101242'!E7-'QTE Dotation'!C5+Réappro!AJ6</f>
        <v>13</v>
      </c>
      <c r="F10" s="8">
        <f>'Inventaire du 101242'!F7-'QTE Dotation'!C6+Réappro!AK6</f>
        <v>10</v>
      </c>
      <c r="G10" s="8">
        <f>'Inventaire du 101242'!G7-'QTE Dotation'!C7+Réappro!AL6</f>
        <v>5</v>
      </c>
      <c r="H10" s="8">
        <f>'Inventaire du 101242'!H7-'QTE Dotation'!C8+Réappro!AM6</f>
        <v>6</v>
      </c>
      <c r="I10" s="8">
        <f>'Inventaire du 101242'!I7-'QTE Dotation'!C9+Réappro!AN6</f>
        <v>1</v>
      </c>
    </row>
    <row r="11" spans="1:16" x14ac:dyDescent="0.25">
      <c r="A11" s="8" t="s">
        <v>29</v>
      </c>
      <c r="B11" s="8">
        <f>'Inventaire du 101242'!B8-'QTE Dotation'!C11+Réappro!AO6</f>
        <v>4</v>
      </c>
      <c r="C11" s="8">
        <f>'Inventaire du 101242'!C8-'QTE Dotation'!C12+Réappro!AP6</f>
        <v>8</v>
      </c>
      <c r="D11" s="8">
        <f>'Inventaire du 101242'!D8-'QTE Dotation'!C13+Réappro!AQ6</f>
        <v>6</v>
      </c>
      <c r="E11" s="8">
        <f>'Inventaire du 101242'!E8-'QTE Dotation'!D13+Réappro!AR6</f>
        <v>15</v>
      </c>
      <c r="F11" s="8">
        <f>'Inventaire du 101242'!F8-'QTE Dotation'!E13+Réappro!AS6</f>
        <v>11</v>
      </c>
      <c r="G11" s="8">
        <f>'Inventaire du 101242'!G8-'QTE Dotation'!F13+Réappro!AT6</f>
        <v>16</v>
      </c>
      <c r="H11" s="8">
        <f>'Inventaire du 101242'!H8-'QTE Dotation'!G13+Réappro!AU6</f>
        <v>1</v>
      </c>
      <c r="I11" s="8">
        <f>'Inventaire du 101242'!I8-'QTE Dotation'!H13+Réappro!AV6</f>
        <v>0</v>
      </c>
    </row>
    <row r="12" spans="1:16" x14ac:dyDescent="0.25">
      <c r="A12" s="8" t="s">
        <v>30</v>
      </c>
      <c r="B12" s="8">
        <f>'Inventaire du 101242'!B9-'QTE Dotation'!C20+Réappro!AW6</f>
        <v>5</v>
      </c>
      <c r="C12" s="8">
        <f>'Inventaire du 101242'!C9-'QTE Dotation'!C21+Réappro!AX6</f>
        <v>0</v>
      </c>
      <c r="D12" s="8">
        <f>'Inventaire du 101242'!D9-'QTE Dotation'!C22+Réappro!AY6</f>
        <v>0</v>
      </c>
      <c r="E12" s="8">
        <f>'Inventaire du 101242'!BE9-'QTE Dotation'!C23+Réappro!AZ6</f>
        <v>0</v>
      </c>
      <c r="F12" s="8">
        <f>'Inventaire du 101242'!F9-'QTE Dotation'!C24+Réappro!BA6</f>
        <v>2</v>
      </c>
      <c r="G12" s="8">
        <f>'Inventaire du 101242'!G9-'QTE Dotation'!C25+Réappro!BB6</f>
        <v>0</v>
      </c>
      <c r="H12" s="8">
        <f>'Inventaire du 101242'!H9-'QTE Dotation'!C26+Réappro!BC6</f>
        <v>0</v>
      </c>
      <c r="I12" s="8">
        <f>'Inventaire du 101242'!I9-'QTE Dotation'!C27+Réappro!BD6</f>
        <v>0</v>
      </c>
    </row>
    <row r="13" spans="1:16" ht="15.75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ht="15.95" customHeight="1" x14ac:dyDescent="0.25">
      <c r="B14" s="8">
        <v>36</v>
      </c>
      <c r="C14" s="8">
        <v>38</v>
      </c>
      <c r="D14" s="8">
        <v>40</v>
      </c>
      <c r="E14" s="8">
        <v>42</v>
      </c>
      <c r="F14" s="8">
        <v>44</v>
      </c>
      <c r="G14" s="8">
        <v>46</v>
      </c>
      <c r="H14" s="8">
        <v>48</v>
      </c>
      <c r="I14" s="8">
        <v>50</v>
      </c>
      <c r="J14" s="8">
        <v>52</v>
      </c>
      <c r="K14" s="8">
        <v>54</v>
      </c>
      <c r="L14" s="8">
        <v>56</v>
      </c>
      <c r="M14" s="8">
        <v>58</v>
      </c>
      <c r="N14" s="8">
        <v>60</v>
      </c>
      <c r="O14" s="8">
        <v>62</v>
      </c>
    </row>
    <row r="15" spans="1:16" ht="15.95" customHeight="1" x14ac:dyDescent="0.25">
      <c r="A15" s="8" t="s">
        <v>31</v>
      </c>
      <c r="B15" s="8">
        <f>'Inventaire du 101242'!B12-'QTE Dotation'!C29+Réappro!BE6</f>
        <v>0</v>
      </c>
      <c r="C15" s="8">
        <f>'Inventaire du 101242'!C12-'QTE Dotation'!C30+Réappro!BF6</f>
        <v>0</v>
      </c>
      <c r="D15" s="8">
        <f>'Inventaire du 101242'!D12-'QTE Dotation'!C31+Réappro!BG6</f>
        <v>0</v>
      </c>
      <c r="E15" s="8">
        <f>'Inventaire du 101242'!E12-'QTE Dotation'!C32+Réappro!BH6</f>
        <v>2</v>
      </c>
      <c r="F15" s="8">
        <f>'Inventaire du 101242'!F12-'QTE Dotation'!C33+Réappro!BI6</f>
        <v>1</v>
      </c>
      <c r="G15" s="8">
        <f>'Inventaire du 101242'!G12-'QTE Dotation'!C34+Réappro!BJ6</f>
        <v>3</v>
      </c>
      <c r="H15" s="8">
        <f>'Inventaire du 101242'!H12-'QTE Dotation'!C35+Réappro!BK6</f>
        <v>0</v>
      </c>
      <c r="I15" s="8">
        <f>'Inventaire du 101242'!I12-'QTE Dotation'!C36+Réappro!BL6</f>
        <v>3</v>
      </c>
      <c r="J15" s="8">
        <f>'Inventaire du 101242'!J12-'QTE Dotation'!C37+Réappro!BM6</f>
        <v>0</v>
      </c>
      <c r="K15" s="8">
        <f>'Inventaire du 101242'!K12-'QTE Dotation'!C38+Réappro!BN6</f>
        <v>5</v>
      </c>
      <c r="L15" s="8">
        <f>'Inventaire du 101242'!L12-'QTE Dotation'!C39+Réappro!BO6</f>
        <v>0</v>
      </c>
      <c r="M15" s="8">
        <f>'Inventaire du 101242'!M12-'QTE Dotation'!C40+Réappro!BP6</f>
        <v>1</v>
      </c>
      <c r="N15" s="8">
        <f>'Inventaire du 101242'!N12-'QTE Dotation'!C41+Réappro!BQ6</f>
        <v>0</v>
      </c>
      <c r="O15" s="8">
        <f>-'QTE Dotation'!C31-'QTE Dotation'!C42+Réappro!BR6</f>
        <v>0</v>
      </c>
    </row>
    <row r="17" spans="1:12" ht="15.95" customHeight="1" x14ac:dyDescent="0.25">
      <c r="B17" s="8">
        <v>36</v>
      </c>
      <c r="C17" s="8">
        <v>37</v>
      </c>
      <c r="D17" s="8">
        <v>38</v>
      </c>
      <c r="E17" s="8">
        <v>39</v>
      </c>
      <c r="F17" s="8">
        <v>40</v>
      </c>
      <c r="G17" s="8">
        <v>41</v>
      </c>
      <c r="H17" s="8">
        <v>42</v>
      </c>
      <c r="I17" s="8">
        <v>43</v>
      </c>
      <c r="J17" s="8">
        <v>44</v>
      </c>
      <c r="K17" s="8">
        <v>45</v>
      </c>
      <c r="L17" s="8">
        <v>46</v>
      </c>
    </row>
    <row r="18" spans="1:12" x14ac:dyDescent="0.25">
      <c r="A18" s="8" t="s">
        <v>32</v>
      </c>
      <c r="B18" s="8">
        <f>'Inventaire du 101242'!B15- COUNTIF(Dotation!O9:O50000,"36")+Réappro!BS9</f>
        <v>0</v>
      </c>
      <c r="C18" s="8">
        <f>'Inventaire du 101242'!C15- COUNTIF(Dotation!O9:O50000,"37")+Réappro!BT9</f>
        <v>0</v>
      </c>
      <c r="D18" s="8">
        <f>'Inventaire du 101242'!D15- COUNTIF(Dotation!O9:O50000,"38")+Réappro!BU9</f>
        <v>1</v>
      </c>
      <c r="E18" s="8">
        <f>'Inventaire du 101242'!E15- COUNTIF(Dotation!O9:O50000,"39")+Réappro!BV9</f>
        <v>3</v>
      </c>
      <c r="F18" s="8">
        <f>'Inventaire du 101242'!F15- COUNTIF(Dotation!O9:O50000,"40")+Réappro!BW9</f>
        <v>0</v>
      </c>
      <c r="G18" s="8">
        <f>'Inventaire du 101242'!G15- COUNTIF(Dotation!O9:O50000,"41")+Réappro!BX9</f>
        <v>0</v>
      </c>
      <c r="H18" s="8">
        <f>'Inventaire du 101242'!H15- COUNTIF(Dotation!O9:O50000,"42")+Réappro!BY9</f>
        <v>1</v>
      </c>
      <c r="I18" s="8">
        <f>'Inventaire du 101242'!I15- COUNTIF(Dotation!O9:O50000,"43")+Réappro!BZ9</f>
        <v>0</v>
      </c>
      <c r="J18" s="8">
        <f>'Inventaire du 101242'!J15- COUNTIF(Dotation!O9:O50000,"44")+Réappro!CA9</f>
        <v>0</v>
      </c>
      <c r="K18" s="8">
        <f>'Inventaire du 101242'!K15- COUNTIF(Dotation!O9:O50000,"45")+Réappro!CB9</f>
        <v>0</v>
      </c>
      <c r="L18" s="8">
        <f>'Inventaire du 101242'!L15- COUNTIF(Dotation!O9:O50000,"46")+Réappro!CC9</f>
        <v>1</v>
      </c>
    </row>
    <row r="20" spans="1:12" x14ac:dyDescent="0.25">
      <c r="A20" s="8" t="s">
        <v>33</v>
      </c>
      <c r="B20" s="8">
        <f>'Inventaire du 101242'!B17+Dotation!P6-Réappro!CC6</f>
        <v>5</v>
      </c>
    </row>
    <row r="21" spans="1:12" x14ac:dyDescent="0.25">
      <c r="A21" s="8" t="s">
        <v>34</v>
      </c>
      <c r="B21" s="8">
        <f>'Inventaire du 101242'!B18+Dotation!Q6-Réappro!CD6</f>
        <v>8</v>
      </c>
    </row>
    <row r="22" spans="1:12" x14ac:dyDescent="0.25">
      <c r="A22" s="8" t="s">
        <v>35</v>
      </c>
      <c r="B22" s="8">
        <f>'Inventaire du 101242'!B19+Dotation!R6-Réappro!CE6</f>
        <v>13</v>
      </c>
    </row>
    <row r="23" spans="1:12" x14ac:dyDescent="0.25">
      <c r="A23" s="8" t="s">
        <v>36</v>
      </c>
      <c r="B23" s="8">
        <f>'Inventaire du 101242'!B20+Dotation!S6-Réappro!CF6</f>
        <v>0</v>
      </c>
    </row>
    <row r="25" spans="1:12" x14ac:dyDescent="0.25">
      <c r="A25" s="8" t="s">
        <v>37</v>
      </c>
      <c r="B25" s="8">
        <f>'Inventaire du 101242'!B22+Dotation!T6-Réappro!CG6</f>
        <v>0</v>
      </c>
    </row>
    <row r="26" spans="1:12" x14ac:dyDescent="0.25">
      <c r="A26" s="8" t="s">
        <v>38</v>
      </c>
      <c r="B26" s="8">
        <f>'Inventaire du 101242'!B23+Dotation!U6-Réappro!CH6</f>
        <v>8</v>
      </c>
    </row>
    <row r="27" spans="1:12" x14ac:dyDescent="0.25">
      <c r="A27" s="8" t="s">
        <v>39</v>
      </c>
      <c r="B27" s="8">
        <f>'Inventaire du 101242'!B24+Dotation!V6-Réappro!CI6</f>
        <v>0</v>
      </c>
    </row>
    <row r="29" spans="1:12" ht="15.95" customHeight="1" x14ac:dyDescent="0.25">
      <c r="A29" s="8" t="s">
        <v>40</v>
      </c>
      <c r="B29" s="8">
        <f>'Inventaire du 101242'!B26</f>
        <v>29</v>
      </c>
    </row>
    <row r="30" spans="1:12" ht="15.95" customHeight="1" x14ac:dyDescent="0.25"/>
    <row r="31" spans="1:12" x14ac:dyDescent="0.25">
      <c r="B31" s="8" t="s">
        <v>18</v>
      </c>
      <c r="C31" s="8" t="s">
        <v>19</v>
      </c>
      <c r="D31" s="8" t="s">
        <v>20</v>
      </c>
      <c r="E31" s="8" t="s">
        <v>21</v>
      </c>
      <c r="F31" s="8" t="s">
        <v>22</v>
      </c>
    </row>
    <row r="32" spans="1:12" x14ac:dyDescent="0.25">
      <c r="A32" s="8" t="s">
        <v>41</v>
      </c>
      <c r="B32" s="8">
        <f>'Inventaire du 101242'!B28</f>
        <v>0</v>
      </c>
      <c r="C32" s="8">
        <f>'Inventaire du 101242'!C28</f>
        <v>2</v>
      </c>
      <c r="D32" s="8">
        <f>'Inventaire du 101242'!D28</f>
        <v>3</v>
      </c>
      <c r="E32" s="8">
        <f>'Inventaire du 101242'!E28</f>
        <v>2</v>
      </c>
      <c r="F32" s="8">
        <f>'Inventaire du 101242'!F28</f>
        <v>2</v>
      </c>
    </row>
  </sheetData>
  <sheetProtection selectLockedCells="1" selectUnlockedCells="1"/>
  <mergeCells count="1">
    <mergeCell ref="A2:P2"/>
  </mergeCells>
  <conditionalFormatting sqref="B5:P5">
    <cfRule type="cellIs" dxfId="6" priority="11" operator="lessThanOrEqual">
      <formula>$B$1</formula>
    </cfRule>
  </conditionalFormatting>
  <conditionalFormatting sqref="B8:I12">
    <cfRule type="cellIs" dxfId="5" priority="10" operator="lessThanOrEqual">
      <formula>$C$1</formula>
    </cfRule>
  </conditionalFormatting>
  <conditionalFormatting sqref="B18:L18">
    <cfRule type="cellIs" dxfId="4" priority="9" operator="lessThanOrEqual">
      <formula>$C$1</formula>
    </cfRule>
  </conditionalFormatting>
  <conditionalFormatting sqref="B20:B23 B25:B27 B29">
    <cfRule type="cellIs" dxfId="3" priority="8" operator="lessThanOrEqual">
      <formula>$C$1</formula>
    </cfRule>
  </conditionalFormatting>
  <conditionalFormatting sqref="B31:D31">
    <cfRule type="cellIs" dxfId="2" priority="6" operator="lessThanOrEqual">
      <formula>$C$1</formula>
    </cfRule>
  </conditionalFormatting>
  <conditionalFormatting sqref="B32:F32">
    <cfRule type="cellIs" dxfId="1" priority="3" operator="lessThanOrEqual">
      <formula>$C$1</formula>
    </cfRule>
  </conditionalFormatting>
  <conditionalFormatting sqref="B15:O15">
    <cfRule type="cellIs" dxfId="0" priority="1" operator="lessThanOrEqual">
      <formula>$C$1</formula>
    </cfRule>
  </conditionalFormatting>
  <pageMargins left="0.98425196850393704" right="0.70866141732283472" top="0.39370078740157483" bottom="0.39370078740157483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Retour Accueil">
              <controlPr defaultSize="0" print="0" autoFill="0" autoPict="0" macro="[0]!RetourAccueil">
                <anchor>
                  <from>
                    <xdr:col>0</xdr:col>
                    <xdr:colOff>885825</xdr:colOff>
                    <xdr:row>1</xdr:row>
                    <xdr:rowOff>47625</xdr:rowOff>
                  </from>
                  <to>
                    <xdr:col>3</xdr:col>
                    <xdr:colOff>19050</xdr:colOff>
                    <xdr:row>1</xdr:row>
                    <xdr:rowOff>771525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D08E2-9EBF-4CBB-B384-9464422FEA73}">
  <sheetPr codeName="Dotation"/>
  <dimension ref="A1:V16"/>
  <sheetViews>
    <sheetView workbookViewId="0">
      <selection activeCell="A9" sqref="A9:XFD9"/>
    </sheetView>
  </sheetViews>
  <sheetFormatPr baseColWidth="10" defaultRowHeight="15" x14ac:dyDescent="0.25"/>
  <cols>
    <col min="1" max="1" width="10.42578125" bestFit="1" customWidth="1"/>
    <col min="2" max="2" width="20.5703125" bestFit="1" customWidth="1"/>
    <col min="3" max="3" width="20.28515625" bestFit="1" customWidth="1"/>
    <col min="4" max="4" width="7" bestFit="1" customWidth="1"/>
    <col min="5" max="6" width="7.5703125" bestFit="1" customWidth="1"/>
    <col min="7" max="7" width="8.42578125" bestFit="1" customWidth="1"/>
    <col min="8" max="8" width="4" style="11" bestFit="1" customWidth="1"/>
    <col min="9" max="9" width="8.42578125" bestFit="1" customWidth="1"/>
    <col min="10" max="10" width="4" style="11" bestFit="1" customWidth="1"/>
    <col min="11" max="11" width="11" bestFit="1" customWidth="1"/>
    <col min="12" max="12" width="4" style="11" bestFit="1" customWidth="1"/>
    <col min="13" max="13" width="9" style="11" bestFit="1" customWidth="1"/>
    <col min="14" max="14" width="4" style="11" bestFit="1" customWidth="1"/>
    <col min="15" max="15" width="13" style="11" bestFit="1" customWidth="1"/>
    <col min="16" max="16" width="13" bestFit="1" customWidth="1"/>
    <col min="17" max="17" width="12.85546875" bestFit="1" customWidth="1"/>
    <col min="18" max="18" width="7.140625" bestFit="1" customWidth="1"/>
    <col min="19" max="19" width="8.28515625" bestFit="1" customWidth="1"/>
    <col min="20" max="20" width="8.140625" bestFit="1" customWidth="1"/>
    <col min="21" max="21" width="6.140625" bestFit="1" customWidth="1"/>
    <col min="22" max="22" width="9.5703125" bestFit="1" customWidth="1"/>
  </cols>
  <sheetData>
    <row r="1" spans="1:22" x14ac:dyDescent="0.25">
      <c r="A1" s="6"/>
    </row>
    <row r="6" spans="1:22" hidden="1" x14ac:dyDescent="0.25">
      <c r="A6" t="s">
        <v>94</v>
      </c>
      <c r="P6">
        <f t="shared" ref="P6:V6" si="0">SUM(P9:P50001)</f>
        <v>0</v>
      </c>
      <c r="Q6">
        <f t="shared" si="0"/>
        <v>0</v>
      </c>
      <c r="R6">
        <f t="shared" si="0"/>
        <v>0</v>
      </c>
      <c r="S6">
        <f t="shared" si="0"/>
        <v>0</v>
      </c>
      <c r="T6">
        <f t="shared" si="0"/>
        <v>0</v>
      </c>
      <c r="U6">
        <f t="shared" si="0"/>
        <v>0</v>
      </c>
      <c r="V6">
        <f t="shared" si="0"/>
        <v>0</v>
      </c>
    </row>
    <row r="8" spans="1:22" s="10" customFormat="1" ht="30" x14ac:dyDescent="0.25">
      <c r="A8" s="12" t="s">
        <v>48</v>
      </c>
      <c r="B8" s="12" t="s">
        <v>49</v>
      </c>
      <c r="C8" s="12" t="s">
        <v>50</v>
      </c>
      <c r="D8" s="13" t="s">
        <v>2</v>
      </c>
      <c r="E8" s="12" t="s">
        <v>26</v>
      </c>
      <c r="F8" s="13" t="s">
        <v>90</v>
      </c>
      <c r="G8" s="13" t="s">
        <v>92</v>
      </c>
      <c r="H8" s="14" t="s">
        <v>95</v>
      </c>
      <c r="I8" s="13" t="s">
        <v>93</v>
      </c>
      <c r="J8" s="14" t="s">
        <v>95</v>
      </c>
      <c r="K8" s="12" t="s">
        <v>30</v>
      </c>
      <c r="L8" s="14" t="s">
        <v>95</v>
      </c>
      <c r="M8" s="15" t="s">
        <v>91</v>
      </c>
      <c r="N8" s="14" t="s">
        <v>95</v>
      </c>
      <c r="O8" s="15" t="s">
        <v>87</v>
      </c>
      <c r="P8" s="13" t="s">
        <v>88</v>
      </c>
      <c r="Q8" s="13" t="s">
        <v>89</v>
      </c>
      <c r="R8" s="12" t="s">
        <v>35</v>
      </c>
      <c r="S8" s="13" t="s">
        <v>97</v>
      </c>
      <c r="T8" s="13" t="s">
        <v>98</v>
      </c>
      <c r="U8" s="13" t="s">
        <v>99</v>
      </c>
      <c r="V8" s="12" t="s">
        <v>39</v>
      </c>
    </row>
    <row r="9" spans="1:22" x14ac:dyDescent="0.25">
      <c r="A9" s="16"/>
      <c r="B9" s="8"/>
      <c r="C9" s="8"/>
      <c r="D9" s="8"/>
      <c r="E9" s="8"/>
      <c r="F9" s="8"/>
      <c r="G9" s="8"/>
      <c r="H9" s="8"/>
      <c r="I9" s="8"/>
      <c r="J9" s="17"/>
      <c r="K9" s="8"/>
      <c r="L9" s="17"/>
      <c r="M9" s="17"/>
      <c r="N9" s="17"/>
      <c r="O9" s="17"/>
      <c r="P9" s="8"/>
      <c r="Q9" s="8"/>
      <c r="R9" s="8"/>
      <c r="S9" s="8"/>
      <c r="T9" s="8"/>
      <c r="U9" s="8"/>
      <c r="V9" s="8"/>
    </row>
    <row r="10" spans="1:22" x14ac:dyDescent="0.25">
      <c r="A10" s="16"/>
      <c r="B10" s="8"/>
      <c r="C10" s="8"/>
      <c r="D10" s="8"/>
      <c r="E10" s="8"/>
      <c r="F10" s="8"/>
      <c r="G10" s="8"/>
      <c r="H10" s="17"/>
      <c r="I10" s="8"/>
      <c r="J10" s="17"/>
      <c r="K10" s="8"/>
      <c r="L10" s="17"/>
      <c r="M10" s="17"/>
      <c r="N10" s="17"/>
      <c r="O10" s="17"/>
      <c r="P10" s="8"/>
      <c r="Q10" s="8"/>
      <c r="R10" s="8"/>
      <c r="S10" s="8"/>
      <c r="T10" s="8"/>
      <c r="U10" s="8"/>
      <c r="V10" s="8"/>
    </row>
    <row r="11" spans="1:22" x14ac:dyDescent="0.25">
      <c r="A11" s="8"/>
      <c r="B11" s="8"/>
      <c r="C11" s="8"/>
      <c r="D11" s="8"/>
      <c r="E11" s="8"/>
      <c r="F11" s="8"/>
      <c r="G11" s="8"/>
      <c r="H11" s="17"/>
      <c r="I11" s="8"/>
      <c r="J11" s="17"/>
      <c r="K11" s="8"/>
      <c r="L11" s="17"/>
      <c r="M11" s="17"/>
      <c r="N11" s="17"/>
      <c r="O11" s="17"/>
      <c r="P11" s="8"/>
      <c r="Q11" s="8"/>
      <c r="R11" s="8"/>
      <c r="S11" s="8"/>
      <c r="T11" s="8"/>
      <c r="U11" s="8"/>
      <c r="V11" s="8"/>
    </row>
    <row r="12" spans="1:22" x14ac:dyDescent="0.25">
      <c r="A12" s="8"/>
      <c r="B12" s="8"/>
      <c r="C12" s="8"/>
      <c r="D12" s="8"/>
      <c r="E12" s="8"/>
      <c r="F12" s="8"/>
      <c r="G12" s="8"/>
      <c r="H12" s="17"/>
      <c r="I12" s="8"/>
      <c r="J12" s="17"/>
      <c r="K12" s="8"/>
      <c r="L12" s="17"/>
      <c r="M12" s="17"/>
      <c r="N12" s="17"/>
      <c r="O12" s="17"/>
      <c r="P12" s="8"/>
      <c r="Q12" s="8"/>
      <c r="R12" s="8"/>
      <c r="S12" s="8"/>
      <c r="T12" s="8"/>
      <c r="U12" s="8"/>
      <c r="V12" s="8"/>
    </row>
    <row r="13" spans="1:22" x14ac:dyDescent="0.25">
      <c r="A13" s="8"/>
      <c r="B13" s="8"/>
      <c r="C13" s="8"/>
      <c r="D13" s="8"/>
      <c r="E13" s="8"/>
      <c r="F13" s="8"/>
      <c r="G13" s="8"/>
      <c r="H13" s="17"/>
      <c r="I13" s="8"/>
      <c r="J13" s="17"/>
      <c r="K13" s="8"/>
      <c r="L13" s="17"/>
      <c r="M13" s="17"/>
      <c r="N13" s="17"/>
      <c r="O13" s="17"/>
      <c r="P13" s="8"/>
      <c r="Q13" s="8"/>
      <c r="R13" s="8"/>
      <c r="S13" s="8"/>
      <c r="T13" s="8"/>
      <c r="U13" s="8"/>
      <c r="V13" s="8"/>
    </row>
    <row r="14" spans="1:22" x14ac:dyDescent="0.25">
      <c r="A14" s="16"/>
      <c r="B14" s="8"/>
      <c r="C14" s="8"/>
      <c r="D14" s="8"/>
      <c r="E14" s="8"/>
      <c r="F14" s="8"/>
      <c r="G14" s="8"/>
      <c r="H14" s="17"/>
      <c r="I14" s="8"/>
      <c r="J14" s="17"/>
      <c r="K14" s="8"/>
      <c r="L14" s="17"/>
      <c r="M14" s="17"/>
      <c r="N14" s="17"/>
      <c r="O14" s="17"/>
      <c r="P14" s="8"/>
      <c r="Q14" s="8"/>
      <c r="R14" s="8"/>
      <c r="S14" s="8"/>
      <c r="T14" s="8"/>
      <c r="U14" s="8"/>
      <c r="V14" s="8"/>
    </row>
    <row r="15" spans="1:22" x14ac:dyDescent="0.25">
      <c r="A15" s="8"/>
      <c r="B15" s="8"/>
      <c r="C15" s="8"/>
      <c r="D15" s="8"/>
      <c r="E15" s="8"/>
      <c r="F15" s="8"/>
      <c r="G15" s="8"/>
      <c r="H15" s="17"/>
      <c r="I15" s="8"/>
      <c r="J15" s="17"/>
      <c r="K15" s="8"/>
      <c r="L15" s="17"/>
      <c r="M15" s="17"/>
      <c r="N15" s="17"/>
      <c r="O15" s="17"/>
      <c r="P15" s="8"/>
      <c r="Q15" s="8"/>
      <c r="R15" s="8"/>
      <c r="S15" s="8"/>
      <c r="T15" s="8"/>
      <c r="U15" s="8"/>
      <c r="V15" s="8"/>
    </row>
    <row r="16" spans="1:22" x14ac:dyDescent="0.25">
      <c r="A16" s="8"/>
      <c r="B16" s="8"/>
      <c r="C16" s="8"/>
      <c r="D16" s="8"/>
      <c r="E16" s="8"/>
      <c r="F16" s="8"/>
      <c r="G16" s="8"/>
      <c r="H16" s="17"/>
      <c r="I16" s="8"/>
      <c r="J16" s="17"/>
      <c r="K16" s="8"/>
      <c r="L16" s="17"/>
      <c r="M16" s="17"/>
      <c r="N16" s="17"/>
      <c r="O16" s="17"/>
      <c r="P16" s="8"/>
      <c r="Q16" s="8"/>
      <c r="R16" s="8"/>
      <c r="S16" s="8"/>
      <c r="T16" s="8"/>
      <c r="U16" s="8"/>
      <c r="V16" s="8"/>
    </row>
  </sheetData>
  <sheetProtection sheet="1" objects="1" scenarios="1"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419100</xdr:colOff>
                    <xdr:row>0</xdr:row>
                    <xdr:rowOff>85725</xdr:rowOff>
                  </from>
                  <to>
                    <xdr:col>2</xdr:col>
                    <xdr:colOff>514350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outonSaisirDotation">
              <controlPr defaultSize="0" print="0" autoFill="0" autoPict="0" macro="[0]!SaisirDotation">
                <anchor moveWithCells="1" sizeWithCells="1">
                  <from>
                    <xdr:col>2</xdr:col>
                    <xdr:colOff>685800</xdr:colOff>
                    <xdr:row>0</xdr:row>
                    <xdr:rowOff>85725</xdr:rowOff>
                  </from>
                  <to>
                    <xdr:col>6</xdr:col>
                    <xdr:colOff>19050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6DC18-5827-4BCE-9833-C2A091B7653B}">
  <sheetPr codeName="Feuil6"/>
  <dimension ref="B2:C42"/>
  <sheetViews>
    <sheetView topLeftCell="A13" workbookViewId="0">
      <selection activeCell="C29" sqref="C29"/>
    </sheetView>
  </sheetViews>
  <sheetFormatPr baseColWidth="10" defaultRowHeight="15" x14ac:dyDescent="0.25"/>
  <cols>
    <col min="2" max="2" width="22.28515625" bestFit="1" customWidth="1"/>
  </cols>
  <sheetData>
    <row r="2" spans="2:3" x14ac:dyDescent="0.25">
      <c r="B2" t="s">
        <v>51</v>
      </c>
      <c r="C2">
        <f>SUMIF(Dotation!G9:G50000,"S",Dotation!H9:H50000)</f>
        <v>0</v>
      </c>
    </row>
    <row r="3" spans="2:3" x14ac:dyDescent="0.25">
      <c r="B3" t="s">
        <v>52</v>
      </c>
      <c r="C3">
        <f>SUMIF(Dotation!G9:G50000,"M",Dotation!H9:H50000)</f>
        <v>0</v>
      </c>
    </row>
    <row r="4" spans="2:3" x14ac:dyDescent="0.25">
      <c r="B4" t="s">
        <v>53</v>
      </c>
      <c r="C4">
        <f>SUMIF(Dotation!G9:G50000,"L",Dotation!H9:H50000)</f>
        <v>0</v>
      </c>
    </row>
    <row r="5" spans="2:3" x14ac:dyDescent="0.25">
      <c r="B5" t="s">
        <v>54</v>
      </c>
      <c r="C5">
        <f>SUMIF(Dotation!G9:G50000,"",Dotation!H9:H50000)</f>
        <v>0</v>
      </c>
    </row>
    <row r="6" spans="2:3" x14ac:dyDescent="0.25">
      <c r="B6" t="s">
        <v>55</v>
      </c>
      <c r="C6">
        <f>SUMIF(Dotation!G9:G50000,"XXL",Dotation!H9:H50000)</f>
        <v>0</v>
      </c>
    </row>
    <row r="7" spans="2:3" x14ac:dyDescent="0.25">
      <c r="B7" t="s">
        <v>56</v>
      </c>
      <c r="C7">
        <f>SUMIF(Dotation!G9:G50000,"XXXL",Dotation!H9:H50000)</f>
        <v>0</v>
      </c>
    </row>
    <row r="8" spans="2:3" x14ac:dyDescent="0.25">
      <c r="B8" t="s">
        <v>57</v>
      </c>
      <c r="C8">
        <f>SUMIF(Dotation!G9:G50000,"XXXXL",Dotation!H9:H50000)</f>
        <v>0</v>
      </c>
    </row>
    <row r="9" spans="2:3" x14ac:dyDescent="0.25">
      <c r="B9" t="s">
        <v>58</v>
      </c>
      <c r="C9">
        <f>SUMIF(Dotation!G9:G50000,"XXXXXL",Dotation!H9:H50000)</f>
        <v>0</v>
      </c>
    </row>
    <row r="11" spans="2:3" x14ac:dyDescent="0.25">
      <c r="B11" t="s">
        <v>59</v>
      </c>
      <c r="C11">
        <f>SUMIF(Dotation!I9:I50009,"S",Dotation!J9:J50009)</f>
        <v>0</v>
      </c>
    </row>
    <row r="12" spans="2:3" x14ac:dyDescent="0.25">
      <c r="B12" t="s">
        <v>60</v>
      </c>
      <c r="C12">
        <f>SUMIF(Dotation!I9:I50009,"M",Dotation!J9:J50009)</f>
        <v>0</v>
      </c>
    </row>
    <row r="13" spans="2:3" x14ac:dyDescent="0.25">
      <c r="B13" t="s">
        <v>61</v>
      </c>
      <c r="C13">
        <f>SUMIF(Dotation!I9:I50009,"L",Dotation!J9:J50009)</f>
        <v>0</v>
      </c>
    </row>
    <row r="14" spans="2:3" x14ac:dyDescent="0.25">
      <c r="B14" t="s">
        <v>62</v>
      </c>
      <c r="C14">
        <f>SUMIF(Dotation!I9:I50009,"XL",Dotation!J9:J50009)</f>
        <v>0</v>
      </c>
    </row>
    <row r="15" spans="2:3" x14ac:dyDescent="0.25">
      <c r="B15" t="s">
        <v>63</v>
      </c>
      <c r="C15">
        <f>SUMIF(Dotation!I9:I50009,"XXL",Dotation!J9:J50009)</f>
        <v>0</v>
      </c>
    </row>
    <row r="16" spans="2:3" x14ac:dyDescent="0.25">
      <c r="B16" t="s">
        <v>64</v>
      </c>
      <c r="C16">
        <f>SUMIF(Dotation!I9:I50009,"XXXL",Dotation!J9:J50009)</f>
        <v>0</v>
      </c>
    </row>
    <row r="17" spans="2:3" x14ac:dyDescent="0.25">
      <c r="B17" t="s">
        <v>65</v>
      </c>
      <c r="C17">
        <f>SUMIF(Dotation!I9:I50009,"XXXXL",Dotation!J9:J50009)</f>
        <v>0</v>
      </c>
    </row>
    <row r="18" spans="2:3" x14ac:dyDescent="0.25">
      <c r="B18" t="s">
        <v>66</v>
      </c>
      <c r="C18">
        <f>SUMIF(Dotation!I9:I50009,"XXXXXL",Dotation!J9:J50009)</f>
        <v>0</v>
      </c>
    </row>
    <row r="20" spans="2:3" x14ac:dyDescent="0.25">
      <c r="B20" t="s">
        <v>67</v>
      </c>
      <c r="C20">
        <f>SUMIF(Dotation!K9:K50018,"S",Dotation!L9:L50018)</f>
        <v>0</v>
      </c>
    </row>
    <row r="21" spans="2:3" x14ac:dyDescent="0.25">
      <c r="B21" t="s">
        <v>68</v>
      </c>
      <c r="C21">
        <f>SUMIF(Dotation!K9:K50018,"M",Dotation!L9:L50018)</f>
        <v>0</v>
      </c>
    </row>
    <row r="22" spans="2:3" x14ac:dyDescent="0.25">
      <c r="B22" t="s">
        <v>69</v>
      </c>
      <c r="C22">
        <f>SUMIF(Dotation!K9:K50018,"L",Dotation!L9:L50018)</f>
        <v>0</v>
      </c>
    </row>
    <row r="23" spans="2:3" x14ac:dyDescent="0.25">
      <c r="B23" t="s">
        <v>70</v>
      </c>
      <c r="C23">
        <f>SUMIF(Dotation!K9:K50018,"XL",Dotation!L9:L50018)</f>
        <v>0</v>
      </c>
    </row>
    <row r="24" spans="2:3" x14ac:dyDescent="0.25">
      <c r="B24" t="s">
        <v>71</v>
      </c>
      <c r="C24">
        <f>SUMIF(Dotation!K9:K50018,"XXL",Dotation!L9:L50018)</f>
        <v>0</v>
      </c>
    </row>
    <row r="25" spans="2:3" x14ac:dyDescent="0.25">
      <c r="B25" t="s">
        <v>72</v>
      </c>
      <c r="C25">
        <f>SUMIF(Dotation!K9:K50018,"XXXL",Dotation!L9:L50018)</f>
        <v>0</v>
      </c>
    </row>
    <row r="26" spans="2:3" x14ac:dyDescent="0.25">
      <c r="B26" t="s">
        <v>73</v>
      </c>
      <c r="C26">
        <f>SUMIF(Dotation!K9:K50018,"XXXXL",Dotation!L9:L50018)</f>
        <v>0</v>
      </c>
    </row>
    <row r="27" spans="2:3" x14ac:dyDescent="0.25">
      <c r="B27" t="s">
        <v>74</v>
      </c>
      <c r="C27">
        <f>SUMIF(Dotation!K9:K50018,"XXXXXL",Dotation!L9:L50018)</f>
        <v>0</v>
      </c>
    </row>
    <row r="29" spans="2:3" x14ac:dyDescent="0.25">
      <c r="B29" t="s">
        <v>75</v>
      </c>
      <c r="C29">
        <f>SUMIF(Dotation!M9:M50018,"36",Dotation!N9:N50018)</f>
        <v>0</v>
      </c>
    </row>
    <row r="30" spans="2:3" x14ac:dyDescent="0.25">
      <c r="B30" t="s">
        <v>76</v>
      </c>
      <c r="C30">
        <f>SUMIF(Dotation!M9:M50019,"38",Dotation!N9:N50019)</f>
        <v>0</v>
      </c>
    </row>
    <row r="31" spans="2:3" x14ac:dyDescent="0.25">
      <c r="B31" t="s">
        <v>186</v>
      </c>
      <c r="C31">
        <f>SUMIF(Dotation!M9:M50020,"40",Dotation!N9:N50020)</f>
        <v>0</v>
      </c>
    </row>
    <row r="32" spans="2:3" x14ac:dyDescent="0.25">
      <c r="B32" t="s">
        <v>77</v>
      </c>
      <c r="C32">
        <f>SUMIF(Dotation!M9:M50021,"42",Dotation!N9:N50021)</f>
        <v>0</v>
      </c>
    </row>
    <row r="33" spans="2:3" x14ac:dyDescent="0.25">
      <c r="B33" t="s">
        <v>78</v>
      </c>
      <c r="C33">
        <f>SUMIF(Dotation!M9:M50022,"44",Dotation!N9:N50022)</f>
        <v>0</v>
      </c>
    </row>
    <row r="34" spans="2:3" x14ac:dyDescent="0.25">
      <c r="B34" t="s">
        <v>187</v>
      </c>
      <c r="C34">
        <f>SUMIF(Dotation!M9:M50023,"46",Dotation!N9:N50023)</f>
        <v>0</v>
      </c>
    </row>
    <row r="35" spans="2:3" x14ac:dyDescent="0.25">
      <c r="B35" t="s">
        <v>79</v>
      </c>
      <c r="C35">
        <f>SUMIF(Dotation!M9:M50024,"48",Dotation!N9:N50024)</f>
        <v>0</v>
      </c>
    </row>
    <row r="36" spans="2:3" x14ac:dyDescent="0.25">
      <c r="B36" t="s">
        <v>80</v>
      </c>
      <c r="C36">
        <f>SUMIF(Dotation!M9:M50025,"50",Dotation!N9:N50025)</f>
        <v>0</v>
      </c>
    </row>
    <row r="37" spans="2:3" x14ac:dyDescent="0.25">
      <c r="B37" t="s">
        <v>188</v>
      </c>
      <c r="C37">
        <f>SUMIF(Dotation!M9:M50026,"52",Dotation!N9:N50026)</f>
        <v>0</v>
      </c>
    </row>
    <row r="38" spans="2:3" x14ac:dyDescent="0.25">
      <c r="B38" t="s">
        <v>81</v>
      </c>
      <c r="C38">
        <f>SUMIF(Dotation!M9:M50027,"54",Dotation!N9:N50027)</f>
        <v>0</v>
      </c>
    </row>
    <row r="39" spans="2:3" x14ac:dyDescent="0.25">
      <c r="B39" t="s">
        <v>82</v>
      </c>
      <c r="C39">
        <f>SUMIF(Dotation!M9:M50028,"56",Dotation!N9:N50028)</f>
        <v>0</v>
      </c>
    </row>
    <row r="40" spans="2:3" x14ac:dyDescent="0.25">
      <c r="B40" t="s">
        <v>83</v>
      </c>
      <c r="C40">
        <f>SUMIF(Dotation!M9:M50029,"58",Dotation!N9:N50029)</f>
        <v>0</v>
      </c>
    </row>
    <row r="41" spans="2:3" x14ac:dyDescent="0.25">
      <c r="B41" t="s">
        <v>84</v>
      </c>
      <c r="C41">
        <f>SUMIF(Dotation!M9:M50030,"60",Dotation!N9:N50030)</f>
        <v>0</v>
      </c>
    </row>
    <row r="42" spans="2:3" x14ac:dyDescent="0.25">
      <c r="B42" t="s">
        <v>85</v>
      </c>
      <c r="C42">
        <f>SUMIF(Dotation!M9:M50031,"62",Dotation!N9:N50031)</f>
        <v>0</v>
      </c>
    </row>
  </sheetData>
  <sheetProtection algorithmName="SHA-512" hashValue="0gMRTlz4u5Hm7V293I3uCIFt1E5b3+TFng6gmUSjIyOgUgbuZ3EpCWlijWw4reQaaex/orJjKMYxLHi0B48oxg==" saltValue="ot4kvHUSK+M0jsZxW540sw==" spinCount="100000" sheet="1" objects="1" scenarios="1" selectLockedCells="1" selectUnlockedCells="1"/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6473A-2350-4FCB-877C-F934FE73FC85}">
  <sheetPr codeName="Feuil4"/>
  <dimension ref="A6:CO22"/>
  <sheetViews>
    <sheetView topLeftCell="CB1" zoomScale="96" zoomScaleNormal="70" workbookViewId="0">
      <selection activeCell="A19" sqref="A19"/>
    </sheetView>
  </sheetViews>
  <sheetFormatPr baseColWidth="10" defaultRowHeight="15" x14ac:dyDescent="0.25"/>
  <cols>
    <col min="1" max="1" width="23" bestFit="1" customWidth="1"/>
    <col min="2" max="2" width="11.7109375" bestFit="1" customWidth="1"/>
    <col min="3" max="4" width="11" bestFit="1" customWidth="1"/>
    <col min="5" max="6" width="11.7109375" bestFit="1" customWidth="1"/>
    <col min="7" max="15" width="11" bestFit="1" customWidth="1"/>
    <col min="16" max="16" width="11.7109375" bestFit="1" customWidth="1"/>
    <col min="17" max="22" width="6.140625" bestFit="1" customWidth="1"/>
    <col min="23" max="23" width="6.42578125" bestFit="1" customWidth="1"/>
    <col min="24" max="24" width="7.5703125" bestFit="1" customWidth="1"/>
    <col min="25" max="31" width="7.28515625" bestFit="1" customWidth="1"/>
    <col min="32" max="32" width="7.5703125" bestFit="1" customWidth="1"/>
    <col min="33" max="33" width="8.5703125" bestFit="1" customWidth="1"/>
    <col min="34" max="34" width="9.140625" bestFit="1" customWidth="1"/>
    <col min="35" max="35" width="8.42578125" bestFit="1" customWidth="1"/>
    <col min="36" max="36" width="9.5703125" bestFit="1" customWidth="1"/>
    <col min="37" max="37" width="10.7109375" bestFit="1" customWidth="1"/>
    <col min="38" max="38" width="11.140625" bestFit="1" customWidth="1"/>
    <col min="39" max="45" width="8.42578125" bestFit="1" customWidth="1"/>
    <col min="46" max="46" width="9.5703125" bestFit="1" customWidth="1"/>
    <col min="47" max="47" width="10.7109375" bestFit="1" customWidth="1"/>
    <col min="48" max="48" width="11.140625" bestFit="1" customWidth="1"/>
    <col min="49" max="54" width="8.5703125" bestFit="1" customWidth="1"/>
    <col min="55" max="55" width="8.85546875" bestFit="1" customWidth="1"/>
    <col min="56" max="56" width="10" bestFit="1" customWidth="1"/>
    <col min="57" max="58" width="9" bestFit="1" customWidth="1"/>
    <col min="59" max="59" width="10.140625" bestFit="1" customWidth="1"/>
    <col min="60" max="64" width="9" bestFit="1" customWidth="1"/>
    <col min="65" max="65" width="10.140625" bestFit="1" customWidth="1"/>
    <col min="66" max="70" width="9" bestFit="1" customWidth="1"/>
    <col min="71" max="80" width="13.5703125" customWidth="1"/>
    <col min="81" max="81" width="11.28515625" bestFit="1" customWidth="1"/>
    <col min="82" max="82" width="10.28515625" bestFit="1" customWidth="1"/>
    <col min="83" max="83" width="7.140625" bestFit="1" customWidth="1"/>
    <col min="84" max="84" width="8.28515625" bestFit="1" customWidth="1"/>
    <col min="85" max="85" width="8.140625" bestFit="1" customWidth="1"/>
    <col min="86" max="86" width="6.140625" bestFit="1" customWidth="1"/>
    <col min="87" max="87" width="9.5703125" bestFit="1" customWidth="1"/>
  </cols>
  <sheetData>
    <row r="6" spans="1:93" hidden="1" x14ac:dyDescent="0.25">
      <c r="A6" t="s">
        <v>86</v>
      </c>
      <c r="B6">
        <f>SUM(B9:B50001)</f>
        <v>0</v>
      </c>
      <c r="C6">
        <f t="shared" ref="C6:BN6" si="0">SUM(C9:C50001)</f>
        <v>0</v>
      </c>
      <c r="D6">
        <f t="shared" si="0"/>
        <v>0</v>
      </c>
      <c r="E6">
        <f t="shared" si="0"/>
        <v>0</v>
      </c>
      <c r="F6">
        <f t="shared" si="0"/>
        <v>0</v>
      </c>
      <c r="G6">
        <f t="shared" si="0"/>
        <v>0</v>
      </c>
      <c r="H6">
        <f t="shared" si="0"/>
        <v>0</v>
      </c>
      <c r="I6">
        <f t="shared" si="0"/>
        <v>0</v>
      </c>
      <c r="J6">
        <f t="shared" si="0"/>
        <v>0</v>
      </c>
      <c r="K6">
        <f t="shared" si="0"/>
        <v>0</v>
      </c>
      <c r="L6">
        <f t="shared" si="0"/>
        <v>0</v>
      </c>
      <c r="M6">
        <f t="shared" si="0"/>
        <v>0</v>
      </c>
      <c r="N6">
        <f t="shared" si="0"/>
        <v>0</v>
      </c>
      <c r="O6">
        <f t="shared" si="0"/>
        <v>0</v>
      </c>
      <c r="P6">
        <f t="shared" si="0"/>
        <v>0</v>
      </c>
      <c r="Q6">
        <f t="shared" si="0"/>
        <v>0</v>
      </c>
      <c r="R6">
        <f t="shared" si="0"/>
        <v>0</v>
      </c>
      <c r="S6">
        <f t="shared" si="0"/>
        <v>0</v>
      </c>
      <c r="T6">
        <f t="shared" si="0"/>
        <v>0</v>
      </c>
      <c r="U6">
        <f t="shared" si="0"/>
        <v>0</v>
      </c>
      <c r="V6">
        <f t="shared" si="0"/>
        <v>0</v>
      </c>
      <c r="W6">
        <f t="shared" si="0"/>
        <v>0</v>
      </c>
      <c r="X6">
        <f t="shared" si="0"/>
        <v>0</v>
      </c>
      <c r="Y6">
        <f t="shared" si="0"/>
        <v>0</v>
      </c>
      <c r="Z6">
        <f t="shared" si="0"/>
        <v>0</v>
      </c>
      <c r="AA6">
        <f t="shared" si="0"/>
        <v>0</v>
      </c>
      <c r="AB6">
        <f t="shared" si="0"/>
        <v>0</v>
      </c>
      <c r="AC6">
        <f t="shared" si="0"/>
        <v>0</v>
      </c>
      <c r="AD6">
        <f t="shared" si="0"/>
        <v>0</v>
      </c>
      <c r="AE6">
        <f t="shared" si="0"/>
        <v>0</v>
      </c>
      <c r="AF6">
        <f t="shared" si="0"/>
        <v>0</v>
      </c>
      <c r="AG6">
        <f t="shared" si="0"/>
        <v>0</v>
      </c>
      <c r="AH6">
        <f t="shared" si="0"/>
        <v>0</v>
      </c>
      <c r="AI6">
        <f t="shared" si="0"/>
        <v>0</v>
      </c>
      <c r="AJ6">
        <f t="shared" si="0"/>
        <v>0</v>
      </c>
      <c r="AK6">
        <f t="shared" si="0"/>
        <v>0</v>
      </c>
      <c r="AL6">
        <f t="shared" si="0"/>
        <v>0</v>
      </c>
      <c r="AM6">
        <f t="shared" si="0"/>
        <v>0</v>
      </c>
      <c r="AN6">
        <f t="shared" si="0"/>
        <v>0</v>
      </c>
      <c r="AO6">
        <f t="shared" si="0"/>
        <v>0</v>
      </c>
      <c r="AP6">
        <f t="shared" si="0"/>
        <v>0</v>
      </c>
      <c r="AQ6">
        <f t="shared" si="0"/>
        <v>0</v>
      </c>
      <c r="AR6">
        <f t="shared" si="0"/>
        <v>0</v>
      </c>
      <c r="AS6">
        <f t="shared" si="0"/>
        <v>0</v>
      </c>
      <c r="AT6">
        <f t="shared" si="0"/>
        <v>0</v>
      </c>
      <c r="AU6">
        <f t="shared" si="0"/>
        <v>0</v>
      </c>
      <c r="AV6">
        <f t="shared" si="0"/>
        <v>0</v>
      </c>
      <c r="AW6">
        <f t="shared" si="0"/>
        <v>0</v>
      </c>
      <c r="AX6">
        <f t="shared" si="0"/>
        <v>0</v>
      </c>
      <c r="AY6">
        <f t="shared" si="0"/>
        <v>0</v>
      </c>
      <c r="AZ6">
        <f t="shared" si="0"/>
        <v>0</v>
      </c>
      <c r="BA6">
        <f t="shared" si="0"/>
        <v>0</v>
      </c>
      <c r="BB6">
        <f t="shared" si="0"/>
        <v>0</v>
      </c>
      <c r="BC6">
        <f t="shared" si="0"/>
        <v>0</v>
      </c>
      <c r="BD6">
        <f t="shared" si="0"/>
        <v>0</v>
      </c>
      <c r="BE6">
        <f t="shared" si="0"/>
        <v>0</v>
      </c>
      <c r="BF6">
        <f t="shared" si="0"/>
        <v>0</v>
      </c>
      <c r="BG6">
        <f t="shared" si="0"/>
        <v>0</v>
      </c>
      <c r="BH6">
        <f t="shared" si="0"/>
        <v>0</v>
      </c>
      <c r="BI6">
        <f t="shared" si="0"/>
        <v>0</v>
      </c>
      <c r="BJ6">
        <f t="shared" si="0"/>
        <v>0</v>
      </c>
      <c r="BK6">
        <f t="shared" si="0"/>
        <v>0</v>
      </c>
      <c r="BL6">
        <f t="shared" si="0"/>
        <v>0</v>
      </c>
      <c r="BM6">
        <f t="shared" si="0"/>
        <v>0</v>
      </c>
      <c r="BN6">
        <f t="shared" si="0"/>
        <v>0</v>
      </c>
      <c r="BO6">
        <f t="shared" ref="BO6:CI6" si="1">SUM(BO9:BO50001)</f>
        <v>0</v>
      </c>
      <c r="BP6">
        <f t="shared" si="1"/>
        <v>0</v>
      </c>
      <c r="BQ6">
        <f t="shared" si="1"/>
        <v>0</v>
      </c>
      <c r="BR6">
        <f t="shared" si="1"/>
        <v>0</v>
      </c>
      <c r="BS6">
        <f t="shared" si="1"/>
        <v>0</v>
      </c>
      <c r="BT6">
        <f t="shared" si="1"/>
        <v>0</v>
      </c>
      <c r="BU6">
        <f t="shared" si="1"/>
        <v>0</v>
      </c>
      <c r="BV6">
        <f t="shared" si="1"/>
        <v>0</v>
      </c>
      <c r="BW6">
        <f t="shared" si="1"/>
        <v>0</v>
      </c>
      <c r="BX6">
        <f t="shared" si="1"/>
        <v>0</v>
      </c>
      <c r="BY6">
        <f t="shared" si="1"/>
        <v>0</v>
      </c>
      <c r="BZ6">
        <f t="shared" si="1"/>
        <v>0</v>
      </c>
      <c r="CA6">
        <f t="shared" si="1"/>
        <v>0</v>
      </c>
      <c r="CB6">
        <f t="shared" si="1"/>
        <v>0</v>
      </c>
      <c r="CC6">
        <f t="shared" si="1"/>
        <v>0</v>
      </c>
      <c r="CD6">
        <f t="shared" si="1"/>
        <v>0</v>
      </c>
      <c r="CE6">
        <f t="shared" si="1"/>
        <v>0</v>
      </c>
      <c r="CF6">
        <f t="shared" si="1"/>
        <v>0</v>
      </c>
      <c r="CG6">
        <f t="shared" si="1"/>
        <v>0</v>
      </c>
      <c r="CH6">
        <f t="shared" si="1"/>
        <v>0</v>
      </c>
      <c r="CI6">
        <f t="shared" si="1"/>
        <v>0</v>
      </c>
    </row>
    <row r="8" spans="1:93" s="10" customFormat="1" ht="45" x14ac:dyDescent="0.25">
      <c r="A8" s="12" t="s">
        <v>48</v>
      </c>
      <c r="B8" s="13" t="s">
        <v>100</v>
      </c>
      <c r="C8" s="13" t="s">
        <v>101</v>
      </c>
      <c r="D8" s="13" t="s">
        <v>102</v>
      </c>
      <c r="E8" s="13" t="s">
        <v>103</v>
      </c>
      <c r="F8" s="13" t="s">
        <v>104</v>
      </c>
      <c r="G8" s="13" t="s">
        <v>105</v>
      </c>
      <c r="H8" s="13" t="s">
        <v>106</v>
      </c>
      <c r="I8" s="13" t="s">
        <v>107</v>
      </c>
      <c r="J8" s="13" t="s">
        <v>108</v>
      </c>
      <c r="K8" s="13" t="s">
        <v>109</v>
      </c>
      <c r="L8" s="13" t="s">
        <v>110</v>
      </c>
      <c r="M8" s="13" t="s">
        <v>111</v>
      </c>
      <c r="N8" s="13" t="s">
        <v>112</v>
      </c>
      <c r="O8" s="13" t="s">
        <v>113</v>
      </c>
      <c r="P8" s="13" t="s">
        <v>114</v>
      </c>
      <c r="Q8" s="13" t="s">
        <v>115</v>
      </c>
      <c r="R8" s="13" t="s">
        <v>116</v>
      </c>
      <c r="S8" s="13" t="s">
        <v>117</v>
      </c>
      <c r="T8" s="13" t="s">
        <v>118</v>
      </c>
      <c r="U8" s="13" t="s">
        <v>119</v>
      </c>
      <c r="V8" s="13" t="s">
        <v>120</v>
      </c>
      <c r="W8" s="13" t="s">
        <v>121</v>
      </c>
      <c r="X8" s="13" t="s">
        <v>122</v>
      </c>
      <c r="Y8" s="13" t="s">
        <v>123</v>
      </c>
      <c r="Z8" s="13" t="s">
        <v>124</v>
      </c>
      <c r="AA8" s="13" t="s">
        <v>125</v>
      </c>
      <c r="AB8" s="13" t="s">
        <v>126</v>
      </c>
      <c r="AC8" s="13" t="s">
        <v>127</v>
      </c>
      <c r="AD8" s="13" t="s">
        <v>128</v>
      </c>
      <c r="AE8" s="13" t="s">
        <v>129</v>
      </c>
      <c r="AF8" s="13" t="s">
        <v>130</v>
      </c>
      <c r="AG8" s="13" t="s">
        <v>131</v>
      </c>
      <c r="AH8" s="13" t="s">
        <v>132</v>
      </c>
      <c r="AI8" s="13" t="s">
        <v>133</v>
      </c>
      <c r="AJ8" s="13" t="s">
        <v>134</v>
      </c>
      <c r="AK8" s="13" t="s">
        <v>135</v>
      </c>
      <c r="AL8" s="13" t="s">
        <v>136</v>
      </c>
      <c r="AM8" s="13" t="s">
        <v>137</v>
      </c>
      <c r="AN8" s="13" t="s">
        <v>138</v>
      </c>
      <c r="AO8" s="13" t="s">
        <v>139</v>
      </c>
      <c r="AP8" s="13" t="s">
        <v>140</v>
      </c>
      <c r="AQ8" s="13" t="s">
        <v>141</v>
      </c>
      <c r="AR8" s="13" t="s">
        <v>142</v>
      </c>
      <c r="AS8" s="13" t="s">
        <v>143</v>
      </c>
      <c r="AT8" s="13" t="s">
        <v>144</v>
      </c>
      <c r="AU8" s="13" t="s">
        <v>145</v>
      </c>
      <c r="AV8" s="13" t="s">
        <v>146</v>
      </c>
      <c r="AW8" s="13" t="s">
        <v>147</v>
      </c>
      <c r="AX8" s="13" t="s">
        <v>148</v>
      </c>
      <c r="AY8" s="13" t="s">
        <v>149</v>
      </c>
      <c r="AZ8" s="13" t="s">
        <v>150</v>
      </c>
      <c r="BA8" s="13" t="s">
        <v>151</v>
      </c>
      <c r="BB8" s="13" t="s">
        <v>152</v>
      </c>
      <c r="BC8" s="13" t="s">
        <v>153</v>
      </c>
      <c r="BD8" s="13" t="s">
        <v>154</v>
      </c>
      <c r="BE8" s="13" t="s">
        <v>155</v>
      </c>
      <c r="BF8" s="13" t="s">
        <v>156</v>
      </c>
      <c r="BG8" s="13" t="s">
        <v>157</v>
      </c>
      <c r="BH8" s="13" t="s">
        <v>158</v>
      </c>
      <c r="BI8" s="13" t="s">
        <v>159</v>
      </c>
      <c r="BJ8" s="13" t="s">
        <v>160</v>
      </c>
      <c r="BK8" s="13" t="s">
        <v>161</v>
      </c>
      <c r="BL8" s="13" t="s">
        <v>162</v>
      </c>
      <c r="BM8" s="13" t="s">
        <v>163</v>
      </c>
      <c r="BN8" s="13" t="s">
        <v>164</v>
      </c>
      <c r="BO8" s="13" t="s">
        <v>165</v>
      </c>
      <c r="BP8" s="13" t="s">
        <v>166</v>
      </c>
      <c r="BQ8" s="13" t="s">
        <v>167</v>
      </c>
      <c r="BR8" s="13" t="s">
        <v>168</v>
      </c>
      <c r="BS8" s="13" t="s">
        <v>169</v>
      </c>
      <c r="BT8" s="13" t="s">
        <v>170</v>
      </c>
      <c r="BU8" s="13" t="s">
        <v>171</v>
      </c>
      <c r="BV8" s="13" t="s">
        <v>172</v>
      </c>
      <c r="BW8" s="13" t="s">
        <v>173</v>
      </c>
      <c r="BX8" s="13" t="s">
        <v>174</v>
      </c>
      <c r="BY8" s="13" t="s">
        <v>175</v>
      </c>
      <c r="BZ8" s="13" t="s">
        <v>176</v>
      </c>
      <c r="CA8" s="13" t="s">
        <v>177</v>
      </c>
      <c r="CB8" s="13" t="s">
        <v>178</v>
      </c>
      <c r="CC8" s="13" t="s">
        <v>88</v>
      </c>
      <c r="CD8" s="13" t="s">
        <v>89</v>
      </c>
      <c r="CE8" s="12" t="s">
        <v>35</v>
      </c>
      <c r="CF8" s="13" t="s">
        <v>96</v>
      </c>
      <c r="CG8" s="13" t="s">
        <v>179</v>
      </c>
      <c r="CH8" s="13" t="s">
        <v>99</v>
      </c>
      <c r="CI8" s="12" t="s">
        <v>39</v>
      </c>
      <c r="CJ8" s="13" t="s">
        <v>180</v>
      </c>
      <c r="CK8" s="13" t="s">
        <v>181</v>
      </c>
      <c r="CL8" s="13" t="s">
        <v>182</v>
      </c>
      <c r="CM8" s="13" t="s">
        <v>183</v>
      </c>
      <c r="CN8" s="13" t="s">
        <v>184</v>
      </c>
      <c r="CO8" s="13" t="s">
        <v>185</v>
      </c>
    </row>
    <row r="9" spans="1:93" x14ac:dyDescent="0.25">
      <c r="A9" s="16">
        <v>45653</v>
      </c>
      <c r="B9" s="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8">
        <v>0</v>
      </c>
      <c r="O9" s="8">
        <v>0</v>
      </c>
      <c r="P9" s="8">
        <v>0</v>
      </c>
      <c r="Q9" s="8">
        <v>0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8">
        <v>0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8">
        <v>0</v>
      </c>
      <c r="AD9" s="8">
        <v>0</v>
      </c>
      <c r="AE9" s="8">
        <v>0</v>
      </c>
      <c r="AF9" s="8">
        <v>0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</row>
    <row r="10" spans="1:93" x14ac:dyDescent="0.25">
      <c r="A10" s="16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>
        <v>0</v>
      </c>
      <c r="AH10" s="8">
        <v>0</v>
      </c>
      <c r="AI10" s="8">
        <v>0</v>
      </c>
      <c r="AJ10" s="8">
        <v>0</v>
      </c>
      <c r="AK10" s="8">
        <v>0</v>
      </c>
      <c r="AL10" s="8">
        <v>0</v>
      </c>
      <c r="AM10" s="8">
        <v>0</v>
      </c>
      <c r="AN10" s="8">
        <v>0</v>
      </c>
      <c r="AO10" s="8">
        <v>0</v>
      </c>
      <c r="AP10" s="8">
        <v>0</v>
      </c>
      <c r="AQ10" s="8">
        <v>0</v>
      </c>
      <c r="AR10" s="8">
        <v>0</v>
      </c>
      <c r="AS10" s="8">
        <v>0</v>
      </c>
      <c r="AT10" s="8">
        <v>0</v>
      </c>
      <c r="AU10" s="8">
        <v>0</v>
      </c>
      <c r="AV10" s="8">
        <v>0</v>
      </c>
      <c r="AW10" s="8">
        <v>0</v>
      </c>
      <c r="AX10" s="8">
        <v>0</v>
      </c>
      <c r="AY10" s="8">
        <v>0</v>
      </c>
      <c r="AZ10" s="8">
        <v>0</v>
      </c>
      <c r="BA10" s="8">
        <v>0</v>
      </c>
      <c r="BB10" s="8">
        <v>0</v>
      </c>
      <c r="BC10" s="8">
        <v>0</v>
      </c>
      <c r="BD10" s="8">
        <v>0</v>
      </c>
      <c r="BE10" s="8">
        <v>0</v>
      </c>
      <c r="BF10" s="8">
        <v>0</v>
      </c>
      <c r="BG10" s="8">
        <v>0</v>
      </c>
      <c r="BH10" s="8">
        <v>0</v>
      </c>
      <c r="BI10" s="8">
        <v>0</v>
      </c>
      <c r="BJ10" s="8">
        <v>0</v>
      </c>
      <c r="BK10" s="8">
        <v>0</v>
      </c>
      <c r="BL10" s="8">
        <v>0</v>
      </c>
      <c r="BM10" s="8">
        <v>0</v>
      </c>
      <c r="BN10" s="8">
        <v>0</v>
      </c>
      <c r="BO10" s="8">
        <v>0</v>
      </c>
      <c r="BP10" s="8">
        <v>0</v>
      </c>
      <c r="BQ10" s="8">
        <v>0</v>
      </c>
      <c r="BR10" s="8">
        <v>0</v>
      </c>
      <c r="BS10" s="8">
        <v>0</v>
      </c>
      <c r="BT10" s="8">
        <v>0</v>
      </c>
      <c r="BU10" s="8">
        <v>0</v>
      </c>
      <c r="BV10" s="8">
        <v>0</v>
      </c>
      <c r="BW10" s="8">
        <v>0</v>
      </c>
      <c r="BX10" s="8">
        <v>0</v>
      </c>
      <c r="BY10" s="8">
        <v>0</v>
      </c>
      <c r="BZ10" s="8">
        <v>0</v>
      </c>
      <c r="CA10" s="8">
        <v>0</v>
      </c>
      <c r="CB10" s="8">
        <v>0</v>
      </c>
      <c r="CC10" s="8">
        <v>0</v>
      </c>
      <c r="CD10" s="8">
        <v>0</v>
      </c>
      <c r="CE10" s="8">
        <v>0</v>
      </c>
      <c r="CF10" s="8">
        <v>0</v>
      </c>
      <c r="CG10" s="8">
        <v>0</v>
      </c>
      <c r="CH10" s="8">
        <v>0</v>
      </c>
      <c r="CI10" s="8">
        <v>0</v>
      </c>
      <c r="CJ10" s="8">
        <v>0</v>
      </c>
      <c r="CK10" s="8">
        <v>0</v>
      </c>
      <c r="CL10" s="8">
        <v>0</v>
      </c>
      <c r="CM10" s="8">
        <v>0</v>
      </c>
      <c r="CN10" s="8">
        <v>0</v>
      </c>
      <c r="CO10" s="8">
        <v>0</v>
      </c>
    </row>
    <row r="11" spans="1:93" x14ac:dyDescent="0.25">
      <c r="A11" s="16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</row>
    <row r="12" spans="1:93" x14ac:dyDescent="0.25">
      <c r="A12" s="16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</row>
    <row r="13" spans="1:93" x14ac:dyDescent="0.25">
      <c r="A13" s="16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</row>
    <row r="14" spans="1:93" x14ac:dyDescent="0.25">
      <c r="A14" s="16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</row>
    <row r="15" spans="1:93" x14ac:dyDescent="0.25">
      <c r="A15" s="16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</row>
    <row r="16" spans="1:93" x14ac:dyDescent="0.25">
      <c r="A16" s="16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</row>
    <row r="17" spans="1:93" x14ac:dyDescent="0.25">
      <c r="A17" s="16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</row>
    <row r="18" spans="1:93" x14ac:dyDescent="0.25">
      <c r="A18" s="6"/>
    </row>
    <row r="19" spans="1:93" x14ac:dyDescent="0.25">
      <c r="A19" s="6"/>
    </row>
    <row r="20" spans="1:93" x14ac:dyDescent="0.25">
      <c r="A20" s="6"/>
    </row>
    <row r="21" spans="1:93" x14ac:dyDescent="0.25">
      <c r="A21" s="6"/>
    </row>
    <row r="22" spans="1:93" x14ac:dyDescent="0.25">
      <c r="A22" s="6"/>
    </row>
  </sheetData>
  <sheetProtection sheet="1" objects="1" scenarios="1" selectLockedCells="1" selectUnlockedCells="1"/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57150</xdr:colOff>
                    <xdr:row>0</xdr:row>
                    <xdr:rowOff>66675</xdr:rowOff>
                  </from>
                  <to>
                    <xdr:col>1</xdr:col>
                    <xdr:colOff>428625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outonSaisirRéappro">
              <controlPr defaultSize="0" print="0" autoFill="0" autoPict="0" macro="[0]!SaisirRéapproClic">
                <anchor>
                  <from>
                    <xdr:col>1</xdr:col>
                    <xdr:colOff>552450</xdr:colOff>
                    <xdr:row>0</xdr:row>
                    <xdr:rowOff>57150</xdr:rowOff>
                  </from>
                  <to>
                    <xdr:col>5</xdr:col>
                    <xdr:colOff>47625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83229-5E44-4D69-BFC2-DFB9A4B0635A}">
  <sheetPr codeName="Feuil5"/>
  <dimension ref="B7:H25"/>
  <sheetViews>
    <sheetView topLeftCell="A4" workbookViewId="0">
      <selection activeCell="H8" sqref="H8"/>
    </sheetView>
  </sheetViews>
  <sheetFormatPr baseColWidth="10" defaultRowHeight="15" x14ac:dyDescent="0.25"/>
  <sheetData>
    <row r="7" spans="2:8" x14ac:dyDescent="0.25">
      <c r="B7" t="s">
        <v>47</v>
      </c>
      <c r="D7" t="s">
        <v>42</v>
      </c>
      <c r="E7" t="s">
        <v>43</v>
      </c>
      <c r="F7" t="s">
        <v>44</v>
      </c>
      <c r="G7" t="s">
        <v>45</v>
      </c>
      <c r="H7" t="s">
        <v>46</v>
      </c>
    </row>
    <row r="8" spans="2:8" ht="15" customHeight="1" x14ac:dyDescent="0.25">
      <c r="B8" s="5" t="s">
        <v>2</v>
      </c>
      <c r="D8" t="s">
        <v>3</v>
      </c>
      <c r="E8" t="s">
        <v>18</v>
      </c>
      <c r="F8">
        <v>36</v>
      </c>
      <c r="G8">
        <v>36</v>
      </c>
      <c r="H8">
        <v>1</v>
      </c>
    </row>
    <row r="9" spans="2:8" x14ac:dyDescent="0.25">
      <c r="B9" t="s">
        <v>26</v>
      </c>
      <c r="D9" t="s">
        <v>4</v>
      </c>
      <c r="E9" t="s">
        <v>19</v>
      </c>
      <c r="F9">
        <v>38</v>
      </c>
      <c r="G9">
        <v>37</v>
      </c>
      <c r="H9">
        <v>2</v>
      </c>
    </row>
    <row r="10" spans="2:8" x14ac:dyDescent="0.25">
      <c r="B10" t="s">
        <v>27</v>
      </c>
      <c r="D10" t="s">
        <v>5</v>
      </c>
      <c r="E10" t="s">
        <v>20</v>
      </c>
      <c r="F10">
        <v>40</v>
      </c>
      <c r="G10">
        <v>38</v>
      </c>
      <c r="H10">
        <v>3</v>
      </c>
    </row>
    <row r="11" spans="2:8" x14ac:dyDescent="0.25">
      <c r="B11" t="s">
        <v>28</v>
      </c>
      <c r="D11" t="s">
        <v>6</v>
      </c>
      <c r="E11" t="s">
        <v>21</v>
      </c>
      <c r="F11">
        <v>42</v>
      </c>
      <c r="G11">
        <v>39</v>
      </c>
      <c r="H11">
        <v>4</v>
      </c>
    </row>
    <row r="12" spans="2:8" x14ac:dyDescent="0.25">
      <c r="B12" t="s">
        <v>29</v>
      </c>
      <c r="D12" t="s">
        <v>7</v>
      </c>
      <c r="E12" t="s">
        <v>22</v>
      </c>
      <c r="F12">
        <v>44</v>
      </c>
      <c r="G12">
        <v>40</v>
      </c>
      <c r="H12">
        <v>5</v>
      </c>
    </row>
    <row r="13" spans="2:8" x14ac:dyDescent="0.25">
      <c r="B13" t="s">
        <v>30</v>
      </c>
      <c r="D13" t="s">
        <v>8</v>
      </c>
      <c r="E13" t="s">
        <v>23</v>
      </c>
      <c r="F13">
        <v>46</v>
      </c>
      <c r="G13">
        <v>41</v>
      </c>
    </row>
    <row r="14" spans="2:8" x14ac:dyDescent="0.25">
      <c r="B14" t="s">
        <v>31</v>
      </c>
      <c r="D14" t="s">
        <v>9</v>
      </c>
      <c r="E14" t="s">
        <v>24</v>
      </c>
      <c r="F14">
        <v>48</v>
      </c>
      <c r="G14">
        <v>42</v>
      </c>
    </row>
    <row r="15" spans="2:8" x14ac:dyDescent="0.25">
      <c r="B15" t="s">
        <v>32</v>
      </c>
      <c r="D15" t="s">
        <v>10</v>
      </c>
      <c r="E15" t="s">
        <v>25</v>
      </c>
      <c r="F15">
        <v>50</v>
      </c>
      <c r="G15">
        <v>43</v>
      </c>
    </row>
    <row r="16" spans="2:8" x14ac:dyDescent="0.25">
      <c r="B16" t="s">
        <v>33</v>
      </c>
      <c r="D16" t="s">
        <v>11</v>
      </c>
      <c r="F16">
        <v>52</v>
      </c>
      <c r="G16">
        <v>44</v>
      </c>
    </row>
    <row r="17" spans="2:7" x14ac:dyDescent="0.25">
      <c r="B17" t="s">
        <v>34</v>
      </c>
      <c r="D17" t="s">
        <v>12</v>
      </c>
      <c r="F17">
        <v>54</v>
      </c>
      <c r="G17">
        <v>45</v>
      </c>
    </row>
    <row r="18" spans="2:7" x14ac:dyDescent="0.25">
      <c r="B18" t="s">
        <v>35</v>
      </c>
      <c r="D18" t="s">
        <v>13</v>
      </c>
      <c r="G18">
        <v>46</v>
      </c>
    </row>
    <row r="19" spans="2:7" x14ac:dyDescent="0.25">
      <c r="B19" t="s">
        <v>36</v>
      </c>
      <c r="D19" t="s">
        <v>14</v>
      </c>
    </row>
    <row r="20" spans="2:7" x14ac:dyDescent="0.25">
      <c r="B20" t="s">
        <v>37</v>
      </c>
      <c r="D20" t="s">
        <v>15</v>
      </c>
    </row>
    <row r="21" spans="2:7" x14ac:dyDescent="0.25">
      <c r="B21" t="s">
        <v>38</v>
      </c>
      <c r="D21" t="s">
        <v>16</v>
      </c>
    </row>
    <row r="22" spans="2:7" x14ac:dyDescent="0.25">
      <c r="B22" t="s">
        <v>39</v>
      </c>
      <c r="D22" t="s">
        <v>17</v>
      </c>
    </row>
    <row r="24" spans="2:7" x14ac:dyDescent="0.25">
      <c r="B24" t="s">
        <v>40</v>
      </c>
    </row>
    <row r="25" spans="2:7" x14ac:dyDescent="0.25">
      <c r="B25" t="s">
        <v>41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152400</xdr:colOff>
                    <xdr:row>2</xdr:row>
                    <xdr:rowOff>57150</xdr:rowOff>
                  </from>
                  <to>
                    <xdr:col>1</xdr:col>
                    <xdr:colOff>485775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641BE-9C1B-4A8F-8581-6C313FFB9636}">
  <sheetPr codeName="Feuil3"/>
  <dimension ref="A1:P28"/>
  <sheetViews>
    <sheetView topLeftCell="A4" workbookViewId="0">
      <selection activeCell="B20" sqref="B20"/>
    </sheetView>
  </sheetViews>
  <sheetFormatPr baseColWidth="10" defaultRowHeight="15" x14ac:dyDescent="0.25"/>
  <sheetData>
    <row r="1" spans="1:16" x14ac:dyDescent="0.25">
      <c r="A1" s="2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</row>
    <row r="2" spans="1:16" x14ac:dyDescent="0.25">
      <c r="A2" s="22"/>
      <c r="B2">
        <v>0</v>
      </c>
      <c r="C2">
        <v>0</v>
      </c>
      <c r="D2">
        <v>0</v>
      </c>
      <c r="E2">
        <v>0</v>
      </c>
      <c r="F2">
        <v>1</v>
      </c>
      <c r="G2">
        <v>0</v>
      </c>
      <c r="H2">
        <v>1</v>
      </c>
      <c r="I2">
        <v>0</v>
      </c>
      <c r="J2">
        <v>2</v>
      </c>
      <c r="K2">
        <v>0</v>
      </c>
      <c r="L2">
        <v>4</v>
      </c>
      <c r="M2">
        <v>0</v>
      </c>
      <c r="N2">
        <v>3</v>
      </c>
      <c r="O2">
        <v>0</v>
      </c>
      <c r="P2">
        <v>5</v>
      </c>
    </row>
    <row r="3" spans="1:16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x14ac:dyDescent="0.25">
      <c r="B4" t="s">
        <v>18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  <c r="I4" t="s">
        <v>25</v>
      </c>
    </row>
    <row r="5" spans="1:16" x14ac:dyDescent="0.25">
      <c r="A5" t="s">
        <v>26</v>
      </c>
      <c r="B5">
        <v>0</v>
      </c>
      <c r="C5">
        <v>0</v>
      </c>
      <c r="D5">
        <v>1</v>
      </c>
      <c r="E5">
        <v>0</v>
      </c>
      <c r="F5">
        <v>0</v>
      </c>
      <c r="G5">
        <v>0</v>
      </c>
      <c r="H5">
        <v>0</v>
      </c>
      <c r="I5">
        <v>0</v>
      </c>
    </row>
    <row r="6" spans="1:16" x14ac:dyDescent="0.25">
      <c r="A6" t="s">
        <v>27</v>
      </c>
      <c r="B6">
        <v>0</v>
      </c>
      <c r="C6">
        <v>0</v>
      </c>
      <c r="D6">
        <v>0</v>
      </c>
      <c r="E6">
        <v>3</v>
      </c>
      <c r="F6">
        <v>1</v>
      </c>
      <c r="G6">
        <v>1</v>
      </c>
      <c r="H6">
        <v>0</v>
      </c>
      <c r="I6">
        <v>0</v>
      </c>
    </row>
    <row r="7" spans="1:16" x14ac:dyDescent="0.25">
      <c r="A7" t="s">
        <v>28</v>
      </c>
      <c r="B7">
        <v>14</v>
      </c>
      <c r="C7">
        <v>1</v>
      </c>
      <c r="D7">
        <v>14</v>
      </c>
      <c r="E7">
        <v>13</v>
      </c>
      <c r="F7">
        <v>10</v>
      </c>
      <c r="G7">
        <v>5</v>
      </c>
      <c r="H7">
        <v>6</v>
      </c>
      <c r="I7">
        <v>1</v>
      </c>
    </row>
    <row r="8" spans="1:16" x14ac:dyDescent="0.25">
      <c r="A8" t="s">
        <v>29</v>
      </c>
      <c r="B8">
        <v>4</v>
      </c>
      <c r="C8">
        <v>8</v>
      </c>
      <c r="D8">
        <v>6</v>
      </c>
      <c r="E8">
        <v>15</v>
      </c>
      <c r="F8">
        <v>11</v>
      </c>
      <c r="G8">
        <v>16</v>
      </c>
      <c r="H8">
        <v>1</v>
      </c>
      <c r="I8">
        <v>0</v>
      </c>
    </row>
    <row r="9" spans="1:16" x14ac:dyDescent="0.25">
      <c r="A9" t="s">
        <v>30</v>
      </c>
      <c r="B9">
        <v>5</v>
      </c>
      <c r="C9">
        <v>0</v>
      </c>
      <c r="D9">
        <v>0</v>
      </c>
      <c r="E9">
        <v>8</v>
      </c>
      <c r="F9">
        <v>2</v>
      </c>
      <c r="G9">
        <v>0</v>
      </c>
      <c r="H9">
        <v>0</v>
      </c>
      <c r="I9">
        <v>0</v>
      </c>
    </row>
    <row r="10" spans="1:16" ht="15.75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 x14ac:dyDescent="0.25">
      <c r="B11">
        <v>36</v>
      </c>
      <c r="C11">
        <v>38</v>
      </c>
      <c r="D11">
        <v>40</v>
      </c>
      <c r="E11">
        <v>42</v>
      </c>
      <c r="F11">
        <v>44</v>
      </c>
      <c r="G11">
        <v>46</v>
      </c>
      <c r="H11">
        <v>48</v>
      </c>
      <c r="I11">
        <v>50</v>
      </c>
      <c r="J11">
        <v>52</v>
      </c>
      <c r="K11">
        <v>54</v>
      </c>
      <c r="L11">
        <v>56</v>
      </c>
      <c r="M11">
        <v>58</v>
      </c>
      <c r="N11">
        <v>60</v>
      </c>
      <c r="O11">
        <v>62</v>
      </c>
    </row>
    <row r="12" spans="1:16" x14ac:dyDescent="0.25">
      <c r="A12" t="s">
        <v>31</v>
      </c>
      <c r="B12">
        <v>0</v>
      </c>
      <c r="C12">
        <v>0</v>
      </c>
      <c r="D12">
        <v>0</v>
      </c>
      <c r="E12">
        <v>2</v>
      </c>
      <c r="F12">
        <v>1</v>
      </c>
      <c r="G12">
        <v>3</v>
      </c>
      <c r="H12">
        <v>0</v>
      </c>
      <c r="I12">
        <v>3</v>
      </c>
      <c r="J12">
        <v>0</v>
      </c>
      <c r="K12">
        <v>5</v>
      </c>
      <c r="L12">
        <v>0</v>
      </c>
      <c r="M12">
        <v>1</v>
      </c>
      <c r="N12">
        <v>0</v>
      </c>
      <c r="O12">
        <v>4</v>
      </c>
    </row>
    <row r="14" spans="1:16" x14ac:dyDescent="0.25">
      <c r="B14">
        <v>36</v>
      </c>
      <c r="C14">
        <v>37</v>
      </c>
      <c r="D14">
        <v>38</v>
      </c>
      <c r="E14">
        <v>39</v>
      </c>
      <c r="F14">
        <v>40</v>
      </c>
      <c r="G14">
        <v>41</v>
      </c>
      <c r="H14">
        <v>42</v>
      </c>
      <c r="I14">
        <v>43</v>
      </c>
      <c r="J14">
        <v>44</v>
      </c>
      <c r="K14">
        <v>45</v>
      </c>
      <c r="L14">
        <v>46</v>
      </c>
    </row>
    <row r="15" spans="1:16" x14ac:dyDescent="0.25">
      <c r="A15" t="s">
        <v>32</v>
      </c>
      <c r="B15">
        <v>0</v>
      </c>
      <c r="C15">
        <v>0</v>
      </c>
      <c r="D15">
        <v>1</v>
      </c>
      <c r="E15">
        <v>3</v>
      </c>
      <c r="F15">
        <v>0</v>
      </c>
      <c r="G15">
        <v>0</v>
      </c>
      <c r="H15">
        <v>1</v>
      </c>
      <c r="I15">
        <v>0</v>
      </c>
      <c r="J15">
        <v>0</v>
      </c>
      <c r="K15">
        <v>0</v>
      </c>
      <c r="L15">
        <v>1</v>
      </c>
    </row>
    <row r="17" spans="1:6" x14ac:dyDescent="0.25">
      <c r="A17" t="s">
        <v>33</v>
      </c>
      <c r="B17">
        <v>5</v>
      </c>
    </row>
    <row r="18" spans="1:6" x14ac:dyDescent="0.25">
      <c r="A18" t="s">
        <v>34</v>
      </c>
      <c r="B18">
        <v>8</v>
      </c>
    </row>
    <row r="19" spans="1:6" x14ac:dyDescent="0.25">
      <c r="A19" t="s">
        <v>35</v>
      </c>
      <c r="B19">
        <v>13</v>
      </c>
    </row>
    <row r="20" spans="1:6" x14ac:dyDescent="0.25">
      <c r="A20" t="s">
        <v>36</v>
      </c>
      <c r="B20">
        <v>0</v>
      </c>
    </row>
    <row r="22" spans="1:6" x14ac:dyDescent="0.25">
      <c r="A22" t="s">
        <v>37</v>
      </c>
      <c r="B22">
        <v>0</v>
      </c>
    </row>
    <row r="23" spans="1:6" x14ac:dyDescent="0.25">
      <c r="A23" t="s">
        <v>38</v>
      </c>
      <c r="B23">
        <v>8</v>
      </c>
    </row>
    <row r="24" spans="1:6" x14ac:dyDescent="0.25">
      <c r="A24" t="s">
        <v>39</v>
      </c>
      <c r="B24">
        <v>0</v>
      </c>
    </row>
    <row r="26" spans="1:6" x14ac:dyDescent="0.25">
      <c r="A26" t="s">
        <v>40</v>
      </c>
      <c r="B26">
        <v>29</v>
      </c>
    </row>
    <row r="27" spans="1:6" x14ac:dyDescent="0.25">
      <c r="B27" t="s">
        <v>18</v>
      </c>
      <c r="C27" t="s">
        <v>19</v>
      </c>
      <c r="D27" t="s">
        <v>20</v>
      </c>
      <c r="E27" t="s">
        <v>21</v>
      </c>
      <c r="F27" t="s">
        <v>22</v>
      </c>
    </row>
    <row r="28" spans="1:6" x14ac:dyDescent="0.25">
      <c r="A28" t="s">
        <v>41</v>
      </c>
      <c r="B28">
        <v>0</v>
      </c>
      <c r="C28">
        <v>2</v>
      </c>
      <c r="D28">
        <v>3</v>
      </c>
      <c r="E28">
        <v>2</v>
      </c>
      <c r="F28">
        <v>2</v>
      </c>
    </row>
  </sheetData>
  <sheetProtection algorithmName="SHA-512" hashValue="g9kuc2ntYK+9COSBxNfScw3HOSLGDJ34WhyjQzPcqefgPBffRAX6CLvaScEQQhJzrSELBvx3gNqGKVw9KzTrXA==" saltValue="IR9SQdRTYCruVKBssmPJKA==" spinCount="100000" sheet="1" objects="1" scenarios="1" selectLockedCells="1" selectUnlockedCells="1"/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Accueil</vt:lpstr>
      <vt:lpstr>Stock</vt:lpstr>
      <vt:lpstr>Dotation</vt:lpstr>
      <vt:lpstr>QTE Dotation</vt:lpstr>
      <vt:lpstr>Réappro</vt:lpstr>
      <vt:lpstr>Listes</vt:lpstr>
      <vt:lpstr>Inventaire du 101242</vt:lpstr>
      <vt:lpstr>EQPMT</vt:lpstr>
      <vt:lpstr>POINTURES</vt:lpstr>
      <vt:lpstr>QTE</vt:lpstr>
      <vt:lpstr>Tailles</vt:lpstr>
      <vt:lpstr>TFR</vt:lpstr>
      <vt:lpstr>TINTER</vt:lpstr>
      <vt:lpstr>TVESTT</vt:lpstr>
    </vt:vector>
  </TitlesOfParts>
  <Company>Departement des Bouches du Rhone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CORRAL MAUBLANC Maxandre</dc:creator>
  <cp:lastModifiedBy>CORRAL MAUBLANC Maxandre</cp:lastModifiedBy>
  <cp:lastPrinted>2024-12-27T06:51:38Z</cp:lastPrinted>
  <dcterms:created xsi:type="dcterms:W3CDTF">2024-12-17T08:27:01Z</dcterms:created>
  <dcterms:modified xsi:type="dcterms:W3CDTF">2024-12-27T12:37:59Z</dcterms:modified>
</cp:coreProperties>
</file>