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filterPrivacy="1" defaultThemeVersion="202300"/>
  <xr:revisionPtr revIDLastSave="0" documentId="13_ncr:1_{67413C0F-4A11-4506-A32D-EFAC5172EA6A}" xr6:coauthVersionLast="47" xr6:coauthVersionMax="47" xr10:uidLastSave="{00000000-0000-0000-0000-000000000000}"/>
  <bookViews>
    <workbookView xWindow="-120" yWindow="-120" windowWidth="29040" windowHeight="15720" xr2:uid="{8840DFDF-FB5C-471B-A970-29CD6D4C377D}"/>
  </bookViews>
  <sheets>
    <sheet name="Sheet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32" i="1" l="1"/>
  <c r="F32" i="1"/>
  <c r="G32" i="1"/>
  <c r="H32" i="1"/>
  <c r="I32" i="1"/>
  <c r="J32" i="1"/>
  <c r="K32" i="1"/>
  <c r="D32" i="1"/>
  <c r="E31" i="1"/>
  <c r="F31" i="1"/>
  <c r="G31" i="1"/>
  <c r="H31" i="1"/>
  <c r="I31" i="1"/>
  <c r="J31" i="1"/>
  <c r="K31" i="1"/>
  <c r="E30" i="1"/>
  <c r="F30" i="1"/>
  <c r="G30" i="1"/>
  <c r="H30" i="1"/>
  <c r="I30" i="1"/>
  <c r="J30" i="1"/>
  <c r="K30" i="1"/>
  <c r="E29" i="1"/>
  <c r="F29" i="1"/>
  <c r="G29" i="1"/>
  <c r="H29" i="1"/>
  <c r="I29" i="1"/>
  <c r="J29" i="1"/>
  <c r="K29" i="1"/>
  <c r="D31" i="1" l="1"/>
  <c r="D30" i="1"/>
  <c r="D29" i="1"/>
  <c r="O2" i="1"/>
  <c r="O3" i="1"/>
  <c r="O4" i="1"/>
  <c r="O5" i="1"/>
  <c r="O6" i="1"/>
  <c r="O7" i="1"/>
  <c r="O8" i="1"/>
  <c r="O9" i="1"/>
  <c r="O10" i="1"/>
  <c r="O11" i="1"/>
  <c r="O12" i="1"/>
  <c r="O13" i="1"/>
  <c r="O14" i="1"/>
  <c r="O15" i="1"/>
  <c r="O16" i="1"/>
  <c r="O17" i="1"/>
  <c r="O18" i="1"/>
  <c r="O19" i="1"/>
  <c r="O20" i="1"/>
  <c r="O21" i="1"/>
  <c r="O22" i="1"/>
  <c r="O23" i="1"/>
  <c r="O24" i="1"/>
  <c r="O25" i="1"/>
  <c r="O26" i="1"/>
  <c r="O27" i="1"/>
  <c r="N2" i="1"/>
  <c r="N3" i="1"/>
  <c r="N4" i="1"/>
  <c r="N5" i="1"/>
  <c r="N6" i="1"/>
  <c r="N7" i="1"/>
  <c r="N8" i="1"/>
  <c r="N9" i="1"/>
  <c r="N10" i="1"/>
  <c r="N11" i="1"/>
  <c r="N12" i="1"/>
  <c r="N13" i="1"/>
  <c r="N14" i="1"/>
  <c r="N15" i="1"/>
  <c r="N16" i="1"/>
  <c r="N17" i="1"/>
  <c r="N18" i="1"/>
  <c r="N19" i="1"/>
  <c r="N20" i="1"/>
  <c r="N21" i="1"/>
  <c r="N22" i="1"/>
  <c r="N23" i="1"/>
  <c r="N24" i="1"/>
  <c r="N25" i="1"/>
  <c r="N26" i="1"/>
  <c r="N27" i="1"/>
  <c r="M2" i="1"/>
  <c r="M3" i="1"/>
  <c r="M4" i="1"/>
  <c r="M5" i="1"/>
  <c r="M6" i="1"/>
  <c r="M7" i="1"/>
  <c r="M8" i="1"/>
  <c r="M9" i="1"/>
  <c r="M10" i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L2" i="1"/>
  <c r="L3" i="1"/>
  <c r="L4" i="1"/>
  <c r="L5" i="1"/>
  <c r="L6" i="1"/>
  <c r="L7" i="1"/>
  <c r="L8" i="1"/>
  <c r="L9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M30" i="1" l="1"/>
  <c r="M29" i="1"/>
  <c r="M31" i="1"/>
  <c r="M32" i="1"/>
  <c r="O30" i="1"/>
  <c r="O31" i="1"/>
  <c r="O29" i="1"/>
  <c r="O32" i="1"/>
  <c r="N30" i="1"/>
  <c r="N32" i="1"/>
  <c r="N31" i="1"/>
  <c r="N29" i="1"/>
  <c r="L29" i="1"/>
  <c r="L31" i="1"/>
  <c r="L30" i="1"/>
  <c r="L32" i="1"/>
</calcChain>
</file>

<file path=xl/sharedStrings.xml><?xml version="1.0" encoding="utf-8"?>
<sst xmlns="http://schemas.openxmlformats.org/spreadsheetml/2006/main" count="71" uniqueCount="48">
  <si>
    <t>XPS 13 9360</t>
  </si>
  <si>
    <t>XPS</t>
  </si>
  <si>
    <t>XPS 13 9365 2-en-1</t>
  </si>
  <si>
    <t>XPS 13 9370</t>
  </si>
  <si>
    <t>XPS 15 9560</t>
  </si>
  <si>
    <t>XPS 15 9570</t>
  </si>
  <si>
    <t>Precision 3510</t>
  </si>
  <si>
    <t>Precision</t>
  </si>
  <si>
    <t>Precision 3520</t>
  </si>
  <si>
    <t>Precision 3530</t>
  </si>
  <si>
    <t>Precision 5520</t>
  </si>
  <si>
    <t>Precision 5530</t>
  </si>
  <si>
    <t>Precision 5530 2-en-1</t>
  </si>
  <si>
    <t>Precision 7520</t>
  </si>
  <si>
    <t>Precision 7720</t>
  </si>
  <si>
    <t>Latitude 3190</t>
  </si>
  <si>
    <t>Latitude</t>
  </si>
  <si>
    <t>Latitude 3190 2-en-1</t>
  </si>
  <si>
    <t>Latitude 3380</t>
  </si>
  <si>
    <t>Latitude 3490</t>
  </si>
  <si>
    <t>Latitude 3590</t>
  </si>
  <si>
    <t>Latitude 5290</t>
  </si>
  <si>
    <t>Latitude 5290 2-en-1</t>
  </si>
  <si>
    <t>Latitude 5490</t>
  </si>
  <si>
    <t>Latitude 5590</t>
  </si>
  <si>
    <t>Latitude 7290</t>
  </si>
  <si>
    <t>Latitude 7390</t>
  </si>
  <si>
    <t>Latitude 7390 2-en-1</t>
  </si>
  <si>
    <t>Latitude 7490</t>
  </si>
  <si>
    <t>Modèle</t>
  </si>
  <si>
    <t>Gamme</t>
  </si>
  <si>
    <t>2-en-1</t>
  </si>
  <si>
    <t>Masse (kg)</t>
  </si>
  <si>
    <t>Taille écran (")</t>
  </si>
  <si>
    <t>Conso. an. (kWh)</t>
  </si>
  <si>
    <t>Empreinte (kgCO2e)</t>
  </si>
  <si>
    <t>Fabrication (%)</t>
  </si>
  <si>
    <t>Transport (%)</t>
  </si>
  <si>
    <t>Utilisation (%)</t>
  </si>
  <si>
    <t>Recyclage (%)</t>
  </si>
  <si>
    <t>Fabrication</t>
  </si>
  <si>
    <t>Transport</t>
  </si>
  <si>
    <t>Utilisation</t>
  </si>
  <si>
    <t>Recyclage</t>
  </si>
  <si>
    <t>Minimum</t>
  </si>
  <si>
    <t>Moyenne</t>
  </si>
  <si>
    <t>Maximum</t>
  </si>
  <si>
    <t>Rapport Max/Min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</si>
</sst>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2"/>
      <color theme="1"/>
      <name val="Aptos Narrow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center" vertical="center" wrapText="1"/>
    </xf>
    <xf numFmtId="2" fontId="0" fillId="0" borderId="0" xfId="0" applyNumberFormat="1" applyAlignment="1">
      <alignment horizontal="center" vertical="center"/>
    </xf>
  </cellXfs>
  <cellStyles count="1">
    <cellStyle name="Normal" xfId="0" builtinId="0"/>
  </cellStyles>
  <dxfs count="16"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cap="all" spc="120" normalizeH="0" baseline="0">
                <a:solidFill>
                  <a:schemeClr val="tx2">
                    <a:lumMod val="50000"/>
                    <a:lumOff val="50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Relation entre la masse et l'impact du transport 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cap="all" spc="120" normalizeH="0" baseline="0">
              <a:solidFill>
                <a:schemeClr val="tx2">
                  <a:lumMod val="50000"/>
                  <a:lumOff val="50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scatterChart>
        <c:scatterStyle val="lineMarker"/>
        <c:varyColors val="0"/>
        <c:ser>
          <c:idx val="0"/>
          <c:order val="0"/>
          <c:spPr>
            <a:ln w="25400" cap="rnd">
              <a:noFill/>
              <a:round/>
            </a:ln>
            <a:effectLst/>
          </c:spPr>
          <c:marker>
            <c:symbol val="diamond"/>
            <c:size val="6"/>
            <c:spPr>
              <a:solidFill>
                <a:schemeClr val="accent1"/>
              </a:solidFill>
              <a:ln w="9525">
                <a:solidFill>
                  <a:schemeClr val="accent1"/>
                </a:solidFill>
                <a:round/>
              </a:ln>
              <a:effectLst/>
            </c:spPr>
          </c:marker>
          <c:xVal>
            <c:numRef>
              <c:f>Sheet1!$D$2:$D$27</c:f>
              <c:numCache>
                <c:formatCode>General</c:formatCode>
                <c:ptCount val="26"/>
                <c:pt idx="0">
                  <c:v>1.23</c:v>
                </c:pt>
                <c:pt idx="1">
                  <c:v>1.24</c:v>
                </c:pt>
                <c:pt idx="2">
                  <c:v>1.27</c:v>
                </c:pt>
                <c:pt idx="3">
                  <c:v>1.88</c:v>
                </c:pt>
                <c:pt idx="4">
                  <c:v>2.0499999999999998</c:v>
                </c:pt>
                <c:pt idx="5">
                  <c:v>2.6</c:v>
                </c:pt>
                <c:pt idx="6">
                  <c:v>2.17</c:v>
                </c:pt>
                <c:pt idx="7">
                  <c:v>2.0299999999999998</c:v>
                </c:pt>
                <c:pt idx="8">
                  <c:v>1.88</c:v>
                </c:pt>
                <c:pt idx="9">
                  <c:v>2.0499999999999998</c:v>
                </c:pt>
                <c:pt idx="10">
                  <c:v>2.0699999999999998</c:v>
                </c:pt>
                <c:pt idx="11">
                  <c:v>2.98</c:v>
                </c:pt>
                <c:pt idx="12">
                  <c:v>3.45</c:v>
                </c:pt>
                <c:pt idx="13">
                  <c:v>1.65</c:v>
                </c:pt>
                <c:pt idx="14">
                  <c:v>1.65</c:v>
                </c:pt>
                <c:pt idx="15">
                  <c:v>1.63</c:v>
                </c:pt>
                <c:pt idx="16">
                  <c:v>1.78</c:v>
                </c:pt>
                <c:pt idx="17">
                  <c:v>2.0699999999999998</c:v>
                </c:pt>
                <c:pt idx="18">
                  <c:v>1.45</c:v>
                </c:pt>
                <c:pt idx="19">
                  <c:v>0.85699999999999998</c:v>
                </c:pt>
                <c:pt idx="20">
                  <c:v>1.6</c:v>
                </c:pt>
                <c:pt idx="21">
                  <c:v>1.88</c:v>
                </c:pt>
                <c:pt idx="22">
                  <c:v>1.19</c:v>
                </c:pt>
                <c:pt idx="23">
                  <c:v>1.19</c:v>
                </c:pt>
                <c:pt idx="24">
                  <c:v>1.45</c:v>
                </c:pt>
                <c:pt idx="25">
                  <c:v>1.4</c:v>
                </c:pt>
              </c:numCache>
            </c:numRef>
          </c:xVal>
          <c:yVal>
            <c:numRef>
              <c:f>Sheet1!$M$2:$M$27</c:f>
              <c:numCache>
                <c:formatCode>General</c:formatCode>
                <c:ptCount val="26"/>
                <c:pt idx="0">
                  <c:v>10.296000000000001</c:v>
                </c:pt>
                <c:pt idx="1">
                  <c:v>9.1840000000000011</c:v>
                </c:pt>
                <c:pt idx="2">
                  <c:v>12.770999999999999</c:v>
                </c:pt>
                <c:pt idx="3">
                  <c:v>12.805999999999999</c:v>
                </c:pt>
                <c:pt idx="4">
                  <c:v>13.932</c:v>
                </c:pt>
                <c:pt idx="5">
                  <c:v>19.86</c:v>
                </c:pt>
                <c:pt idx="6">
                  <c:v>13.376000000000001</c:v>
                </c:pt>
                <c:pt idx="7">
                  <c:v>14.404999999999999</c:v>
                </c:pt>
                <c:pt idx="8">
                  <c:v>12.512</c:v>
                </c:pt>
                <c:pt idx="9">
                  <c:v>13.26</c:v>
                </c:pt>
                <c:pt idx="10">
                  <c:v>15.51</c:v>
                </c:pt>
                <c:pt idx="11">
                  <c:v>13.965</c:v>
                </c:pt>
                <c:pt idx="12">
                  <c:v>20.8</c:v>
                </c:pt>
                <c:pt idx="13">
                  <c:v>10.395999999999999</c:v>
                </c:pt>
                <c:pt idx="14">
                  <c:v>10.35</c:v>
                </c:pt>
                <c:pt idx="15">
                  <c:v>12.095999999999998</c:v>
                </c:pt>
                <c:pt idx="16">
                  <c:v>11.421000000000001</c:v>
                </c:pt>
                <c:pt idx="17">
                  <c:v>13.462</c:v>
                </c:pt>
                <c:pt idx="18">
                  <c:v>10.9</c:v>
                </c:pt>
                <c:pt idx="19">
                  <c:v>6.4319999999999995</c:v>
                </c:pt>
                <c:pt idx="20">
                  <c:v>9.7889999999999997</c:v>
                </c:pt>
                <c:pt idx="21">
                  <c:v>14.363</c:v>
                </c:pt>
                <c:pt idx="22">
                  <c:v>6.8969999999999994</c:v>
                </c:pt>
                <c:pt idx="23">
                  <c:v>7.5479999999999992</c:v>
                </c:pt>
                <c:pt idx="24">
                  <c:v>9.9600000000000009</c:v>
                </c:pt>
                <c:pt idx="25">
                  <c:v>8.9169999999999998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0-0083-4DF1-B44B-D9D141E264A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854961936"/>
        <c:axId val="1854972016"/>
      </c:scatterChart>
      <c:valAx>
        <c:axId val="1854961936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1" i="0" u="none" strike="noStrike" kern="1200" cap="all" spc="120" normalizeH="0" baseline="0">
                <a:solidFill>
                  <a:schemeClr val="tx2">
                    <a:lumMod val="50000"/>
                    <a:lumOff val="50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854972016"/>
        <c:crosses val="autoZero"/>
        <c:crossBetween val="midCat"/>
      </c:valAx>
      <c:valAx>
        <c:axId val="185497201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dk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1" i="0" u="none" strike="noStrike" kern="1200" baseline="0">
                <a:solidFill>
                  <a:schemeClr val="tx2">
                    <a:lumMod val="50000"/>
                    <a:lumOff val="50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854961936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lt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 b="1">
          <a:solidFill>
            <a:schemeClr val="tx2">
              <a:lumMod val="50000"/>
              <a:lumOff val="50000"/>
            </a:schemeClr>
          </a:solidFill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cap="all" spc="120" normalizeH="0" baseline="0">
                <a:solidFill>
                  <a:schemeClr val="tx2">
                    <a:lumMod val="50000"/>
                    <a:lumOff val="50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Relation entre la taille de l'écran et la consommation énergétique annuelle</a:t>
            </a:r>
          </a:p>
        </c:rich>
      </c:tx>
      <c:layout>
        <c:manualLayout>
          <c:xMode val="edge"/>
          <c:yMode val="edge"/>
          <c:x val="0.20886804317565752"/>
          <c:y val="3.1007751937984496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cap="all" spc="120" normalizeH="0" baseline="0">
              <a:solidFill>
                <a:schemeClr val="tx2">
                  <a:lumMod val="50000"/>
                  <a:lumOff val="50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scatterChart>
        <c:scatterStyle val="lineMarker"/>
        <c:varyColors val="0"/>
        <c:ser>
          <c:idx val="0"/>
          <c:order val="0"/>
          <c:spPr>
            <a:ln w="25400" cap="rnd">
              <a:noFill/>
              <a:round/>
            </a:ln>
            <a:effectLst/>
          </c:spPr>
          <c:marker>
            <c:symbol val="diamond"/>
            <c:size val="6"/>
            <c:spPr>
              <a:solidFill>
                <a:schemeClr val="accent1"/>
              </a:solidFill>
              <a:ln w="9525">
                <a:solidFill>
                  <a:schemeClr val="accent1"/>
                </a:solidFill>
                <a:round/>
              </a:ln>
              <a:effectLst/>
            </c:spPr>
          </c:marker>
          <c:xVal>
            <c:numRef>
              <c:f>Sheet1!$E$2:$E$27</c:f>
              <c:numCache>
                <c:formatCode>General</c:formatCode>
                <c:ptCount val="26"/>
                <c:pt idx="0">
                  <c:v>13.3</c:v>
                </c:pt>
                <c:pt idx="1">
                  <c:v>13.3</c:v>
                </c:pt>
                <c:pt idx="2">
                  <c:v>13.3</c:v>
                </c:pt>
                <c:pt idx="3">
                  <c:v>15.6</c:v>
                </c:pt>
                <c:pt idx="4">
                  <c:v>15.6</c:v>
                </c:pt>
                <c:pt idx="5">
                  <c:v>15.6</c:v>
                </c:pt>
                <c:pt idx="6">
                  <c:v>15.6</c:v>
                </c:pt>
                <c:pt idx="7">
                  <c:v>15.6</c:v>
                </c:pt>
                <c:pt idx="8">
                  <c:v>15.6</c:v>
                </c:pt>
                <c:pt idx="9">
                  <c:v>15.6</c:v>
                </c:pt>
                <c:pt idx="10">
                  <c:v>15.6</c:v>
                </c:pt>
                <c:pt idx="11">
                  <c:v>15.6</c:v>
                </c:pt>
                <c:pt idx="12">
                  <c:v>17.3</c:v>
                </c:pt>
                <c:pt idx="13">
                  <c:v>11.6</c:v>
                </c:pt>
                <c:pt idx="14">
                  <c:v>11.6</c:v>
                </c:pt>
                <c:pt idx="15">
                  <c:v>13.3</c:v>
                </c:pt>
                <c:pt idx="16">
                  <c:v>14</c:v>
                </c:pt>
                <c:pt idx="17">
                  <c:v>15.6</c:v>
                </c:pt>
                <c:pt idx="18">
                  <c:v>11.6</c:v>
                </c:pt>
                <c:pt idx="19">
                  <c:v>12.3</c:v>
                </c:pt>
                <c:pt idx="20">
                  <c:v>14</c:v>
                </c:pt>
                <c:pt idx="21">
                  <c:v>15.6</c:v>
                </c:pt>
                <c:pt idx="22">
                  <c:v>12.5</c:v>
                </c:pt>
                <c:pt idx="23">
                  <c:v>12.5</c:v>
                </c:pt>
                <c:pt idx="24">
                  <c:v>13.3</c:v>
                </c:pt>
                <c:pt idx="25">
                  <c:v>14</c:v>
                </c:pt>
              </c:numCache>
            </c:numRef>
          </c:xVal>
          <c:yVal>
            <c:numRef>
              <c:f>Sheet1!$F$2:$F$27</c:f>
              <c:numCache>
                <c:formatCode>General</c:formatCode>
                <c:ptCount val="26"/>
                <c:pt idx="0">
                  <c:v>29.92</c:v>
                </c:pt>
                <c:pt idx="1">
                  <c:v>25.1</c:v>
                </c:pt>
                <c:pt idx="2">
                  <c:v>19.149999999999999</c:v>
                </c:pt>
                <c:pt idx="3">
                  <c:v>37.020000000000003</c:v>
                </c:pt>
                <c:pt idx="4">
                  <c:v>29.95</c:v>
                </c:pt>
                <c:pt idx="5">
                  <c:v>36.83</c:v>
                </c:pt>
                <c:pt idx="6">
                  <c:v>27.5</c:v>
                </c:pt>
                <c:pt idx="7">
                  <c:v>27.72</c:v>
                </c:pt>
                <c:pt idx="8">
                  <c:v>51.6</c:v>
                </c:pt>
                <c:pt idx="9">
                  <c:v>29.95</c:v>
                </c:pt>
                <c:pt idx="10">
                  <c:v>23.52</c:v>
                </c:pt>
                <c:pt idx="11">
                  <c:v>60.3</c:v>
                </c:pt>
                <c:pt idx="12">
                  <c:v>51.6</c:v>
                </c:pt>
                <c:pt idx="13">
                  <c:v>13.87</c:v>
                </c:pt>
                <c:pt idx="14">
                  <c:v>15.79</c:v>
                </c:pt>
                <c:pt idx="15">
                  <c:v>22.6</c:v>
                </c:pt>
                <c:pt idx="16">
                  <c:v>23.94</c:v>
                </c:pt>
                <c:pt idx="17">
                  <c:v>23.95</c:v>
                </c:pt>
                <c:pt idx="18">
                  <c:v>17.98</c:v>
                </c:pt>
                <c:pt idx="19">
                  <c:v>20.190000000000001</c:v>
                </c:pt>
                <c:pt idx="20">
                  <c:v>25.33</c:v>
                </c:pt>
                <c:pt idx="21">
                  <c:v>28.55</c:v>
                </c:pt>
                <c:pt idx="22">
                  <c:v>17.5</c:v>
                </c:pt>
                <c:pt idx="23">
                  <c:v>15.85</c:v>
                </c:pt>
                <c:pt idx="24">
                  <c:v>21.4</c:v>
                </c:pt>
                <c:pt idx="25">
                  <c:v>17.399999999999999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0-8B02-4BFF-8D57-1803302C6AC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855010416"/>
        <c:axId val="1854994096"/>
      </c:scatterChart>
      <c:valAx>
        <c:axId val="1855010416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1" i="0" u="none" strike="noStrike" kern="1200" cap="all" spc="120" normalizeH="0" baseline="0">
                <a:solidFill>
                  <a:schemeClr val="tx2">
                    <a:lumMod val="50000"/>
                    <a:lumOff val="50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854994096"/>
        <c:crosses val="autoZero"/>
        <c:crossBetween val="midCat"/>
      </c:valAx>
      <c:valAx>
        <c:axId val="185499409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dk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1" i="0" u="none" strike="noStrike" kern="1200" baseline="0">
                <a:solidFill>
                  <a:schemeClr val="tx2">
                    <a:lumMod val="50000"/>
                    <a:lumOff val="50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855010416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lt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 b="1">
          <a:solidFill>
            <a:schemeClr val="tx2">
              <a:lumMod val="50000"/>
              <a:lumOff val="50000"/>
            </a:schemeClr>
          </a:solidFill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4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kern="1200" cap="all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 cap="all" spc="120" normalizeH="0" baseline="0"/>
  </cs:categoryAxis>
  <cs:chartArea mods="allowNoFillOverride allowNoLineOverride">
    <cs:lnRef idx="0"/>
    <cs:fillRef idx="0"/>
    <cs:effectRef idx="0"/>
    <cs:fontRef idx="minor">
      <a:schemeClr val="dk1"/>
    </cs:fontRef>
    <cs:spPr>
      <a:solidFill>
        <a:schemeClr val="lt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50000"/>
        <a:lumOff val="50000"/>
      </a:schemeClr>
    </cs:fontRef>
    <cs:defRPr sz="800" b="0" i="0" u="none" strike="noStrike" kern="1200" baseline="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222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ln w="9525">
        <a:solidFill>
          <a:schemeClr val="phClr"/>
        </a:solidFill>
        <a:round/>
      </a:ln>
    </cs:spPr>
  </cs:dataPointMarker>
  <cs:dataPointMarkerLayout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ln w="9525">
        <a:solidFill>
          <a:schemeClr val="tx1">
            <a:lumMod val="15000"/>
            <a:lumOff val="8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>
        <a:solidFill>
          <a:schemeClr val="tx1">
            <a:lumMod val="15000"/>
            <a:lumOff val="8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solidFill>
          <a:schemeClr val="tx1">
            <a:lumMod val="5000"/>
            <a:lumOff val="95000"/>
          </a:schemeClr>
        </a:soli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dk1"/>
    </cs:fontRef>
  </cs:plotArea>
  <cs:plotArea3D mods="allowNoFillOverride allowNoLineOverride"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600" b="1" kern="1200" cap="all" spc="120" normalizeH="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8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2.xml><?xml version="1.0" encoding="utf-8"?>
<cs:chartStyle xmlns:cs="http://schemas.microsoft.com/office/drawing/2012/chartStyle" xmlns:a="http://schemas.openxmlformats.org/drawingml/2006/main" id="24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kern="1200" cap="all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 cap="all" spc="120" normalizeH="0" baseline="0"/>
  </cs:categoryAxis>
  <cs:chartArea mods="allowNoFillOverride allowNoLineOverride">
    <cs:lnRef idx="0"/>
    <cs:fillRef idx="0"/>
    <cs:effectRef idx="0"/>
    <cs:fontRef idx="minor">
      <a:schemeClr val="dk1"/>
    </cs:fontRef>
    <cs:spPr>
      <a:solidFill>
        <a:schemeClr val="lt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50000"/>
        <a:lumOff val="50000"/>
      </a:schemeClr>
    </cs:fontRef>
    <cs:defRPr sz="800" b="0" i="0" u="none" strike="noStrike" kern="1200" baseline="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222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ln w="9525">
        <a:solidFill>
          <a:schemeClr val="phClr"/>
        </a:solidFill>
        <a:round/>
      </a:ln>
    </cs:spPr>
  </cs:dataPointMarker>
  <cs:dataPointMarkerLayout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ln w="9525">
        <a:solidFill>
          <a:schemeClr val="tx1">
            <a:lumMod val="15000"/>
            <a:lumOff val="8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>
        <a:solidFill>
          <a:schemeClr val="tx1">
            <a:lumMod val="15000"/>
            <a:lumOff val="8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solidFill>
          <a:schemeClr val="tx1">
            <a:lumMod val="5000"/>
            <a:lumOff val="95000"/>
          </a:schemeClr>
        </a:soli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dk1"/>
    </cs:fontRef>
  </cs:plotArea>
  <cs:plotArea3D mods="allowNoFillOverride allowNoLineOverride"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600" b="1" kern="1200" cap="all" spc="120" normalizeH="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8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15</xdr:col>
      <xdr:colOff>85725</xdr:colOff>
      <xdr:row>0</xdr:row>
      <xdr:rowOff>161925</xdr:rowOff>
    </xdr:from>
    <xdr:to>
      <xdr:col>21</xdr:col>
      <xdr:colOff>633412</xdr:colOff>
      <xdr:row>14</xdr:row>
      <xdr:rowOff>104775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E2E69D39-EA7F-C37B-6455-2D9C8C5EB532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15</xdr:col>
      <xdr:colOff>85725</xdr:colOff>
      <xdr:row>14</xdr:row>
      <xdr:rowOff>180975</xdr:rowOff>
    </xdr:from>
    <xdr:to>
      <xdr:col>21</xdr:col>
      <xdr:colOff>628651</xdr:colOff>
      <xdr:row>28</xdr:row>
      <xdr:rowOff>152400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D8A7F9B0-0038-891B-AB46-30E5ABC65082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7BAA09FB-E024-4492-9254-6D29A84DBF1F}" name="Table2" displayName="Table2" ref="A1:O27" totalsRowShown="0" dataDxfId="15">
  <autoFilter ref="A1:O27" xr:uid="{7BAA09FB-E024-4492-9254-6D29A84DBF1F}"/>
  <tableColumns count="15">
    <tableColumn id="1" xr3:uid="{3264C656-DE56-4B5B-AABE-0F8F0192132C}" name="Modèle" dataDxfId="14"/>
    <tableColumn id="2" xr3:uid="{EC45CF9A-5032-40FF-AF83-3BCC6CEA9D1A}" name="Gamme" dataDxfId="13"/>
    <tableColumn id="3" xr3:uid="{1C4E52D0-936B-4D33-8410-2DBA40F40C13}" name="2-en-1" dataDxfId="12"/>
    <tableColumn id="4" xr3:uid="{592DC9F4-BFBD-4D1E-8CC3-A4A271B50116}" name="Masse (kg)" dataDxfId="11"/>
    <tableColumn id="5" xr3:uid="{1B5F6E24-4696-497F-BD57-8E1E1B659D60}" name="Taille écran (&quot;)" dataDxfId="10"/>
    <tableColumn id="6" xr3:uid="{D4CE945B-3B6D-47D4-8688-D46AA803BA50}" name="Conso. an. (kWh)" dataDxfId="9"/>
    <tableColumn id="7" xr3:uid="{C5097ACB-2703-4D20-A3DE-646ACF10B967}" name="Empreinte (kgCO2e)" dataDxfId="8"/>
    <tableColumn id="8" xr3:uid="{1F51F788-7F66-4E63-A86C-6CA2FB52CD04}" name="Fabrication (%)" dataDxfId="7"/>
    <tableColumn id="9" xr3:uid="{2FE86B84-8F38-4B4C-9240-E6BF6F3E27BE}" name="Transport (%)" dataDxfId="6"/>
    <tableColumn id="10" xr3:uid="{F1734E87-523E-4F9B-9F9C-F8103C1F7A99}" name="Utilisation (%)" dataDxfId="5"/>
    <tableColumn id="11" xr3:uid="{8257D905-0FFB-4334-94F1-CA3E3335A493}" name="Recyclage (%)" dataDxfId="4"/>
    <tableColumn id="12" xr3:uid="{8E6D727E-BD4B-4E7C-A39D-CB30AD10F9F2}" name="Fabrication" dataDxfId="3">
      <calculatedColumnFormula>G2*H2/100</calculatedColumnFormula>
    </tableColumn>
    <tableColumn id="13" xr3:uid="{F1F19D90-4056-435E-8B57-BF9FF56543C6}" name="Transport" dataDxfId="2">
      <calculatedColumnFormula>G2*I2/100</calculatedColumnFormula>
    </tableColumn>
    <tableColumn id="14" xr3:uid="{F154A73E-4C2F-4AF3-B7EF-0BC8BB52D73B}" name="Utilisation" dataDxfId="1">
      <calculatedColumnFormula>G2*J2/100</calculatedColumnFormula>
    </tableColumn>
    <tableColumn id="15" xr3:uid="{E0DFA454-1708-4BCA-985B-14F236EB41FC}" name="Recyclage" dataDxfId="0">
      <calculatedColumnFormula>G2*K2/100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82D6AD0-5568-4582-A763-62F63CDF77C9}">
  <dimension ref="A1:O32"/>
  <sheetViews>
    <sheetView tabSelected="1" workbookViewId="0">
      <selection activeCell="U32" sqref="U32"/>
    </sheetView>
  </sheetViews>
  <sheetFormatPr baseColWidth="10" defaultColWidth="9" defaultRowHeight="15.75" x14ac:dyDescent="0.25"/>
  <cols>
    <col min="1" max="1" width="18.625" bestFit="1" customWidth="1"/>
    <col min="2" max="2" width="9.375" bestFit="1" customWidth="1"/>
    <col min="3" max="3" width="8.125" bestFit="1" customWidth="1"/>
    <col min="4" max="4" width="11.625" bestFit="1" customWidth="1"/>
    <col min="5" max="5" width="14.625" bestFit="1" customWidth="1"/>
    <col min="6" max="6" width="16.75" bestFit="1" customWidth="1"/>
    <col min="7" max="7" width="19.625" bestFit="1" customWidth="1"/>
    <col min="8" max="8" width="15.375" hidden="1" customWidth="1"/>
    <col min="9" max="9" width="13.625" hidden="1" customWidth="1"/>
    <col min="10" max="11" width="14.375" hidden="1" customWidth="1"/>
    <col min="12" max="15" width="16.75" customWidth="1"/>
  </cols>
  <sheetData>
    <row r="1" spans="1:15" x14ac:dyDescent="0.25">
      <c r="A1" t="s">
        <v>29</v>
      </c>
      <c r="B1" t="s">
        <v>30</v>
      </c>
      <c r="C1" t="s">
        <v>31</v>
      </c>
      <c r="D1" t="s">
        <v>32</v>
      </c>
      <c r="E1" t="s">
        <v>33</v>
      </c>
      <c r="F1" t="s">
        <v>34</v>
      </c>
      <c r="G1" t="s">
        <v>35</v>
      </c>
      <c r="H1" t="s">
        <v>36</v>
      </c>
      <c r="I1" t="s">
        <v>37</v>
      </c>
      <c r="J1" t="s">
        <v>38</v>
      </c>
      <c r="K1" t="s">
        <v>39</v>
      </c>
      <c r="L1" s="1" t="s">
        <v>40</v>
      </c>
      <c r="M1" s="1" t="s">
        <v>41</v>
      </c>
      <c r="N1" s="1" t="s">
        <v>42</v>
      </c>
      <c r="O1" s="1" t="s">
        <v>43</v>
      </c>
    </row>
    <row r="2" spans="1:15" x14ac:dyDescent="0.25">
      <c r="A2" s="2" t="s">
        <v>0</v>
      </c>
      <c r="B2" s="1" t="s">
        <v>1</v>
      </c>
      <c r="C2" s="1">
        <v>0</v>
      </c>
      <c r="D2" s="1">
        <v>1.23</v>
      </c>
      <c r="E2" s="1">
        <v>13.3</v>
      </c>
      <c r="F2" s="1">
        <v>29.92</v>
      </c>
      <c r="G2" s="1">
        <v>286</v>
      </c>
      <c r="H2" s="1">
        <v>76.2</v>
      </c>
      <c r="I2" s="1">
        <v>3.6</v>
      </c>
      <c r="J2" s="1">
        <v>20</v>
      </c>
      <c r="K2" s="1">
        <v>0.2</v>
      </c>
      <c r="L2" s="1">
        <f t="shared" ref="L2:L27" si="0">G2*H2/100</f>
        <v>217.93200000000002</v>
      </c>
      <c r="M2" s="1">
        <f t="shared" ref="M2:M27" si="1">G2*I2/100</f>
        <v>10.296000000000001</v>
      </c>
      <c r="N2" s="1">
        <f t="shared" ref="N2:N27" si="2">G2*J2/100</f>
        <v>57.2</v>
      </c>
      <c r="O2" s="1">
        <f t="shared" ref="O2:O27" si="3">G2*K2/100</f>
        <v>0.57200000000000006</v>
      </c>
    </row>
    <row r="3" spans="1:15" x14ac:dyDescent="0.25">
      <c r="A3" s="2" t="s">
        <v>2</v>
      </c>
      <c r="B3" s="1" t="s">
        <v>1</v>
      </c>
      <c r="C3" s="1">
        <v>1</v>
      </c>
      <c r="D3" s="1">
        <v>1.24</v>
      </c>
      <c r="E3" s="1">
        <v>13.3</v>
      </c>
      <c r="F3" s="1">
        <v>25.1</v>
      </c>
      <c r="G3" s="1">
        <v>287</v>
      </c>
      <c r="H3" s="1">
        <v>79.8</v>
      </c>
      <c r="I3" s="1">
        <v>3.2</v>
      </c>
      <c r="J3" s="1">
        <v>16.8</v>
      </c>
      <c r="K3" s="1">
        <v>0.2</v>
      </c>
      <c r="L3" s="1">
        <f t="shared" si="0"/>
        <v>229.02599999999998</v>
      </c>
      <c r="M3" s="1">
        <f t="shared" si="1"/>
        <v>9.1840000000000011</v>
      </c>
      <c r="N3" s="1">
        <f t="shared" si="2"/>
        <v>48.216000000000001</v>
      </c>
      <c r="O3" s="1">
        <f t="shared" si="3"/>
        <v>0.57400000000000007</v>
      </c>
    </row>
    <row r="4" spans="1:15" x14ac:dyDescent="0.25">
      <c r="A4" s="2" t="s">
        <v>3</v>
      </c>
      <c r="B4" s="1" t="s">
        <v>1</v>
      </c>
      <c r="C4" s="1">
        <v>0</v>
      </c>
      <c r="D4" s="1">
        <v>1.27</v>
      </c>
      <c r="E4" s="1">
        <v>13.3</v>
      </c>
      <c r="F4" s="1">
        <v>19.149999999999999</v>
      </c>
      <c r="G4" s="1">
        <v>297</v>
      </c>
      <c r="H4" s="1">
        <v>83</v>
      </c>
      <c r="I4" s="1">
        <v>4.3</v>
      </c>
      <c r="J4" s="1">
        <v>12.4</v>
      </c>
      <c r="K4" s="1">
        <v>0.3</v>
      </c>
      <c r="L4" s="1">
        <f t="shared" si="0"/>
        <v>246.51</v>
      </c>
      <c r="M4" s="1">
        <f t="shared" si="1"/>
        <v>12.770999999999999</v>
      </c>
      <c r="N4" s="1">
        <f t="shared" si="2"/>
        <v>36.828000000000003</v>
      </c>
      <c r="O4" s="1">
        <f t="shared" si="3"/>
        <v>0.8909999999999999</v>
      </c>
    </row>
    <row r="5" spans="1:15" x14ac:dyDescent="0.25">
      <c r="A5" s="2" t="s">
        <v>4</v>
      </c>
      <c r="B5" s="1" t="s">
        <v>1</v>
      </c>
      <c r="C5" s="1">
        <v>0</v>
      </c>
      <c r="D5" s="1">
        <v>1.88</v>
      </c>
      <c r="E5" s="1">
        <v>15.6</v>
      </c>
      <c r="F5" s="1">
        <v>37.020000000000003</v>
      </c>
      <c r="G5" s="1">
        <v>337</v>
      </c>
      <c r="H5" s="1">
        <v>74.7</v>
      </c>
      <c r="I5" s="1">
        <v>3.8</v>
      </c>
      <c r="J5" s="1">
        <v>21.3</v>
      </c>
      <c r="K5" s="1">
        <v>0.2</v>
      </c>
      <c r="L5" s="1">
        <f t="shared" si="0"/>
        <v>251.739</v>
      </c>
      <c r="M5" s="1">
        <f t="shared" si="1"/>
        <v>12.805999999999999</v>
      </c>
      <c r="N5" s="1">
        <f t="shared" si="2"/>
        <v>71.781000000000006</v>
      </c>
      <c r="O5" s="1">
        <f t="shared" si="3"/>
        <v>0.67400000000000004</v>
      </c>
    </row>
    <row r="6" spans="1:15" x14ac:dyDescent="0.25">
      <c r="A6" s="2" t="s">
        <v>5</v>
      </c>
      <c r="B6" s="1" t="s">
        <v>1</v>
      </c>
      <c r="C6" s="1">
        <v>0</v>
      </c>
      <c r="D6" s="1">
        <v>2.0499999999999998</v>
      </c>
      <c r="E6" s="1">
        <v>15.6</v>
      </c>
      <c r="F6" s="1">
        <v>29.95</v>
      </c>
      <c r="G6" s="1">
        <v>324</v>
      </c>
      <c r="H6" s="1">
        <v>77.599999999999994</v>
      </c>
      <c r="I6" s="1">
        <v>4.3</v>
      </c>
      <c r="J6" s="1">
        <v>17.899999999999999</v>
      </c>
      <c r="K6" s="1">
        <v>0.2</v>
      </c>
      <c r="L6" s="1">
        <f t="shared" si="0"/>
        <v>251.42399999999998</v>
      </c>
      <c r="M6" s="1">
        <f t="shared" si="1"/>
        <v>13.932</v>
      </c>
      <c r="N6" s="1">
        <f t="shared" si="2"/>
        <v>57.995999999999995</v>
      </c>
      <c r="O6" s="1">
        <f t="shared" si="3"/>
        <v>0.64800000000000002</v>
      </c>
    </row>
    <row r="7" spans="1:15" x14ac:dyDescent="0.25">
      <c r="A7" s="2" t="s">
        <v>6</v>
      </c>
      <c r="B7" s="1" t="s">
        <v>7</v>
      </c>
      <c r="C7" s="1">
        <v>0</v>
      </c>
      <c r="D7" s="1">
        <v>2.6</v>
      </c>
      <c r="E7" s="1">
        <v>15.6</v>
      </c>
      <c r="F7" s="1">
        <v>36.83</v>
      </c>
      <c r="G7" s="1">
        <v>331</v>
      </c>
      <c r="H7" s="1">
        <v>71</v>
      </c>
      <c r="I7" s="1">
        <v>6</v>
      </c>
      <c r="J7" s="1">
        <v>23</v>
      </c>
      <c r="K7" s="1">
        <v>0</v>
      </c>
      <c r="L7" s="1">
        <f t="shared" si="0"/>
        <v>235.01</v>
      </c>
      <c r="M7" s="1">
        <f t="shared" si="1"/>
        <v>19.86</v>
      </c>
      <c r="N7" s="1">
        <f t="shared" si="2"/>
        <v>76.13</v>
      </c>
      <c r="O7" s="1">
        <f t="shared" si="3"/>
        <v>0</v>
      </c>
    </row>
    <row r="8" spans="1:15" x14ac:dyDescent="0.25">
      <c r="A8" s="2" t="s">
        <v>8</v>
      </c>
      <c r="B8" s="1" t="s">
        <v>7</v>
      </c>
      <c r="C8" s="1">
        <v>0</v>
      </c>
      <c r="D8" s="1">
        <v>2.17</v>
      </c>
      <c r="E8" s="1">
        <v>15.6</v>
      </c>
      <c r="F8" s="1">
        <v>27.5</v>
      </c>
      <c r="G8" s="1">
        <v>304</v>
      </c>
      <c r="H8" s="1">
        <v>79.2</v>
      </c>
      <c r="I8" s="1">
        <v>4.4000000000000004</v>
      </c>
      <c r="J8" s="1">
        <v>16.2</v>
      </c>
      <c r="K8" s="1">
        <v>0.3</v>
      </c>
      <c r="L8" s="1">
        <f t="shared" si="0"/>
        <v>240.768</v>
      </c>
      <c r="M8" s="1">
        <f t="shared" si="1"/>
        <v>13.376000000000001</v>
      </c>
      <c r="N8" s="1">
        <f t="shared" si="2"/>
        <v>49.248000000000005</v>
      </c>
      <c r="O8" s="1">
        <f t="shared" si="3"/>
        <v>0.91200000000000003</v>
      </c>
    </row>
    <row r="9" spans="1:15" x14ac:dyDescent="0.25">
      <c r="A9" s="2" t="s">
        <v>9</v>
      </c>
      <c r="B9" s="1" t="s">
        <v>7</v>
      </c>
      <c r="C9" s="1">
        <v>0</v>
      </c>
      <c r="D9" s="1">
        <v>2.0299999999999998</v>
      </c>
      <c r="E9" s="1">
        <v>15.6</v>
      </c>
      <c r="F9" s="1">
        <v>27.72</v>
      </c>
      <c r="G9" s="1">
        <v>335</v>
      </c>
      <c r="H9" s="1">
        <v>78</v>
      </c>
      <c r="I9" s="1">
        <v>4.3</v>
      </c>
      <c r="J9" s="1">
        <v>17.399999999999999</v>
      </c>
      <c r="K9" s="1">
        <v>0.3</v>
      </c>
      <c r="L9" s="1">
        <f t="shared" si="0"/>
        <v>261.3</v>
      </c>
      <c r="M9" s="1">
        <f t="shared" si="1"/>
        <v>14.404999999999999</v>
      </c>
      <c r="N9" s="1">
        <f t="shared" si="2"/>
        <v>58.289999999999992</v>
      </c>
      <c r="O9" s="1">
        <f t="shared" si="3"/>
        <v>1.0049999999999999</v>
      </c>
    </row>
    <row r="10" spans="1:15" x14ac:dyDescent="0.25">
      <c r="A10" s="2" t="s">
        <v>10</v>
      </c>
      <c r="B10" s="1" t="s">
        <v>7</v>
      </c>
      <c r="C10" s="1">
        <v>0</v>
      </c>
      <c r="D10" s="1">
        <v>1.88</v>
      </c>
      <c r="E10" s="1">
        <v>15.6</v>
      </c>
      <c r="F10" s="1">
        <v>51.6</v>
      </c>
      <c r="G10" s="1">
        <v>368</v>
      </c>
      <c r="H10" s="1">
        <v>70.7</v>
      </c>
      <c r="I10" s="1">
        <v>3.4</v>
      </c>
      <c r="J10" s="1">
        <v>25.7</v>
      </c>
      <c r="K10" s="1">
        <v>0.2</v>
      </c>
      <c r="L10" s="1">
        <f t="shared" si="0"/>
        <v>260.17600000000004</v>
      </c>
      <c r="M10" s="1">
        <f t="shared" si="1"/>
        <v>12.512</v>
      </c>
      <c r="N10" s="1">
        <f t="shared" si="2"/>
        <v>94.576000000000008</v>
      </c>
      <c r="O10" s="1">
        <f t="shared" si="3"/>
        <v>0.7360000000000001</v>
      </c>
    </row>
    <row r="11" spans="1:15" x14ac:dyDescent="0.25">
      <c r="A11" s="2" t="s">
        <v>11</v>
      </c>
      <c r="B11" s="1" t="s">
        <v>7</v>
      </c>
      <c r="C11" s="1">
        <v>0</v>
      </c>
      <c r="D11" s="1">
        <v>2.0499999999999998</v>
      </c>
      <c r="E11" s="1">
        <v>15.6</v>
      </c>
      <c r="F11" s="1">
        <v>29.95</v>
      </c>
      <c r="G11" s="1">
        <v>340</v>
      </c>
      <c r="H11" s="1">
        <v>79.900000000000006</v>
      </c>
      <c r="I11" s="1">
        <v>3.9</v>
      </c>
      <c r="J11" s="1">
        <v>16</v>
      </c>
      <c r="K11" s="1">
        <v>0.2</v>
      </c>
      <c r="L11" s="1">
        <f t="shared" si="0"/>
        <v>271.66000000000003</v>
      </c>
      <c r="M11" s="1">
        <f t="shared" si="1"/>
        <v>13.26</v>
      </c>
      <c r="N11" s="1">
        <f t="shared" si="2"/>
        <v>54.4</v>
      </c>
      <c r="O11" s="1">
        <f t="shared" si="3"/>
        <v>0.68</v>
      </c>
    </row>
    <row r="12" spans="1:15" x14ac:dyDescent="0.25">
      <c r="A12" s="2" t="s">
        <v>12</v>
      </c>
      <c r="B12" s="1" t="s">
        <v>7</v>
      </c>
      <c r="C12" s="1">
        <v>1</v>
      </c>
      <c r="D12" s="1">
        <v>2.0699999999999998</v>
      </c>
      <c r="E12" s="1">
        <v>15.6</v>
      </c>
      <c r="F12" s="1">
        <v>23.52</v>
      </c>
      <c r="G12" s="1">
        <v>330</v>
      </c>
      <c r="H12" s="1">
        <v>81.2</v>
      </c>
      <c r="I12" s="1">
        <v>4.7</v>
      </c>
      <c r="J12" s="1">
        <v>13.8</v>
      </c>
      <c r="K12" s="1">
        <v>0.3</v>
      </c>
      <c r="L12" s="1">
        <f t="shared" si="0"/>
        <v>267.95999999999998</v>
      </c>
      <c r="M12" s="1">
        <f t="shared" si="1"/>
        <v>15.51</v>
      </c>
      <c r="N12" s="1">
        <f t="shared" si="2"/>
        <v>45.54</v>
      </c>
      <c r="O12" s="1">
        <f t="shared" si="3"/>
        <v>0.99</v>
      </c>
    </row>
    <row r="13" spans="1:15" x14ac:dyDescent="0.25">
      <c r="A13" s="2" t="s">
        <v>13</v>
      </c>
      <c r="B13" s="1" t="s">
        <v>7</v>
      </c>
      <c r="C13" s="1">
        <v>0</v>
      </c>
      <c r="D13" s="1">
        <v>2.98</v>
      </c>
      <c r="E13" s="1">
        <v>15.6</v>
      </c>
      <c r="F13" s="1">
        <v>60.3</v>
      </c>
      <c r="G13" s="1">
        <v>399</v>
      </c>
      <c r="H13" s="1">
        <v>68.3</v>
      </c>
      <c r="I13" s="1">
        <v>3.5</v>
      </c>
      <c r="J13" s="1">
        <v>28</v>
      </c>
      <c r="K13" s="1">
        <v>0.2</v>
      </c>
      <c r="L13" s="1">
        <f t="shared" si="0"/>
        <v>272.517</v>
      </c>
      <c r="M13" s="1">
        <f t="shared" si="1"/>
        <v>13.965</v>
      </c>
      <c r="N13" s="1">
        <f t="shared" si="2"/>
        <v>111.72</v>
      </c>
      <c r="O13" s="1">
        <f t="shared" si="3"/>
        <v>0.79800000000000015</v>
      </c>
    </row>
    <row r="14" spans="1:15" x14ac:dyDescent="0.25">
      <c r="A14" s="2" t="s">
        <v>14</v>
      </c>
      <c r="B14" s="1" t="s">
        <v>7</v>
      </c>
      <c r="C14" s="1">
        <v>0</v>
      </c>
      <c r="D14" s="1">
        <v>3.45</v>
      </c>
      <c r="E14" s="1">
        <v>17.3</v>
      </c>
      <c r="F14" s="1">
        <v>51.6</v>
      </c>
      <c r="G14" s="1">
        <v>416</v>
      </c>
      <c r="H14" s="1">
        <v>71.599999999999994</v>
      </c>
      <c r="I14" s="1">
        <v>5</v>
      </c>
      <c r="J14" s="1">
        <v>23.1</v>
      </c>
      <c r="K14" s="1">
        <v>0.3</v>
      </c>
      <c r="L14" s="1">
        <f t="shared" si="0"/>
        <v>297.85599999999999</v>
      </c>
      <c r="M14" s="1">
        <f t="shared" si="1"/>
        <v>20.8</v>
      </c>
      <c r="N14" s="1">
        <f t="shared" si="2"/>
        <v>96.096000000000004</v>
      </c>
      <c r="O14" s="1">
        <f t="shared" si="3"/>
        <v>1.248</v>
      </c>
    </row>
    <row r="15" spans="1:15" x14ac:dyDescent="0.25">
      <c r="A15" s="2" t="s">
        <v>15</v>
      </c>
      <c r="B15" s="1" t="s">
        <v>16</v>
      </c>
      <c r="C15" s="1">
        <v>0</v>
      </c>
      <c r="D15" s="1">
        <v>1.65</v>
      </c>
      <c r="E15" s="1">
        <v>11.6</v>
      </c>
      <c r="F15" s="1">
        <v>13.87</v>
      </c>
      <c r="G15" s="1">
        <v>226</v>
      </c>
      <c r="H15" s="1">
        <v>82.6</v>
      </c>
      <c r="I15" s="1">
        <v>4.5999999999999996</v>
      </c>
      <c r="J15" s="1">
        <v>11.5</v>
      </c>
      <c r="K15" s="1">
        <v>0.3</v>
      </c>
      <c r="L15" s="1">
        <f t="shared" si="0"/>
        <v>186.67599999999999</v>
      </c>
      <c r="M15" s="1">
        <f t="shared" si="1"/>
        <v>10.395999999999999</v>
      </c>
      <c r="N15" s="1">
        <f t="shared" si="2"/>
        <v>25.99</v>
      </c>
      <c r="O15" s="1">
        <f t="shared" si="3"/>
        <v>0.67799999999999994</v>
      </c>
    </row>
    <row r="16" spans="1:15" x14ac:dyDescent="0.25">
      <c r="A16" s="2" t="s">
        <v>17</v>
      </c>
      <c r="B16" s="1" t="s">
        <v>16</v>
      </c>
      <c r="C16" s="1">
        <v>1</v>
      </c>
      <c r="D16" s="1">
        <v>1.65</v>
      </c>
      <c r="E16" s="1">
        <v>11.6</v>
      </c>
      <c r="F16" s="1">
        <v>15.79</v>
      </c>
      <c r="G16" s="1">
        <v>230</v>
      </c>
      <c r="H16" s="1">
        <v>82.3</v>
      </c>
      <c r="I16" s="1">
        <v>4.5</v>
      </c>
      <c r="J16" s="1">
        <v>12.9</v>
      </c>
      <c r="K16" s="1">
        <v>0.3</v>
      </c>
      <c r="L16" s="1">
        <f t="shared" si="0"/>
        <v>189.29</v>
      </c>
      <c r="M16" s="1">
        <f t="shared" si="1"/>
        <v>10.35</v>
      </c>
      <c r="N16" s="1">
        <f t="shared" si="2"/>
        <v>29.67</v>
      </c>
      <c r="O16" s="1">
        <f t="shared" si="3"/>
        <v>0.69</v>
      </c>
    </row>
    <row r="17" spans="1:15" x14ac:dyDescent="0.25">
      <c r="A17" s="2" t="s">
        <v>18</v>
      </c>
      <c r="B17" s="1" t="s">
        <v>16</v>
      </c>
      <c r="C17" s="1">
        <v>0</v>
      </c>
      <c r="D17" s="1">
        <v>1.63</v>
      </c>
      <c r="E17" s="1">
        <v>13.3</v>
      </c>
      <c r="F17" s="1">
        <v>22.6</v>
      </c>
      <c r="G17" s="1">
        <v>252</v>
      </c>
      <c r="H17" s="1">
        <v>75.8</v>
      </c>
      <c r="I17" s="1">
        <v>4.8</v>
      </c>
      <c r="J17" s="1">
        <v>18.899999999999999</v>
      </c>
      <c r="K17" s="1">
        <v>0.5</v>
      </c>
      <c r="L17" s="1">
        <f t="shared" si="0"/>
        <v>191.01599999999999</v>
      </c>
      <c r="M17" s="1">
        <f t="shared" si="1"/>
        <v>12.095999999999998</v>
      </c>
      <c r="N17" s="1">
        <f t="shared" si="2"/>
        <v>47.627999999999993</v>
      </c>
      <c r="O17" s="1">
        <f t="shared" si="3"/>
        <v>1.26</v>
      </c>
    </row>
    <row r="18" spans="1:15" x14ac:dyDescent="0.25">
      <c r="A18" s="2" t="s">
        <v>19</v>
      </c>
      <c r="B18" s="1" t="s">
        <v>16</v>
      </c>
      <c r="C18" s="1">
        <v>0</v>
      </c>
      <c r="D18" s="1">
        <v>1.78</v>
      </c>
      <c r="E18" s="1">
        <v>14</v>
      </c>
      <c r="F18" s="1">
        <v>23.94</v>
      </c>
      <c r="G18" s="1">
        <v>243</v>
      </c>
      <c r="H18" s="1">
        <v>76.5</v>
      </c>
      <c r="I18" s="1">
        <v>4.7</v>
      </c>
      <c r="J18" s="1">
        <v>18.5</v>
      </c>
      <c r="K18" s="1">
        <v>0.3</v>
      </c>
      <c r="L18" s="1">
        <f t="shared" si="0"/>
        <v>185.89500000000001</v>
      </c>
      <c r="M18" s="1">
        <f t="shared" si="1"/>
        <v>11.421000000000001</v>
      </c>
      <c r="N18" s="1">
        <f t="shared" si="2"/>
        <v>44.954999999999998</v>
      </c>
      <c r="O18" s="1">
        <f t="shared" si="3"/>
        <v>0.72899999999999987</v>
      </c>
    </row>
    <row r="19" spans="1:15" x14ac:dyDescent="0.25">
      <c r="A19" s="2" t="s">
        <v>20</v>
      </c>
      <c r="B19" s="1" t="s">
        <v>16</v>
      </c>
      <c r="C19" s="1">
        <v>0</v>
      </c>
      <c r="D19" s="1">
        <v>2.0699999999999998</v>
      </c>
      <c r="E19" s="1">
        <v>15.6</v>
      </c>
      <c r="F19" s="1">
        <v>23.95</v>
      </c>
      <c r="G19" s="1">
        <v>254</v>
      </c>
      <c r="H19" s="1">
        <v>76.599999999999994</v>
      </c>
      <c r="I19" s="1">
        <v>5.3</v>
      </c>
      <c r="J19" s="1">
        <v>17.8</v>
      </c>
      <c r="K19" s="1">
        <v>0.3</v>
      </c>
      <c r="L19" s="1">
        <f t="shared" si="0"/>
        <v>194.56399999999996</v>
      </c>
      <c r="M19" s="1">
        <f t="shared" si="1"/>
        <v>13.462</v>
      </c>
      <c r="N19" s="1">
        <f t="shared" si="2"/>
        <v>45.211999999999996</v>
      </c>
      <c r="O19" s="1">
        <f t="shared" si="3"/>
        <v>0.76200000000000001</v>
      </c>
    </row>
    <row r="20" spans="1:15" x14ac:dyDescent="0.25">
      <c r="A20" s="2" t="s">
        <v>21</v>
      </c>
      <c r="B20" s="1" t="s">
        <v>16</v>
      </c>
      <c r="C20" s="1">
        <v>0</v>
      </c>
      <c r="D20" s="1">
        <v>1.45</v>
      </c>
      <c r="E20" s="1">
        <v>11.6</v>
      </c>
      <c r="F20" s="1">
        <v>17.98</v>
      </c>
      <c r="G20" s="1">
        <v>218</v>
      </c>
      <c r="H20" s="1">
        <v>75</v>
      </c>
      <c r="I20" s="1">
        <v>5</v>
      </c>
      <c r="J20" s="1">
        <v>20</v>
      </c>
      <c r="K20" s="1">
        <v>0</v>
      </c>
      <c r="L20" s="1">
        <f t="shared" si="0"/>
        <v>163.5</v>
      </c>
      <c r="M20" s="1">
        <f t="shared" si="1"/>
        <v>10.9</v>
      </c>
      <c r="N20" s="1">
        <f t="shared" si="2"/>
        <v>43.6</v>
      </c>
      <c r="O20" s="1">
        <f t="shared" si="3"/>
        <v>0</v>
      </c>
    </row>
    <row r="21" spans="1:15" x14ac:dyDescent="0.25">
      <c r="A21" s="2" t="s">
        <v>22</v>
      </c>
      <c r="B21" s="1" t="s">
        <v>16</v>
      </c>
      <c r="C21" s="1">
        <v>1</v>
      </c>
      <c r="D21" s="1">
        <v>0.85699999999999998</v>
      </c>
      <c r="E21" s="1">
        <v>12.3</v>
      </c>
      <c r="F21" s="1">
        <v>20.190000000000001</v>
      </c>
      <c r="G21" s="1">
        <v>268</v>
      </c>
      <c r="H21" s="1">
        <v>83.2</v>
      </c>
      <c r="I21" s="1">
        <v>2.4</v>
      </c>
      <c r="J21" s="1">
        <v>14.3</v>
      </c>
      <c r="K21" s="1">
        <v>0.1</v>
      </c>
      <c r="L21" s="1">
        <f t="shared" si="0"/>
        <v>222.97600000000003</v>
      </c>
      <c r="M21" s="1">
        <f t="shared" si="1"/>
        <v>6.4319999999999995</v>
      </c>
      <c r="N21" s="1">
        <f t="shared" si="2"/>
        <v>38.323999999999998</v>
      </c>
      <c r="O21" s="1">
        <f t="shared" si="3"/>
        <v>0.26800000000000002</v>
      </c>
    </row>
    <row r="22" spans="1:15" x14ac:dyDescent="0.25">
      <c r="A22" s="2" t="s">
        <v>23</v>
      </c>
      <c r="B22" s="1" t="s">
        <v>16</v>
      </c>
      <c r="C22" s="1">
        <v>0</v>
      </c>
      <c r="D22" s="1">
        <v>1.6</v>
      </c>
      <c r="E22" s="1">
        <v>14</v>
      </c>
      <c r="F22" s="1">
        <v>25.33</v>
      </c>
      <c r="G22" s="1">
        <v>251</v>
      </c>
      <c r="H22" s="1">
        <v>78.3</v>
      </c>
      <c r="I22" s="1">
        <v>3.9</v>
      </c>
      <c r="J22" s="1">
        <v>17.600000000000001</v>
      </c>
      <c r="K22" s="1">
        <v>0.2</v>
      </c>
      <c r="L22" s="1">
        <f t="shared" si="0"/>
        <v>196.53299999999999</v>
      </c>
      <c r="M22" s="1">
        <f t="shared" si="1"/>
        <v>9.7889999999999997</v>
      </c>
      <c r="N22" s="1">
        <f t="shared" si="2"/>
        <v>44.176000000000002</v>
      </c>
      <c r="O22" s="1">
        <f t="shared" si="3"/>
        <v>0.502</v>
      </c>
    </row>
    <row r="23" spans="1:15" x14ac:dyDescent="0.25">
      <c r="A23" s="2" t="s">
        <v>24</v>
      </c>
      <c r="B23" s="1" t="s">
        <v>16</v>
      </c>
      <c r="C23" s="1">
        <v>0</v>
      </c>
      <c r="D23" s="1">
        <v>1.88</v>
      </c>
      <c r="E23" s="1">
        <v>15.6</v>
      </c>
      <c r="F23" s="1">
        <v>28.55</v>
      </c>
      <c r="G23" s="1">
        <v>271</v>
      </c>
      <c r="H23" s="1">
        <v>72.2</v>
      </c>
      <c r="I23" s="1">
        <v>5.3</v>
      </c>
      <c r="J23" s="1">
        <v>22.2</v>
      </c>
      <c r="K23" s="1">
        <v>0.3</v>
      </c>
      <c r="L23" s="1">
        <f t="shared" si="0"/>
        <v>195.66200000000001</v>
      </c>
      <c r="M23" s="1">
        <f t="shared" si="1"/>
        <v>14.363</v>
      </c>
      <c r="N23" s="1">
        <f t="shared" si="2"/>
        <v>60.161999999999999</v>
      </c>
      <c r="O23" s="1">
        <f t="shared" si="3"/>
        <v>0.81299999999999994</v>
      </c>
    </row>
    <row r="24" spans="1:15" x14ac:dyDescent="0.25">
      <c r="A24" s="2" t="s">
        <v>25</v>
      </c>
      <c r="B24" s="1" t="s">
        <v>16</v>
      </c>
      <c r="C24" s="1">
        <v>0</v>
      </c>
      <c r="D24" s="1">
        <v>1.19</v>
      </c>
      <c r="E24" s="1">
        <v>12.5</v>
      </c>
      <c r="F24" s="1">
        <v>17.5</v>
      </c>
      <c r="G24" s="1">
        <v>209</v>
      </c>
      <c r="H24" s="1">
        <v>82.4</v>
      </c>
      <c r="I24" s="1">
        <v>3.3</v>
      </c>
      <c r="J24" s="1">
        <v>14.1</v>
      </c>
      <c r="K24" s="1">
        <v>0.2</v>
      </c>
      <c r="L24" s="1">
        <f t="shared" si="0"/>
        <v>172.21600000000001</v>
      </c>
      <c r="M24" s="1">
        <f t="shared" si="1"/>
        <v>6.8969999999999994</v>
      </c>
      <c r="N24" s="1">
        <f t="shared" si="2"/>
        <v>29.469000000000001</v>
      </c>
      <c r="O24" s="1">
        <f t="shared" si="3"/>
        <v>0.41800000000000004</v>
      </c>
    </row>
    <row r="25" spans="1:15" x14ac:dyDescent="0.25">
      <c r="A25" s="2" t="s">
        <v>26</v>
      </c>
      <c r="B25" s="1" t="s">
        <v>16</v>
      </c>
      <c r="C25" s="1">
        <v>0</v>
      </c>
      <c r="D25" s="1">
        <v>1.19</v>
      </c>
      <c r="E25" s="1">
        <v>12.5</v>
      </c>
      <c r="F25" s="1">
        <v>15.85</v>
      </c>
      <c r="G25" s="1">
        <v>222</v>
      </c>
      <c r="H25" s="1">
        <v>84.3</v>
      </c>
      <c r="I25" s="1">
        <v>3.4</v>
      </c>
      <c r="J25" s="1">
        <v>12.1</v>
      </c>
      <c r="K25" s="1">
        <v>0.2</v>
      </c>
      <c r="L25" s="1">
        <f t="shared" si="0"/>
        <v>187.14599999999999</v>
      </c>
      <c r="M25" s="1">
        <f t="shared" si="1"/>
        <v>7.5479999999999992</v>
      </c>
      <c r="N25" s="1">
        <f t="shared" si="2"/>
        <v>26.861999999999998</v>
      </c>
      <c r="O25" s="1">
        <f t="shared" si="3"/>
        <v>0.44400000000000006</v>
      </c>
    </row>
    <row r="26" spans="1:15" x14ac:dyDescent="0.25">
      <c r="A26" s="2" t="s">
        <v>27</v>
      </c>
      <c r="B26" s="1" t="s">
        <v>16</v>
      </c>
      <c r="C26" s="1">
        <v>1</v>
      </c>
      <c r="D26" s="1">
        <v>1.45</v>
      </c>
      <c r="E26" s="1">
        <v>13.3</v>
      </c>
      <c r="F26" s="1">
        <v>21.4</v>
      </c>
      <c r="G26" s="1">
        <v>332</v>
      </c>
      <c r="H26" s="1">
        <v>84.4</v>
      </c>
      <c r="I26" s="1">
        <v>3</v>
      </c>
      <c r="J26" s="1">
        <v>12.4</v>
      </c>
      <c r="K26" s="1">
        <v>0.2</v>
      </c>
      <c r="L26" s="1">
        <f t="shared" si="0"/>
        <v>280.20800000000003</v>
      </c>
      <c r="M26" s="1">
        <f t="shared" si="1"/>
        <v>9.9600000000000009</v>
      </c>
      <c r="N26" s="1">
        <f t="shared" si="2"/>
        <v>41.167999999999999</v>
      </c>
      <c r="O26" s="1">
        <f t="shared" si="3"/>
        <v>0.66400000000000003</v>
      </c>
    </row>
    <row r="27" spans="1:15" x14ac:dyDescent="0.25">
      <c r="A27" s="2" t="s">
        <v>28</v>
      </c>
      <c r="B27" s="1" t="s">
        <v>16</v>
      </c>
      <c r="C27" s="1">
        <v>0</v>
      </c>
      <c r="D27" s="1">
        <v>1.4</v>
      </c>
      <c r="E27" s="1">
        <v>14</v>
      </c>
      <c r="F27" s="1">
        <v>17.399999999999999</v>
      </c>
      <c r="G27" s="1">
        <v>241</v>
      </c>
      <c r="H27" s="1">
        <v>83.5</v>
      </c>
      <c r="I27" s="1">
        <v>3.7</v>
      </c>
      <c r="J27" s="1">
        <v>12.6</v>
      </c>
      <c r="K27" s="1">
        <v>0.2</v>
      </c>
      <c r="L27" s="1">
        <f t="shared" si="0"/>
        <v>201.23500000000001</v>
      </c>
      <c r="M27" s="1">
        <f t="shared" si="1"/>
        <v>8.9169999999999998</v>
      </c>
      <c r="N27" s="1">
        <f t="shared" si="2"/>
        <v>30.366</v>
      </c>
      <c r="O27" s="1">
        <f t="shared" si="3"/>
        <v>0.48200000000000004</v>
      </c>
    </row>
    <row r="29" spans="1:15" x14ac:dyDescent="0.25">
      <c r="A29" s="3" t="s">
        <v>44</v>
      </c>
      <c r="B29" s="3"/>
      <c r="C29" s="3"/>
      <c r="D29" s="4">
        <f>MIN(Table2[Masse (kg)])</f>
        <v>0.85699999999999998</v>
      </c>
      <c r="E29" s="4">
        <f>MIN(Table2[Taille écran (")])</f>
        <v>11.6</v>
      </c>
      <c r="F29" s="4">
        <f>MIN(Table2[Conso. an. (kWh)])</f>
        <v>13.87</v>
      </c>
      <c r="G29" s="4">
        <f>MIN(Table2[Empreinte (kgCO2e)])</f>
        <v>209</v>
      </c>
      <c r="H29" s="4">
        <f>MIN(Table2[Fabrication (%)])</f>
        <v>68.3</v>
      </c>
      <c r="I29" s="4">
        <f>MIN(Table2[Transport (%)])</f>
        <v>2.4</v>
      </c>
      <c r="J29" s="4">
        <f>MIN(Table2[Utilisation (%)])</f>
        <v>11.5</v>
      </c>
      <c r="K29" s="4">
        <f>MIN(Table2[Recyclage (%)])</f>
        <v>0</v>
      </c>
      <c r="L29" s="4">
        <f>MIN(Table2[Fabrication])</f>
        <v>163.5</v>
      </c>
      <c r="M29" s="4">
        <f>MIN(Table2[Transport])</f>
        <v>6.4319999999999995</v>
      </c>
      <c r="N29" s="4">
        <f>MIN(Table2[Utilisation])</f>
        <v>25.99</v>
      </c>
      <c r="O29" s="4">
        <f>MIN(Table2[Recyclage])</f>
        <v>0</v>
      </c>
    </row>
    <row r="30" spans="1:15" x14ac:dyDescent="0.25">
      <c r="A30" s="3" t="s">
        <v>45</v>
      </c>
      <c r="B30" s="3"/>
      <c r="C30" s="3"/>
      <c r="D30" s="4">
        <f>AVERAGE(Table2[Masse (kg)])</f>
        <v>1.7960384615384615</v>
      </c>
      <c r="E30" s="4">
        <f>AVERAGE(Table2[Taille écran (")])</f>
        <v>14.211538461538463</v>
      </c>
      <c r="F30" s="4">
        <f>AVERAGE(Table2[Conso. an. (kWh)])</f>
        <v>27.481153846153852</v>
      </c>
      <c r="G30" s="4">
        <f>AVERAGE(Table2[Empreinte (kgCO2e)])</f>
        <v>291.19230769230768</v>
      </c>
      <c r="H30" s="4">
        <f>AVERAGE(Table2[Fabrication (%)])</f>
        <v>78.011538461538464</v>
      </c>
      <c r="I30" s="4">
        <f>AVERAGE(Table2[Transport (%)])</f>
        <v>4.1653846153846157</v>
      </c>
      <c r="J30" s="4">
        <f>AVERAGE(Table2[Utilisation (%)])</f>
        <v>17.55769230769231</v>
      </c>
      <c r="K30" s="4">
        <f>AVERAGE(Table2[Recyclage (%)])</f>
        <v>0.23076923076923078</v>
      </c>
      <c r="L30" s="4">
        <f>AVERAGE(Table2[Fabrication])</f>
        <v>225.79980769230767</v>
      </c>
      <c r="M30" s="4">
        <f>AVERAGE(Table2[Transport])</f>
        <v>12.123384615384612</v>
      </c>
      <c r="N30" s="4">
        <f>AVERAGE(Table2[Utilisation])</f>
        <v>52.523192307692312</v>
      </c>
      <c r="O30" s="4">
        <f>AVERAGE(Table2[Recyclage])</f>
        <v>0.6706923076923077</v>
      </c>
    </row>
    <row r="31" spans="1:15" x14ac:dyDescent="0.25">
      <c r="A31" s="3" t="s">
        <v>46</v>
      </c>
      <c r="B31" s="3"/>
      <c r="C31" s="3"/>
      <c r="D31" s="4">
        <f>MAX(Table2[Masse (kg)])</f>
        <v>3.45</v>
      </c>
      <c r="E31" s="4">
        <f>MAX(Table2[Taille écran (")])</f>
        <v>17.3</v>
      </c>
      <c r="F31" s="4">
        <f>MAX(Table2[Conso. an. (kWh)])</f>
        <v>60.3</v>
      </c>
      <c r="G31" s="4">
        <f>MAX(Table2[Empreinte (kgCO2e)])</f>
        <v>416</v>
      </c>
      <c r="H31" s="4">
        <f>MAX(Table2[Fabrication (%)])</f>
        <v>84.4</v>
      </c>
      <c r="I31" s="4">
        <f>MAX(Table2[Transport (%)])</f>
        <v>6</v>
      </c>
      <c r="J31" s="4">
        <f>MAX(Table2[Utilisation (%)])</f>
        <v>28</v>
      </c>
      <c r="K31" s="4">
        <f>MAX(Table2[Recyclage (%)])</f>
        <v>0.5</v>
      </c>
      <c r="L31" s="4">
        <f>MAX(Table2[Fabrication])</f>
        <v>297.85599999999999</v>
      </c>
      <c r="M31" s="4">
        <f>MAX(Table2[Transport])</f>
        <v>20.8</v>
      </c>
      <c r="N31" s="4">
        <f>MAX(Table2[Utilisation])</f>
        <v>111.72</v>
      </c>
      <c r="O31" s="4">
        <f>MAX(Table2[Recyclage])</f>
        <v>1.26</v>
      </c>
    </row>
    <row r="32" spans="1:15" x14ac:dyDescent="0.25">
      <c r="A32" s="3" t="s">
        <v>47</v>
      </c>
      <c r="B32" s="3"/>
      <c r="C32" s="3"/>
      <c r="D32" s="4">
        <f>MAX(D2:D27)/MIN(D2:D27)</f>
        <v>4.0256709451575263</v>
      </c>
      <c r="E32" s="4">
        <f t="shared" ref="E32:O32" si="4">MAX(E2:E27)/MIN(E2:E27)</f>
        <v>1.4913793103448276</v>
      </c>
      <c r="F32" s="4">
        <f t="shared" si="4"/>
        <v>4.347512617159337</v>
      </c>
      <c r="G32" s="4">
        <f t="shared" si="4"/>
        <v>1.9904306220095693</v>
      </c>
      <c r="H32" s="4">
        <f t="shared" si="4"/>
        <v>1.2357247437774526</v>
      </c>
      <c r="I32" s="4">
        <f t="shared" si="4"/>
        <v>2.5</v>
      </c>
      <c r="J32" s="4">
        <f t="shared" si="4"/>
        <v>2.4347826086956523</v>
      </c>
      <c r="K32" s="4" t="e">
        <f t="shared" si="4"/>
        <v>#DIV/0!</v>
      </c>
      <c r="L32" s="4">
        <f t="shared" si="4"/>
        <v>1.8217492354740061</v>
      </c>
      <c r="M32" s="4">
        <f t="shared" si="4"/>
        <v>3.2338308457711444</v>
      </c>
      <c r="N32" s="4">
        <f t="shared" si="4"/>
        <v>4.2985763755290503</v>
      </c>
      <c r="O32" s="4" t="e">
        <f t="shared" si="4"/>
        <v>#DIV/0!</v>
      </c>
    </row>
  </sheetData>
  <mergeCells count="4">
    <mergeCell ref="A32:C32"/>
    <mergeCell ref="A31:C31"/>
    <mergeCell ref="A30:C30"/>
    <mergeCell ref="A29:C29"/>
  </mergeCells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2025-03-14T08:21:36Z</dcterms:created>
  <dcterms:modified xsi:type="dcterms:W3CDTF">2025-03-14T19:29:44Z</dcterms:modified>
</cp:coreProperties>
</file>