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pdsbrut">Feuil1!$Q:$S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7" i="2" l="1"/>
  <c r="P36" i="2"/>
  <c r="O35" i="2"/>
  <c r="N35" i="2"/>
  <c r="M35" i="2"/>
  <c r="L35" i="2"/>
  <c r="K35" i="2"/>
  <c r="I35" i="2"/>
  <c r="H35" i="2"/>
  <c r="G35" i="2"/>
  <c r="F35" i="2"/>
  <c r="E35" i="2"/>
  <c r="D35" i="2"/>
  <c r="C35" i="2"/>
  <c r="B35" i="2"/>
  <c r="P34" i="2"/>
  <c r="O34" i="2"/>
  <c r="N34" i="2"/>
  <c r="N36" i="2" s="1"/>
  <c r="K34" i="2"/>
  <c r="K36" i="2" s="1"/>
  <c r="I34" i="2"/>
  <c r="I36" i="2" s="1"/>
  <c r="H34" i="2"/>
  <c r="G34" i="2"/>
  <c r="P32" i="2"/>
  <c r="N32" i="2"/>
  <c r="M32" i="2"/>
  <c r="L32" i="2"/>
  <c r="K32" i="2"/>
  <c r="I32" i="2"/>
  <c r="C32" i="2"/>
  <c r="P30" i="2"/>
  <c r="O30" i="2"/>
  <c r="N30" i="2"/>
  <c r="M30" i="2"/>
  <c r="L30" i="2"/>
  <c r="K30" i="2"/>
  <c r="C30" i="2"/>
  <c r="B30" i="2"/>
  <c r="O26" i="2"/>
  <c r="N26" i="2"/>
  <c r="M26" i="2"/>
  <c r="L26" i="2"/>
  <c r="K26" i="2"/>
  <c r="J26" i="2"/>
  <c r="B26" i="2"/>
  <c r="O25" i="2"/>
  <c r="N25" i="2"/>
  <c r="M25" i="2"/>
  <c r="L25" i="2"/>
  <c r="K25" i="2"/>
  <c r="J25" i="2"/>
  <c r="E25" i="2"/>
  <c r="D25" i="2"/>
  <c r="C25" i="2"/>
  <c r="B25" i="2"/>
  <c r="N24" i="2"/>
  <c r="E24" i="2"/>
  <c r="D24" i="2"/>
  <c r="O23" i="2"/>
  <c r="N23" i="2"/>
  <c r="M23" i="2"/>
  <c r="L23" i="2"/>
  <c r="K23" i="2"/>
  <c r="J23" i="2"/>
  <c r="I23" i="2"/>
  <c r="H23" i="2"/>
  <c r="G23" i="2"/>
  <c r="G25" i="2" s="1"/>
  <c r="F23" i="2"/>
  <c r="F24" i="2" s="1"/>
  <c r="E23" i="2"/>
  <c r="D23" i="2"/>
  <c r="C23" i="2"/>
  <c r="B23" i="2"/>
  <c r="B24" i="2" s="1"/>
  <c r="O22" i="2"/>
  <c r="O24" i="2" s="1"/>
  <c r="N22" i="2"/>
  <c r="M22" i="2"/>
  <c r="M24" i="2" s="1"/>
  <c r="L22" i="2"/>
  <c r="L24" i="2" s="1"/>
  <c r="K22" i="2"/>
  <c r="K24" i="2" s="1"/>
  <c r="J22" i="2"/>
  <c r="J24" i="2" s="1"/>
  <c r="I22" i="2"/>
  <c r="I25" i="2" s="1"/>
  <c r="H22" i="2"/>
  <c r="H17" i="2" s="1"/>
  <c r="G22" i="2"/>
  <c r="F22" i="2"/>
  <c r="E22" i="2"/>
  <c r="D22" i="2"/>
  <c r="C22" i="2"/>
  <c r="C24" i="2" s="1"/>
  <c r="B22" i="2"/>
  <c r="O21" i="2"/>
  <c r="N21" i="2"/>
  <c r="M21" i="2"/>
  <c r="L21" i="2"/>
  <c r="K21" i="2"/>
  <c r="J21" i="2"/>
  <c r="H21" i="2"/>
  <c r="H26" i="2" s="1"/>
  <c r="F21" i="2"/>
  <c r="F26" i="2" s="1"/>
  <c r="B21" i="2"/>
  <c r="O20" i="2"/>
  <c r="N20" i="2"/>
  <c r="M20" i="2"/>
  <c r="L20" i="2"/>
  <c r="K20" i="2"/>
  <c r="J20" i="2"/>
  <c r="I20" i="2"/>
  <c r="H20" i="2"/>
  <c r="G20" i="2"/>
  <c r="F20" i="2"/>
  <c r="E20" i="2"/>
  <c r="D20" i="2"/>
  <c r="C20" i="2"/>
  <c r="B20" i="2"/>
  <c r="O19" i="2"/>
  <c r="N19" i="2"/>
  <c r="M19" i="2"/>
  <c r="L19" i="2"/>
  <c r="K19" i="2"/>
  <c r="J19" i="2"/>
  <c r="I19" i="2"/>
  <c r="G19" i="2"/>
  <c r="C19" i="2"/>
  <c r="B19" i="2"/>
  <c r="O18" i="2"/>
  <c r="O32" i="2" s="1"/>
  <c r="N18" i="2"/>
  <c r="M18" i="2"/>
  <c r="M34" i="2" s="1"/>
  <c r="M36" i="2" s="1"/>
  <c r="L18" i="2"/>
  <c r="L34" i="2" s="1"/>
  <c r="L36" i="2" s="1"/>
  <c r="K18" i="2"/>
  <c r="J18" i="2"/>
  <c r="I18" i="2"/>
  <c r="I30" i="2" s="1"/>
  <c r="H18" i="2"/>
  <c r="H32" i="2" s="1"/>
  <c r="G18" i="2"/>
  <c r="G32" i="2" s="1"/>
  <c r="F18" i="2"/>
  <c r="F34" i="2" s="1"/>
  <c r="E18" i="2"/>
  <c r="E34" i="2" s="1"/>
  <c r="D18" i="2"/>
  <c r="D34" i="2" s="1"/>
  <c r="C18" i="2"/>
  <c r="C34" i="2" s="1"/>
  <c r="C36" i="2" s="1"/>
  <c r="B18" i="2"/>
  <c r="B34" i="2" s="1"/>
  <c r="O17" i="2"/>
  <c r="N17" i="2"/>
  <c r="M17" i="2"/>
  <c r="L17" i="2"/>
  <c r="K17" i="2"/>
  <c r="J17" i="2"/>
  <c r="I17" i="2"/>
  <c r="O16" i="2"/>
  <c r="N16" i="2"/>
  <c r="M16" i="2"/>
  <c r="L16" i="2"/>
  <c r="K16" i="2"/>
  <c r="J16" i="2"/>
  <c r="I16" i="2"/>
  <c r="I21" i="2" s="1"/>
  <c r="I26" i="2" s="1"/>
  <c r="H16" i="2"/>
  <c r="G16" i="2"/>
  <c r="G21" i="2" s="1"/>
  <c r="G26" i="2" s="1"/>
  <c r="E16" i="2"/>
  <c r="E21" i="2" s="1"/>
  <c r="E26" i="2" s="1"/>
  <c r="D16" i="2"/>
  <c r="D21" i="2" s="1"/>
  <c r="D26" i="2" s="1"/>
  <c r="C16" i="2"/>
  <c r="C37" i="2" s="1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5" i="2"/>
  <c r="O3" i="2"/>
  <c r="O2" i="2"/>
  <c r="AY219" i="1"/>
  <c r="AX219" i="1"/>
  <c r="AW219" i="1"/>
  <c r="AV219" i="1"/>
  <c r="AU219" i="1"/>
  <c r="AT219" i="1"/>
  <c r="AS219" i="1"/>
  <c r="AR219" i="1"/>
  <c r="AQ219" i="1"/>
  <c r="AP219" i="1"/>
  <c r="AO219" i="1"/>
  <c r="AN219" i="1"/>
  <c r="AM219" i="1"/>
  <c r="AL219" i="1"/>
  <c r="AK219" i="1"/>
  <c r="AJ219" i="1"/>
  <c r="AI219" i="1"/>
  <c r="AH219" i="1"/>
  <c r="AG219" i="1"/>
  <c r="AF219" i="1"/>
  <c r="AE219" i="1"/>
  <c r="AD219" i="1"/>
  <c r="AC219" i="1"/>
  <c r="AB219" i="1"/>
  <c r="AA219" i="1"/>
  <c r="Z219" i="1"/>
  <c r="Y219" i="1"/>
  <c r="X219" i="1"/>
  <c r="W219" i="1"/>
  <c r="V219" i="1"/>
  <c r="U219" i="1"/>
  <c r="T219" i="1"/>
  <c r="S219" i="1"/>
  <c r="R219" i="1"/>
  <c r="Q219" i="1"/>
  <c r="E180" i="1" s="1"/>
  <c r="P219" i="1"/>
  <c r="O219" i="1"/>
  <c r="M219" i="1"/>
  <c r="L219" i="1"/>
  <c r="K219" i="1"/>
  <c r="J219" i="1"/>
  <c r="I219" i="1"/>
  <c r="H219" i="1"/>
  <c r="G219" i="1"/>
  <c r="F219" i="1"/>
  <c r="E219" i="1"/>
  <c r="D211" i="1"/>
  <c r="E203" i="1"/>
  <c r="E200" i="1"/>
  <c r="E199" i="1"/>
  <c r="E198" i="1"/>
  <c r="E197" i="1"/>
  <c r="E196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75" i="1"/>
  <c r="E167" i="1"/>
  <c r="E166" i="1"/>
  <c r="E162" i="1"/>
  <c r="E156" i="1"/>
  <c r="E155" i="1"/>
  <c r="E154" i="1"/>
  <c r="E153" i="1"/>
  <c r="E151" i="1"/>
  <c r="E150" i="1"/>
  <c r="E149" i="1"/>
  <c r="E147" i="1"/>
  <c r="AA146" i="1"/>
  <c r="E146" i="1"/>
  <c r="E145" i="1"/>
  <c r="E144" i="1"/>
  <c r="E143" i="1"/>
  <c r="E142" i="1"/>
  <c r="E141" i="1"/>
  <c r="E140" i="1"/>
  <c r="E135" i="1"/>
  <c r="AA134" i="1"/>
  <c r="J133" i="1"/>
  <c r="J132" i="1"/>
  <c r="E132" i="1"/>
  <c r="J131" i="1"/>
  <c r="E131" i="1"/>
  <c r="E130" i="1"/>
  <c r="J129" i="1"/>
  <c r="E129" i="1"/>
  <c r="E128" i="1"/>
  <c r="E127" i="1"/>
  <c r="AA126" i="1"/>
  <c r="AA208" i="1" s="1"/>
  <c r="AA210" i="1" s="1"/>
  <c r="J126" i="1"/>
  <c r="N219" i="1" s="1"/>
  <c r="AG116" i="1"/>
  <c r="AA116" i="1"/>
  <c r="AA111" i="1"/>
  <c r="K111" i="1"/>
  <c r="AG109" i="1"/>
  <c r="AA107" i="1"/>
  <c r="K107" i="1"/>
  <c r="L101" i="1"/>
  <c r="H101" i="1"/>
  <c r="O101" i="1" s="1"/>
  <c r="O100" i="1"/>
  <c r="O99" i="1"/>
  <c r="F99" i="1"/>
  <c r="O98" i="1"/>
  <c r="E98" i="1"/>
  <c r="F98" i="1" s="1"/>
  <c r="O97" i="1"/>
  <c r="F97" i="1"/>
  <c r="O96" i="1"/>
  <c r="L96" i="1"/>
  <c r="F96" i="1"/>
  <c r="O95" i="1"/>
  <c r="E95" i="1"/>
  <c r="F95" i="1" s="1"/>
  <c r="O94" i="1"/>
  <c r="F94" i="1"/>
  <c r="E94" i="1"/>
  <c r="O93" i="1"/>
  <c r="E93" i="1"/>
  <c r="F93" i="1" s="1"/>
  <c r="O92" i="1"/>
  <c r="E92" i="1"/>
  <c r="F92" i="1" s="1"/>
  <c r="O91" i="1"/>
  <c r="E91" i="1"/>
  <c r="F91" i="1" s="1"/>
  <c r="O90" i="1"/>
  <c r="O89" i="1"/>
  <c r="O88" i="1"/>
  <c r="E88" i="1"/>
  <c r="F88" i="1" s="1"/>
  <c r="O87" i="1"/>
  <c r="E87" i="1"/>
  <c r="F87" i="1" s="1"/>
  <c r="O86" i="1"/>
  <c r="F86" i="1"/>
  <c r="E86" i="1"/>
  <c r="O85" i="1"/>
  <c r="E85" i="1"/>
  <c r="F85" i="1" s="1"/>
  <c r="O84" i="1"/>
  <c r="E84" i="1"/>
  <c r="F84" i="1" s="1"/>
  <c r="O83" i="1"/>
  <c r="E83" i="1"/>
  <c r="F83" i="1" s="1"/>
  <c r="O82" i="1"/>
  <c r="F82" i="1"/>
  <c r="E82" i="1"/>
  <c r="O81" i="1"/>
  <c r="E81" i="1"/>
  <c r="F81" i="1" s="1"/>
  <c r="O80" i="1"/>
  <c r="E80" i="1"/>
  <c r="F80" i="1" s="1"/>
  <c r="O79" i="1"/>
  <c r="E79" i="1"/>
  <c r="F79" i="1" s="1"/>
  <c r="O78" i="1"/>
  <c r="F78" i="1"/>
  <c r="E78" i="1"/>
  <c r="O77" i="1"/>
  <c r="E77" i="1"/>
  <c r="F77" i="1" s="1"/>
  <c r="O76" i="1"/>
  <c r="E76" i="1"/>
  <c r="F76" i="1" s="1"/>
  <c r="O75" i="1"/>
  <c r="E75" i="1"/>
  <c r="F75" i="1" s="1"/>
  <c r="O74" i="1"/>
  <c r="O73" i="1"/>
  <c r="F73" i="1"/>
  <c r="O72" i="1"/>
  <c r="O71" i="1"/>
  <c r="O70" i="1"/>
  <c r="F70" i="1"/>
  <c r="E70" i="1"/>
  <c r="O69" i="1"/>
  <c r="O68" i="1"/>
  <c r="O67" i="1"/>
  <c r="O66" i="1"/>
  <c r="O65" i="1"/>
  <c r="O64" i="1"/>
  <c r="F64" i="1"/>
  <c r="O63" i="1"/>
  <c r="F63" i="1"/>
  <c r="O62" i="1"/>
  <c r="E62" i="1"/>
  <c r="F62" i="1" s="1"/>
  <c r="O61" i="1"/>
  <c r="E61" i="1"/>
  <c r="F61" i="1" s="1"/>
  <c r="O60" i="1"/>
  <c r="F60" i="1"/>
  <c r="O59" i="1"/>
  <c r="F59" i="1"/>
  <c r="O58" i="1"/>
  <c r="F58" i="1"/>
  <c r="O57" i="1"/>
  <c r="E57" i="1"/>
  <c r="F57" i="1" s="1"/>
  <c r="O56" i="1"/>
  <c r="F56" i="1"/>
  <c r="O55" i="1"/>
  <c r="F55" i="1"/>
  <c r="O54" i="1"/>
  <c r="F54" i="1"/>
  <c r="O53" i="1"/>
  <c r="F53" i="1"/>
  <c r="O52" i="1"/>
  <c r="F52" i="1"/>
  <c r="O51" i="1"/>
  <c r="F51" i="1"/>
  <c r="E51" i="1"/>
  <c r="O50" i="1"/>
  <c r="E50" i="1"/>
  <c r="F50" i="1" s="1"/>
  <c r="O49" i="1"/>
  <c r="E49" i="1"/>
  <c r="F49" i="1" s="1"/>
  <c r="O48" i="1"/>
  <c r="E48" i="1"/>
  <c r="F48" i="1" s="1"/>
  <c r="O47" i="1"/>
  <c r="F47" i="1"/>
  <c r="O46" i="1"/>
  <c r="E46" i="1"/>
  <c r="F46" i="1" s="1"/>
  <c r="O45" i="1"/>
  <c r="E45" i="1"/>
  <c r="F45" i="1" s="1"/>
  <c r="O44" i="1"/>
  <c r="E44" i="1"/>
  <c r="F44" i="1" s="1"/>
  <c r="O43" i="1"/>
  <c r="F43" i="1"/>
  <c r="O42" i="1"/>
  <c r="F42" i="1"/>
  <c r="E42" i="1"/>
  <c r="O41" i="1"/>
  <c r="E41" i="1"/>
  <c r="F41" i="1" s="1"/>
  <c r="O40" i="1"/>
  <c r="E40" i="1"/>
  <c r="F40" i="1" s="1"/>
  <c r="O39" i="1"/>
  <c r="E39" i="1"/>
  <c r="F39" i="1" s="1"/>
  <c r="O38" i="1"/>
  <c r="F38" i="1"/>
  <c r="E38" i="1"/>
  <c r="O37" i="1"/>
  <c r="E37" i="1"/>
  <c r="F37" i="1" s="1"/>
  <c r="O36" i="1"/>
  <c r="E36" i="1"/>
  <c r="F36" i="1" s="1"/>
  <c r="O35" i="1"/>
  <c r="E35" i="1"/>
  <c r="F35" i="1" s="1"/>
  <c r="O34" i="1"/>
  <c r="F34" i="1"/>
  <c r="O33" i="1"/>
  <c r="F33" i="1"/>
  <c r="O32" i="1"/>
  <c r="O31" i="1"/>
  <c r="F31" i="1"/>
  <c r="O30" i="1"/>
  <c r="E30" i="1"/>
  <c r="F30" i="1" s="1"/>
  <c r="O29" i="1"/>
  <c r="O28" i="1"/>
  <c r="F28" i="1"/>
  <c r="O27" i="1"/>
  <c r="E27" i="1"/>
  <c r="F27" i="1" s="1"/>
  <c r="O26" i="1"/>
  <c r="E26" i="1"/>
  <c r="F26" i="1" s="1"/>
  <c r="O25" i="1"/>
  <c r="F25" i="1"/>
  <c r="E25" i="1"/>
  <c r="O24" i="1"/>
  <c r="E24" i="1"/>
  <c r="F24" i="1" s="1"/>
  <c r="O23" i="1"/>
  <c r="E23" i="1"/>
  <c r="F23" i="1" s="1"/>
  <c r="O22" i="1"/>
  <c r="E22" i="1"/>
  <c r="F22" i="1" s="1"/>
  <c r="O21" i="1"/>
  <c r="F21" i="1"/>
  <c r="E21" i="1"/>
  <c r="O20" i="1"/>
  <c r="E20" i="1"/>
  <c r="F20" i="1" s="1"/>
  <c r="O19" i="1"/>
  <c r="E19" i="1"/>
  <c r="F19" i="1" s="1"/>
  <c r="O18" i="1"/>
  <c r="E18" i="1"/>
  <c r="F18" i="1" s="1"/>
  <c r="O17" i="1"/>
  <c r="F17" i="1"/>
  <c r="E17" i="1"/>
  <c r="O16" i="1"/>
  <c r="E16" i="1"/>
  <c r="F16" i="1" s="1"/>
  <c r="O15" i="1"/>
  <c r="E15" i="1"/>
  <c r="F15" i="1" s="1"/>
  <c r="O14" i="1"/>
  <c r="E14" i="1"/>
  <c r="F14" i="1" s="1"/>
  <c r="O13" i="1"/>
  <c r="F13" i="1"/>
  <c r="E13" i="1"/>
  <c r="O12" i="1"/>
  <c r="E12" i="1"/>
  <c r="F12" i="1" s="1"/>
  <c r="O11" i="1"/>
  <c r="E11" i="1"/>
  <c r="F11" i="1" s="1"/>
  <c r="O10" i="1"/>
  <c r="E10" i="1"/>
  <c r="F10" i="1" s="1"/>
  <c r="O9" i="1"/>
  <c r="F9" i="1"/>
  <c r="E9" i="1"/>
  <c r="O8" i="1"/>
  <c r="L8" i="1"/>
  <c r="E8" i="1"/>
  <c r="F8" i="1" s="1"/>
  <c r="O7" i="1"/>
  <c r="E7" i="1"/>
  <c r="F7" i="1" s="1"/>
  <c r="O6" i="1"/>
  <c r="E6" i="1"/>
  <c r="F6" i="1" s="1"/>
  <c r="O5" i="1"/>
  <c r="F5" i="1"/>
  <c r="E5" i="1"/>
  <c r="O4" i="1"/>
  <c r="L4" i="1"/>
  <c r="E4" i="1"/>
  <c r="F4" i="1" s="1"/>
  <c r="O3" i="1"/>
  <c r="E3" i="1"/>
  <c r="F3" i="1" s="1"/>
  <c r="O2" i="1"/>
  <c r="E2" i="1"/>
  <c r="F2" i="1" s="1"/>
  <c r="H19" i="2" l="1"/>
  <c r="H37" i="2"/>
  <c r="O36" i="2"/>
  <c r="H45" i="2"/>
  <c r="H41" i="2" s="1"/>
  <c r="H44" i="2"/>
  <c r="H40" i="2" s="1"/>
  <c r="N7" i="2"/>
  <c r="D19" i="2"/>
  <c r="F5" i="2" s="1"/>
  <c r="G24" i="2"/>
  <c r="D37" i="2"/>
  <c r="E37" i="2"/>
  <c r="C21" i="2"/>
  <c r="C26" i="2" s="1"/>
  <c r="I3" i="2" s="1"/>
  <c r="J3" i="2" s="1"/>
  <c r="I24" i="2"/>
  <c r="F37" i="2"/>
  <c r="H25" i="2"/>
  <c r="D30" i="2"/>
  <c r="D36" i="2" s="1"/>
  <c r="B32" i="2"/>
  <c r="N6" i="2" s="1"/>
  <c r="G37" i="2"/>
  <c r="H24" i="2"/>
  <c r="F25" i="2"/>
  <c r="F30" i="2"/>
  <c r="D32" i="2"/>
  <c r="I37" i="2"/>
  <c r="G30" i="2"/>
  <c r="G36" i="2" s="1"/>
  <c r="E32" i="2"/>
  <c r="E19" i="2"/>
  <c r="F19" i="2"/>
  <c r="E30" i="2"/>
  <c r="E36" i="2" s="1"/>
  <c r="H30" i="2"/>
  <c r="H36" i="2" s="1"/>
  <c r="F32" i="2"/>
  <c r="F36" i="2" s="1"/>
  <c r="E67" i="1"/>
  <c r="F67" i="1" s="1"/>
  <c r="E171" i="1"/>
  <c r="E174" i="1"/>
  <c r="E32" i="1"/>
  <c r="F32" i="1" s="1"/>
  <c r="E89" i="1"/>
  <c r="F89" i="1" s="1"/>
  <c r="E65" i="1"/>
  <c r="F65" i="1" s="1"/>
  <c r="E71" i="1"/>
  <c r="F71" i="1" s="1"/>
  <c r="E170" i="1"/>
  <c r="E101" i="1"/>
  <c r="F101" i="1" s="1"/>
  <c r="E172" i="1"/>
  <c r="E72" i="1"/>
  <c r="F72" i="1" s="1"/>
  <c r="E173" i="1"/>
  <c r="E69" i="1"/>
  <c r="F69" i="1" s="1"/>
  <c r="E176" i="1"/>
  <c r="E206" i="1"/>
  <c r="E74" i="1"/>
  <c r="F74" i="1" s="1"/>
  <c r="E90" i="1"/>
  <c r="F90" i="1" s="1"/>
  <c r="E179" i="1"/>
  <c r="E195" i="1"/>
  <c r="E134" i="1"/>
  <c r="E68" i="1"/>
  <c r="F68" i="1" s="1"/>
  <c r="E137" i="1"/>
  <c r="E177" i="1"/>
  <c r="E29" i="1"/>
  <c r="F29" i="1" s="1"/>
  <c r="E66" i="1"/>
  <c r="F66" i="1" s="1"/>
  <c r="F4" i="2" l="1"/>
  <c r="G4" i="2" s="1"/>
  <c r="B36" i="2"/>
  <c r="N8" i="2" s="1"/>
  <c r="F3" i="2"/>
  <c r="N5" i="2"/>
</calcChain>
</file>

<file path=xl/comments1.xml><?xml version="1.0" encoding="utf-8"?>
<comments xmlns="http://schemas.openxmlformats.org/spreadsheetml/2006/main">
  <authors>
    <author>Auteur</author>
  </authors>
  <commentList>
    <comment ref="O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explication formule???</t>
        </r>
      </text>
    </comment>
    <comment ref="E204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fiche instruction 3,4kg</t>
        </r>
      </text>
    </comment>
  </commentList>
</comments>
</file>

<file path=xl/sharedStrings.xml><?xml version="1.0" encoding="utf-8"?>
<sst xmlns="http://schemas.openxmlformats.org/spreadsheetml/2006/main" count="729" uniqueCount="400">
  <si>
    <t>Référence</t>
  </si>
  <si>
    <t xml:space="preserve">Désignation </t>
  </si>
  <si>
    <t xml:space="preserve">Prime </t>
  </si>
  <si>
    <t>Poids net</t>
  </si>
  <si>
    <t xml:space="preserve">poid brut </t>
  </si>
  <si>
    <t>% perte</t>
  </si>
  <si>
    <t xml:space="preserve">Nb pièce / moule </t>
  </si>
  <si>
    <t>Temps de cuisson (min)</t>
  </si>
  <si>
    <t xml:space="preserve">nombre de moule dispo </t>
  </si>
  <si>
    <t xml:space="preserve">A demeure / superposé </t>
  </si>
  <si>
    <t xml:space="preserve">Emporte Pièce </t>
  </si>
  <si>
    <t xml:space="preserve">Temps presse ouverte </t>
  </si>
  <si>
    <t xml:space="preserve">Temps ébarbage </t>
  </si>
  <si>
    <t>productivité / jour</t>
  </si>
  <si>
    <t>Cadence théorique</t>
  </si>
  <si>
    <t>Code A</t>
  </si>
  <si>
    <t>Designation</t>
  </si>
  <si>
    <t xml:space="preserve">POIDS Brut </t>
  </si>
  <si>
    <t xml:space="preserve">Code Art. PFI     </t>
  </si>
  <si>
    <t xml:space="preserve">Designation                   </t>
  </si>
  <si>
    <t xml:space="preserve">Temps        </t>
  </si>
  <si>
    <t xml:space="preserve">U </t>
  </si>
  <si>
    <t xml:space="preserve">Empla   </t>
  </si>
  <si>
    <t>Sect</t>
  </si>
  <si>
    <t xml:space="preserve">opérateur mouleur </t>
  </si>
  <si>
    <t>SEAU 12L</t>
  </si>
  <si>
    <t>SEAU 12L CAOUT.ARME 2.3K</t>
  </si>
  <si>
    <t xml:space="preserve">SEAU CAOUT.ARME 12L           </t>
  </si>
  <si>
    <t>Mn</t>
  </si>
  <si>
    <t xml:space="preserve">        </t>
  </si>
  <si>
    <t>AIT-BOUHOU M</t>
  </si>
  <si>
    <t>SEAU 13L</t>
  </si>
  <si>
    <t>SEAU 13L CAOUT.ARME 2.3K</t>
  </si>
  <si>
    <t xml:space="preserve">SEAU CAOUT.ARME 13L           </t>
  </si>
  <si>
    <t>AUGEREAU T</t>
  </si>
  <si>
    <t>SEAU 10L</t>
  </si>
  <si>
    <t>SEAU HISPANO 10L CAOUT.ARME</t>
  </si>
  <si>
    <t xml:space="preserve">SEAU CAOUT.ARME 12L ALLEGE    </t>
  </si>
  <si>
    <t xml:space="preserve">BOUHIER P </t>
  </si>
  <si>
    <t>SEAU 12L NAT 1,8 KG</t>
  </si>
  <si>
    <t>SEAU 12L CAOUT. ARME 1.8K</t>
  </si>
  <si>
    <t xml:space="preserve">SEAU CAOUT.ARME 17L COTE PLAT </t>
  </si>
  <si>
    <t>CHESNEAU E</t>
  </si>
  <si>
    <t>SEAU 12L A BEC Allégé</t>
  </si>
  <si>
    <t>SEAU BEC CAOUT.ALLEGE 12L 1.8K</t>
  </si>
  <si>
    <t>DOUILLARD K</t>
  </si>
  <si>
    <t>  SEAU 17L</t>
  </si>
  <si>
    <t>SEAU 17L PLAT CAOUT.ARME</t>
  </si>
  <si>
    <t>GAMBU K</t>
  </si>
  <si>
    <t>SEAU 10L A/Poignées</t>
  </si>
  <si>
    <t>SEAU C/C 17L PLAT ANSE POIGNEE</t>
  </si>
  <si>
    <t xml:space="preserve">AUGE CAOUTCHOUC ARME 7 LITRES </t>
  </si>
  <si>
    <t xml:space="preserve">HERVOUET L </t>
  </si>
  <si>
    <t>SEAU 12L NAT 1,8 KG A/Poig.</t>
  </si>
  <si>
    <t>SEAU HISPANO CC 10L A POIGNEE</t>
  </si>
  <si>
    <t>AUGE CAOUTCHOUC ARME 10 LITRES</t>
  </si>
  <si>
    <t xml:space="preserve">LIZE G </t>
  </si>
  <si>
    <t>SEAU 12L A BEC 1,8 KG Anse/Poig.</t>
  </si>
  <si>
    <t>SEAU 12L CAOUT ARME 1.8K</t>
  </si>
  <si>
    <t>AUGE CAOUTCHOUC ARME 20 LITRES</t>
  </si>
  <si>
    <t xml:space="preserve">NEGGAOUI K </t>
  </si>
  <si>
    <t>AUGE 7L</t>
  </si>
  <si>
    <t>SP</t>
  </si>
  <si>
    <t>SEAU BEC C/C ALL.12L 1.8K ANSE</t>
  </si>
  <si>
    <t>AUGE CAOUTCHOUC ARME 30 LITRES</t>
  </si>
  <si>
    <t>NERRIERE C</t>
  </si>
  <si>
    <t>AUGE 10L</t>
  </si>
  <si>
    <t>AUGE  7L CAOUT.ARME ELECT.</t>
  </si>
  <si>
    <t>AUGE CAOUTCHOUC ARME 40 LITRES</t>
  </si>
  <si>
    <t>MARTIN A</t>
  </si>
  <si>
    <t>AUGE 20L</t>
  </si>
  <si>
    <t>AUGE 10L CAOUT.ARME FUMISTE</t>
  </si>
  <si>
    <t xml:space="preserve">AUGE CAOUT.ARME 8L FD INCLINE </t>
  </si>
  <si>
    <t>AUGE 30L</t>
  </si>
  <si>
    <t>AUGE 20L CAOUT.ARME CARRELEUR</t>
  </si>
  <si>
    <t>AUGE CAOUT.ARME 27L FD INCLINE</t>
  </si>
  <si>
    <t>AUGE 40L</t>
  </si>
  <si>
    <t>AUGE 30L CAOUT.ARME CIMENTIER</t>
  </si>
  <si>
    <t>AUGE CAOUT.ARME 40L FD INCLINE</t>
  </si>
  <si>
    <t>AUGE 8L F.I.</t>
  </si>
  <si>
    <t>AUGE 40L CAOUT.ARME PLATRIER</t>
  </si>
  <si>
    <t xml:space="preserve">AUGE CAOUT.ARME 35L PRATIBAC  </t>
  </si>
  <si>
    <t>AUGE 27L F.I.</t>
  </si>
  <si>
    <t>AUGE  8L CAOUT.ARME FOND INCL.</t>
  </si>
  <si>
    <t>AUGE CAOUTCHOUC ARME 60 LITRES</t>
  </si>
  <si>
    <t>AUGE 40L F.I.</t>
  </si>
  <si>
    <t>AUGE 27L CAOUT.ARME FOND INCL</t>
  </si>
  <si>
    <t xml:space="preserve">BAC ROND CAOUTCHOUC ARME 70L  </t>
  </si>
  <si>
    <t>PRATIBAC 35L</t>
  </si>
  <si>
    <t>AUGE 40L CAOUT.ARME FOND INCL.</t>
  </si>
  <si>
    <t xml:space="preserve">BAC A PLATRE CAOUT.ARME 50L   </t>
  </si>
  <si>
    <t>AUGE 60L</t>
  </si>
  <si>
    <t>PRATIBAC 35 L CAOUT.ARME</t>
  </si>
  <si>
    <t xml:space="preserve">BOL PLATRIER CAOUT.ARME 1.5L  </t>
  </si>
  <si>
    <t>AUGE 12L Gaveta</t>
  </si>
  <si>
    <t>AUGE SUPER PLAT.60L CAOUT.ARME</t>
  </si>
  <si>
    <t xml:space="preserve">BOL PLATRIER CAOUT.ARME 0.75L </t>
  </si>
  <si>
    <t>AUGE 18L CARBONERA</t>
  </si>
  <si>
    <t>GAVETA 12 L CAOUTCHOUC ARME</t>
  </si>
  <si>
    <t xml:space="preserve">BOL PLATRIER 0.75L CAOUT.ARME </t>
  </si>
  <si>
    <t>AUGE 30L CARBONERA</t>
  </si>
  <si>
    <t>AD</t>
  </si>
  <si>
    <t>CARBONERA 18L CAOUTCHOUC ARME</t>
  </si>
  <si>
    <t xml:space="preserve">SOUPLECHELLE CAOUTCHOUC ARME  </t>
  </si>
  <si>
    <t>AUGE 8L Gaveta</t>
  </si>
  <si>
    <t>CARBONERA 30L CAOUT.ARME</t>
  </si>
  <si>
    <t>SOUPLESCALIER  CAOUT.ARME AVEC</t>
  </si>
  <si>
    <t>AUGE 15L Gaveta</t>
  </si>
  <si>
    <t>GAVETA 8 L CAOUTCHOUC ARME</t>
  </si>
  <si>
    <t xml:space="preserve">POUBELLE 50 L CAOUT.ARME      </t>
  </si>
  <si>
    <t>ESPUERTA 11L</t>
  </si>
  <si>
    <t>GAVETA 15 L CAOUTCHOUC ARME</t>
  </si>
  <si>
    <t xml:space="preserve">COUVERCLE 50 L CAOUT ARME     </t>
  </si>
  <si>
    <t>ESPUERTA 20L</t>
  </si>
  <si>
    <t>ESPUERTA 11 L CAOUTCHOUC ARME</t>
  </si>
  <si>
    <t xml:space="preserve">POUB.75 L ALLEGEE CAOUT.ARME  </t>
  </si>
  <si>
    <t>GAVETA 14L</t>
  </si>
  <si>
    <t>ESPUERTA 20 L CAOUTCHOUC ARME</t>
  </si>
  <si>
    <t>COUVERCLE 75L- 105L CAOUT.ARME</t>
  </si>
  <si>
    <t>AUGE CARBONERA 37L</t>
  </si>
  <si>
    <t>BAC ROND 70L CAOUTCHOUC ARME</t>
  </si>
  <si>
    <t xml:space="preserve">POUB.FORTE 75 L CAOUT.ARME    </t>
  </si>
  <si>
    <t>BAC 70L</t>
  </si>
  <si>
    <t>BAC A PLATRE 50L CAOUT.ARME</t>
  </si>
  <si>
    <t xml:space="preserve">POUB.BASSE 105L CAOUT.ARME    </t>
  </si>
  <si>
    <t>BAC 50L</t>
  </si>
  <si>
    <t>AUGE CANARIO 18L</t>
  </si>
  <si>
    <t>BOL 1,5 L</t>
  </si>
  <si>
    <t>AUGE SPART 9L</t>
  </si>
  <si>
    <t xml:space="preserve">TAPIS KIT JOINT CU            </t>
  </si>
  <si>
    <t xml:space="preserve">U3C     </t>
  </si>
  <si>
    <t>SOUPLECHELLE</t>
  </si>
  <si>
    <t>BOL PLATRIER 0.75 L CAOUT.ARME</t>
  </si>
  <si>
    <t xml:space="preserve">PATIN CAOUTCHOUC DE RECHANGE  </t>
  </si>
  <si>
    <t>SOUPLESCALIER</t>
  </si>
  <si>
    <t>BOL PLATRIER 0.75L CAOUT.ARME</t>
  </si>
  <si>
    <t xml:space="preserve">PATIN CAOUTCHOUC              </t>
  </si>
  <si>
    <t>POUBELLE 50L</t>
  </si>
  <si>
    <t>SOUPLECHELLE CAOUTCHOUC ARME</t>
  </si>
  <si>
    <t xml:space="preserve">MAILLET BETONNI   D.90MM NOIR </t>
  </si>
  <si>
    <t>COUVERCLE 50L</t>
  </si>
  <si>
    <t xml:space="preserve">MAILLET BETONNI. NON MARQUANT </t>
  </si>
  <si>
    <t>POUBELLE 75L Allégée</t>
  </si>
  <si>
    <t>POUBELLE 50 L CAOUT.ARME</t>
  </si>
  <si>
    <t xml:space="preserve">MAILLET TP NOIR AVEC MANCHE   </t>
  </si>
  <si>
    <t>COUVERCLE 75/105L</t>
  </si>
  <si>
    <t>COUVERCLE 50 L CAOUT ARME</t>
  </si>
  <si>
    <t xml:space="preserve">MAILLET TP NON MARQUANT AVEC  </t>
  </si>
  <si>
    <t>POUBELLE 75L Forte</t>
  </si>
  <si>
    <t>POUB.75 L ALLEGEE CAOUT.ARME</t>
  </si>
  <si>
    <t xml:space="preserve">MAILLET TP D125 NOIR AVEC     </t>
  </si>
  <si>
    <t>POUBELLE 105L</t>
  </si>
  <si>
    <t>POUBELLE 75L Tout Caout.</t>
  </si>
  <si>
    <t>POUB.FORTE 75 L CAOUT.ARME</t>
  </si>
  <si>
    <t>PLOT CAOUTCHOUC MARTEAU PAVEUR</t>
  </si>
  <si>
    <t>TAPIS KIT JOINT</t>
  </si>
  <si>
    <t>POUB.BASSE 105L CAOUT.ARME</t>
  </si>
  <si>
    <t>CONE 52 CM N/B TOUT CAOUTCHOUC</t>
  </si>
  <si>
    <t>LANIERE GENOUILLERES (plaque de 20)</t>
  </si>
  <si>
    <t>POUBELLE 75 L TOUT CAOUTCHOUC</t>
  </si>
  <si>
    <t>PATIN                U2010A CU</t>
  </si>
  <si>
    <t>PATIN CAOUTCHOUC P/PINCE</t>
  </si>
  <si>
    <t>TAPIS KIT JOINT CU</t>
  </si>
  <si>
    <t>PATIN  NON TACHANT          CU</t>
  </si>
  <si>
    <t>MAILLET BETONNIERE</t>
  </si>
  <si>
    <t>TABLETTE POUR PLATEFORME A</t>
  </si>
  <si>
    <t>BUTOIR QUAI 440X200X105 CUGAND</t>
  </si>
  <si>
    <t>MAILLET BETO non marquant</t>
  </si>
  <si>
    <t>PATIN CAOUTCHOUC</t>
  </si>
  <si>
    <t>DEFLECTEUR 81D0002 + 81E0002/3</t>
  </si>
  <si>
    <t>MAILLET TP NOIR 1100MM</t>
  </si>
  <si>
    <t>D</t>
  </si>
  <si>
    <t>MAILLET BETONNI   D.90MM NOIR</t>
  </si>
  <si>
    <t>MAILLET TP NM 1100MM</t>
  </si>
  <si>
    <t>MAILLET BETONNI. NON MARQUANT</t>
  </si>
  <si>
    <t>DEFLECTEUR 81D0004 + 81E0002/2</t>
  </si>
  <si>
    <t>MAILLET TP NOIR 500MM</t>
  </si>
  <si>
    <t>MAILLET TP NOIR AVEC MANCHE</t>
  </si>
  <si>
    <t>DEFLECTEUR 81D0005 + 81E0002/1</t>
  </si>
  <si>
    <t>MAILLET TP NM 500MM</t>
  </si>
  <si>
    <t>MAILLET TP NON MARQUANT AVEC</t>
  </si>
  <si>
    <t>DEFLECTEUR 81D0008 + 81E0002/4</t>
  </si>
  <si>
    <t>PLOT MARTEAU PAVEUR</t>
  </si>
  <si>
    <t>MAILLET TP D125 NOIR AVEC</t>
  </si>
  <si>
    <t>DEFLECTEUR 81D0009 + 81E0002/5</t>
  </si>
  <si>
    <t>PIED POUR CONE CVM non monté</t>
  </si>
  <si>
    <t>P</t>
  </si>
  <si>
    <t xml:space="preserve">DEFLECTEUR 81E/0176 REP 55    </t>
  </si>
  <si>
    <t>PIED POUR CONE monté</t>
  </si>
  <si>
    <t xml:space="preserve">DEFLECTEUR 81E/0176 REP 60    </t>
  </si>
  <si>
    <t>PIED POUR CONE monté tout orange</t>
  </si>
  <si>
    <t xml:space="preserve">DEFLECTEUR 81E/0176 REP 70    </t>
  </si>
  <si>
    <t>BALISE 52 Cm</t>
  </si>
  <si>
    <t xml:space="preserve">DEFLECTEUR 81E/0176 REP 75    </t>
  </si>
  <si>
    <t>BALISE 75 Cm</t>
  </si>
  <si>
    <t xml:space="preserve">DEFLECTEUR 81E/0176 REP 80    </t>
  </si>
  <si>
    <t>BALISE 52 Cm noire/blanche</t>
  </si>
  <si>
    <t xml:space="preserve">DEFLECTEUR 81E/0176 REP 85    </t>
  </si>
  <si>
    <t xml:space="preserve">DEFLECTEUR 81E/0176 REP 95    </t>
  </si>
  <si>
    <t>PIED DE POTEAU CVM</t>
  </si>
  <si>
    <t xml:space="preserve">DEFLECTEUR 81E/0176 REP 100   </t>
  </si>
  <si>
    <t>PIED DE POTEAU SOFOP</t>
  </si>
  <si>
    <t xml:space="preserve">DEFLECTEUR 81E/0176 REP 105   </t>
  </si>
  <si>
    <t>PATIN AMORTISSEUR</t>
  </si>
  <si>
    <t xml:space="preserve">BAGUE U 81 E 4141             </t>
  </si>
  <si>
    <t>PATIN AMORTISSEUR NON TACHANT</t>
  </si>
  <si>
    <t xml:space="preserve">BAGUE U 81 E 4143             </t>
  </si>
  <si>
    <t>DIABOLO Diam. 44</t>
  </si>
  <si>
    <t>X</t>
  </si>
  <si>
    <t xml:space="preserve">PASSE FIL 5912313             </t>
  </si>
  <si>
    <t>DIABOLO Diam. 60</t>
  </si>
  <si>
    <t>DEFLECTEUR 81E/0176 REP 55</t>
  </si>
  <si>
    <t xml:space="preserve">DEFLECTEUR 5971339            </t>
  </si>
  <si>
    <t>BUTOIR D'ANGLE</t>
  </si>
  <si>
    <t>DEFLECTEUR 81E/0176 REP 60</t>
  </si>
  <si>
    <t xml:space="preserve">DEFLECTEUR 5971475            </t>
  </si>
  <si>
    <t>BUTOIR D'ANGLE 45°</t>
  </si>
  <si>
    <t>DEFLECTEUR 81E/0176 REP 70</t>
  </si>
  <si>
    <t xml:space="preserve">DEFLECTEUR 5972831            </t>
  </si>
  <si>
    <t>BUTOIR GIFFARD</t>
  </si>
  <si>
    <t>DEFLECTEUR 81E/0176 REP 75</t>
  </si>
  <si>
    <t xml:space="preserve">DEFLECTEUR 5973459            </t>
  </si>
  <si>
    <t>BUTEE</t>
  </si>
  <si>
    <t>DEFLECTEUR 81E/0176 REP 80</t>
  </si>
  <si>
    <t xml:space="preserve">DEFLECTEUR 5973460            </t>
  </si>
  <si>
    <t>CHAPEAU DE BORNE</t>
  </si>
  <si>
    <t>DEFLECTEUR 81E/0176 REP 85</t>
  </si>
  <si>
    <t xml:space="preserve">DEFLECTEUR 5973461            </t>
  </si>
  <si>
    <t>BUTOIR DE QUAI</t>
  </si>
  <si>
    <t>DEFLECTEUR 81E/0176 REP 95</t>
  </si>
  <si>
    <t xml:space="preserve">BAGUE PROTECT. 81 E 4142      </t>
  </si>
  <si>
    <t>BUTOIR AUTOMANU</t>
  </si>
  <si>
    <t>DEFLECTEUR 81E/0176 REP 100</t>
  </si>
  <si>
    <t>CALE CAMION REVERS.25X18X19 CU</t>
  </si>
  <si>
    <t>DISQUE A SABLER</t>
  </si>
  <si>
    <t>DEFLECTEUR 81E/0176 REP 105</t>
  </si>
  <si>
    <t xml:space="preserve">DEFLECTEUR A40 NBR 70 SHORES  </t>
  </si>
  <si>
    <t>SOUFFLET VITON</t>
  </si>
  <si>
    <t>BAGUE U 81 E 4141</t>
  </si>
  <si>
    <t>DEFLECTEUR A60 VITON 70 SHORES</t>
  </si>
  <si>
    <t>CHAPEAU 827440M1</t>
  </si>
  <si>
    <t>PASSE FIL 5912313</t>
  </si>
  <si>
    <t xml:space="preserve">DEFLECTEUR A60 NBR 70 SHORES  </t>
  </si>
  <si>
    <t>AMORTISSEUR</t>
  </si>
  <si>
    <t>DEFLECTEUR 5971339</t>
  </si>
  <si>
    <t xml:space="preserve">DEFLECTEUR A64 VITON 70 SHORE </t>
  </si>
  <si>
    <t>DEFLECTEUR 002 inox</t>
  </si>
  <si>
    <t>DEFLECTEUR 5971475</t>
  </si>
  <si>
    <t xml:space="preserve">DEFLECTEUR 81E/0176 REP 90    </t>
  </si>
  <si>
    <t>DEFLECTEUR 004 acier</t>
  </si>
  <si>
    <t>DEFLECTEUR 5972831</t>
  </si>
  <si>
    <t>DEFLECTEUR A80 VITON 70 SHORES</t>
  </si>
  <si>
    <t>DEFLECTEUR 005</t>
  </si>
  <si>
    <t>DEFLECTEUR 5973459</t>
  </si>
  <si>
    <t>DEFLECTEUR A40 VITON 70 SHORES</t>
  </si>
  <si>
    <t>DEFLECTEUR 008</t>
  </si>
  <si>
    <t>DEFLECTEUR 5973460</t>
  </si>
  <si>
    <t xml:space="preserve">SEAU CAOUT.ARME HISPANO 10 L  </t>
  </si>
  <si>
    <t>DEFLECTEUR 009</t>
  </si>
  <si>
    <t>DEFLECTEUR 5973461</t>
  </si>
  <si>
    <t xml:space="preserve">SEAU A BEC CAOUT.ARME 12L     </t>
  </si>
  <si>
    <t>DEFLECTEUR 55</t>
  </si>
  <si>
    <t>BAGUE PROTECT. 81 E 4142</t>
  </si>
  <si>
    <t>DEFLECTEUR 60</t>
  </si>
  <si>
    <t xml:space="preserve">U3      </t>
  </si>
  <si>
    <t>DEFLECTEUR 70</t>
  </si>
  <si>
    <t>DEFLECTEUR A40 NBR 70 SHORES</t>
  </si>
  <si>
    <t xml:space="preserve">AUGE CAOUT.ARME 12L GAVETA    </t>
  </si>
  <si>
    <t>DEFLECTEUR 75</t>
  </si>
  <si>
    <t xml:space="preserve">AUGE CAOUT.ARME 18L CARBONERA </t>
  </si>
  <si>
    <t>DEFLECTEUR 80</t>
  </si>
  <si>
    <t>DEFLECTEUR A60 NBR 70 SHORES</t>
  </si>
  <si>
    <t xml:space="preserve">AUGE CAOUT.ARME 30L CARBONERA </t>
  </si>
  <si>
    <t>DEFLECTEUR 95</t>
  </si>
  <si>
    <t>DEFLECTEUR A64 VITON 70 SHORE</t>
  </si>
  <si>
    <t xml:space="preserve">AUGE CAOUT.ARME 8L GAVETA     </t>
  </si>
  <si>
    <t>DEFLECTEUR 100</t>
  </si>
  <si>
    <t>DEFLECTEUR 81E/0176 REP 90</t>
  </si>
  <si>
    <t xml:space="preserve">AUGE CAOUT.ARME 15L GAVETA    </t>
  </si>
  <si>
    <t>BAGUE 4141</t>
  </si>
  <si>
    <t xml:space="preserve">AUGE CAOUT.ARME 11L ESPUERTA  </t>
  </si>
  <si>
    <t>BAGUE 4143</t>
  </si>
  <si>
    <t xml:space="preserve">AUGE CAOUT.ARME 20L ESPUERTA  </t>
  </si>
  <si>
    <t>DEFLECTEUR 004 inox</t>
  </si>
  <si>
    <t>BAGUE U 81 E 4143           CU</t>
  </si>
  <si>
    <t>DEFLECTEUR 339</t>
  </si>
  <si>
    <t>DEFLECTEUR 831</t>
  </si>
  <si>
    <t>DEFLECTEUR 459</t>
  </si>
  <si>
    <t>DEFLECTEUR 460</t>
  </si>
  <si>
    <t>AUGE SPART 9L BELLOTA</t>
  </si>
  <si>
    <t>BAGUE 4142</t>
  </si>
  <si>
    <t>CALE CAMION</t>
  </si>
  <si>
    <t>BALISOP</t>
  </si>
  <si>
    <t>éléments</t>
  </si>
  <si>
    <t>*</t>
  </si>
  <si>
    <t>ù</t>
  </si>
  <si>
    <t>Colonne1</t>
  </si>
  <si>
    <t>Colonne2</t>
  </si>
  <si>
    <t>Colonne3</t>
  </si>
  <si>
    <t>gomme</t>
  </si>
  <si>
    <t>AUGES 7 L.</t>
  </si>
  <si>
    <t>AUGES 8 L.</t>
  </si>
  <si>
    <t>AUGES 8 L. GAVETA</t>
  </si>
  <si>
    <t>AUGES 10 L.</t>
  </si>
  <si>
    <t>AUGES 12 L. GAVETA</t>
  </si>
  <si>
    <t>AUGES 15 L. GAVETA</t>
  </si>
  <si>
    <t>AUGES 18 L CARBONERA</t>
  </si>
  <si>
    <t>AUGES 20 L.</t>
  </si>
  <si>
    <t>AUGES 30 L.</t>
  </si>
  <si>
    <t>AUGES 30 L CARBONERA</t>
  </si>
  <si>
    <t>AUGES 11 L. ESPUERTA</t>
  </si>
  <si>
    <t>AUGES 20 L. ESPUERTA</t>
  </si>
  <si>
    <t>AUGES 40 L.</t>
  </si>
  <si>
    <t>BACS 50 L.</t>
  </si>
  <si>
    <t>POUBELLES 75 L. ALL</t>
  </si>
  <si>
    <t>POUBELLES 75 L. TC</t>
  </si>
  <si>
    <t>POUBELLES 75 L. Fortes</t>
  </si>
  <si>
    <t>POUBELLES 105 L.</t>
  </si>
  <si>
    <t>COUVERCLES 75 L.</t>
  </si>
  <si>
    <t>BANDES 5 CM</t>
  </si>
  <si>
    <t>FONDS  DE  SEAUX
0,165kg</t>
  </si>
  <si>
    <t>FONDS DE CARBONERA</t>
  </si>
  <si>
    <t>FONDS DE POUBELLES</t>
  </si>
  <si>
    <t>PIEDS BALISES</t>
  </si>
  <si>
    <t>PIEDS POTEAUX</t>
  </si>
  <si>
    <t>Colonne4</t>
  </si>
  <si>
    <t>SEAUX 10 L.</t>
  </si>
  <si>
    <t>SEAUX 12 L.</t>
  </si>
  <si>
    <t>SEAUX 12 L. Allégés</t>
  </si>
  <si>
    <t>SEAUX 17 L.</t>
  </si>
  <si>
    <t>CALES</t>
  </si>
  <si>
    <t>DIABOLOS</t>
  </si>
  <si>
    <t>Colonne5</t>
  </si>
  <si>
    <t>EPDM 
gabarit G6407</t>
  </si>
  <si>
    <t>SOUPLECHELLES</t>
  </si>
  <si>
    <t>Plaque</t>
  </si>
  <si>
    <t>Empreinte</t>
  </si>
  <si>
    <t>1fond et 2 coté</t>
  </si>
  <si>
    <t>+</t>
  </si>
  <si>
    <t>1* 10cm et 1* 20cm</t>
  </si>
  <si>
    <t>1+1 de 10cm</t>
  </si>
  <si>
    <t>1kg</t>
  </si>
  <si>
    <t>1,1kg</t>
  </si>
  <si>
    <t>1 + 2/3</t>
  </si>
  <si>
    <t>1+1/3</t>
  </si>
  <si>
    <t>3,4kg</t>
  </si>
  <si>
    <t>formul sommeprod lire un tableau complet</t>
  </si>
  <si>
    <t>% de palette
 fonds de seau</t>
  </si>
  <si>
    <t xml:space="preserve"> </t>
  </si>
  <si>
    <t xml:space="preserve">                    éléments                                                                                  </t>
  </si>
  <si>
    <t>Planning Caoutchouc</t>
  </si>
  <si>
    <t>ZONE N°6</t>
  </si>
  <si>
    <t xml:space="preserve">équiv mois </t>
  </si>
  <si>
    <t xml:space="preserve">édition du </t>
  </si>
  <si>
    <t xml:space="preserve">Paramètrage : </t>
  </si>
  <si>
    <t>Rendement objectif</t>
  </si>
  <si>
    <t>Prime jour obtenable</t>
  </si>
  <si>
    <t>S</t>
  </si>
  <si>
    <t xml:space="preserve">Temps de prod / équipe </t>
  </si>
  <si>
    <t xml:space="preserve">Charge Opérateur </t>
  </si>
  <si>
    <t>Bilan sur retour de production réel</t>
  </si>
  <si>
    <t>Objectif productivité caoutchouc</t>
  </si>
  <si>
    <t xml:space="preserve">potentiel tonnage </t>
  </si>
  <si>
    <t xml:space="preserve">Matin </t>
  </si>
  <si>
    <t>jours travaillé</t>
  </si>
  <si>
    <t>Facteur de MO (déplacement)</t>
  </si>
  <si>
    <t>AM</t>
  </si>
  <si>
    <t>Facteur de productivité (chaleur)</t>
  </si>
  <si>
    <t xml:space="preserve">Nuit </t>
  </si>
  <si>
    <t xml:space="preserve">1 normal  / 1.2 chaleur / Débutant </t>
  </si>
  <si>
    <t xml:space="preserve">Moyenne / J </t>
  </si>
  <si>
    <t xml:space="preserve">légende : zone à remplir </t>
  </si>
  <si>
    <t>Presses</t>
  </si>
  <si>
    <t xml:space="preserve">PRESSE à faire tourner </t>
  </si>
  <si>
    <t>x</t>
  </si>
  <si>
    <t>Objectif de passes</t>
  </si>
  <si>
    <t xml:space="preserve">Référence montée </t>
  </si>
  <si>
    <t>Nombre de pièce par presse</t>
  </si>
  <si>
    <t>Nombre de passages possibles sur la presse par faction</t>
  </si>
  <si>
    <t>Poids net de la pièce (kg)</t>
  </si>
  <si>
    <t xml:space="preserve">Tonnage Potentiel </t>
  </si>
  <si>
    <r>
      <t xml:space="preserve">Temps de cuisson Machine (min) 
</t>
    </r>
    <r>
      <rPr>
        <i/>
        <sz val="10"/>
        <color theme="1"/>
        <rFont val="Calibri"/>
        <family val="2"/>
        <scheme val="minor"/>
      </rPr>
      <t>pour la moulée complète  1 ou x pièces</t>
    </r>
  </si>
  <si>
    <t>Potentiel pièces / faction</t>
  </si>
  <si>
    <t>Temps d'occupation MO "presse ouverte" par passage sur la presse</t>
  </si>
  <si>
    <t>Temps d'occupation M.O hors presse pour la moulée complète (tps masqué)</t>
  </si>
  <si>
    <t xml:space="preserve">Total occupation MO par moulée </t>
  </si>
  <si>
    <t>Temps d'occupation M.O sur la faction (min)</t>
  </si>
  <si>
    <t>Prime de moulage si objectif atteint</t>
  </si>
  <si>
    <t xml:space="preserve">Comparaison programme actuel : </t>
  </si>
  <si>
    <t>Mouleurs</t>
  </si>
  <si>
    <t xml:space="preserve">Après Midi </t>
  </si>
  <si>
    <t xml:space="preserve">Moyenne sur la journée </t>
  </si>
  <si>
    <t>Tonnage moyen sur la journée</t>
  </si>
  <si>
    <t>Quantité pieces semaine</t>
  </si>
  <si>
    <t>Palette</t>
  </si>
  <si>
    <t xml:space="preserve">auge10L </t>
  </si>
  <si>
    <t xml:space="preserve">fond de seaux </t>
  </si>
  <si>
    <t>auge10L (en kg)</t>
  </si>
  <si>
    <t>fond de seaux (en kg)</t>
  </si>
  <si>
    <t>Palette (base 600kg)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</si>
</sst>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000"/>
    <numFmt numFmtId="166" formatCode="0.000&quot; kg&quot;"/>
    <numFmt numFmtId="167" formatCode="0.00&quot; kg&quot;"/>
    <numFmt numFmtId="168" formatCode="0&quot; kg/h&quot;"/>
    <numFmt numFmtId="169" formatCode="_-* #,##0\ &quot;€&quot;_-;\-* #,##0\ &quot;€&quot;_-;_-* &quot;-&quot;??\ &quot;€&quot;_-;_-@_-"/>
    <numFmt numFmtId="170" formatCode="0.0"/>
    <numFmt numFmtId="171" formatCode="0&quot; kg&quot;"/>
    <numFmt numFmtId="172" formatCode="00\.00\.00"/>
    <numFmt numFmtId="173" formatCode="_-* #,##0\ _€_-;\-* #,##0\ _€_-;_-* &quot;-&quot;??\ _€_-;_-@_-"/>
    <numFmt numFmtId="174" formatCode="General\ &quot;p&quot;"/>
    <numFmt numFmtId="175" formatCode="0.0%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b/>
      <i/>
      <sz val="14"/>
      <color theme="0" tint="-0.34998626667073579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1"/>
      </patternFill>
    </fill>
    <fill>
      <patternFill patternType="solid">
        <fgColor rgb="FF92D050"/>
        <bgColor theme="0" tint="-0.14999847407452621"/>
      </patternFill>
    </fill>
    <fill>
      <patternFill patternType="solid">
        <fgColor rgb="FF92D050"/>
        <bgColor theme="4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39997558519241921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theme="1"/>
      </patternFill>
    </fill>
    <fill>
      <patternFill patternType="solid">
        <fgColor theme="0"/>
        <bgColor theme="0" tint="-0.14999847407452621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theme="1"/>
      </bottom>
      <diagonal/>
    </border>
    <border>
      <left/>
      <right/>
      <top style="thin">
        <color indexed="64"/>
      </top>
      <bottom style="thin">
        <color theme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/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/>
      <top style="thin">
        <color theme="4"/>
      </top>
      <bottom style="medium">
        <color theme="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32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2" fontId="5" fillId="0" borderId="0" xfId="1" applyNumberFormat="1" applyFont="1" applyBorder="1" applyAlignment="1">
      <alignment horizontal="center" vertical="center"/>
    </xf>
    <xf numFmtId="9" fontId="5" fillId="0" borderId="0" xfId="3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/>
    <xf numFmtId="2" fontId="6" fillId="0" borderId="0" xfId="1" applyNumberFormat="1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  <xf numFmtId="0" fontId="1" fillId="0" borderId="0" xfId="0" applyFont="1"/>
    <xf numFmtId="2" fontId="0" fillId="0" borderId="0" xfId="0" applyNumberFormat="1" applyAlignment="1">
      <alignment wrapText="1"/>
    </xf>
    <xf numFmtId="0" fontId="0" fillId="3" borderId="0" xfId="0" applyFill="1"/>
    <xf numFmtId="2" fontId="0" fillId="3" borderId="0" xfId="0" applyNumberFormat="1" applyFill="1"/>
    <xf numFmtId="2" fontId="7" fillId="3" borderId="1" xfId="0" applyNumberFormat="1" applyFont="1" applyFill="1" applyBorder="1" applyAlignment="1">
      <alignment horizontal="center" wrapText="1"/>
    </xf>
    <xf numFmtId="2" fontId="8" fillId="3" borderId="2" xfId="0" applyNumberFormat="1" applyFont="1" applyFill="1" applyBorder="1" applyAlignment="1">
      <alignment horizontal="center" wrapText="1"/>
    </xf>
    <xf numFmtId="2" fontId="8" fillId="3" borderId="3" xfId="0" applyNumberFormat="1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vertical="center"/>
    </xf>
    <xf numFmtId="0" fontId="9" fillId="4" borderId="6" xfId="0" applyFont="1" applyFill="1" applyBorder="1" applyAlignment="1">
      <alignment vertical="center"/>
    </xf>
    <xf numFmtId="0" fontId="9" fillId="4" borderId="5" xfId="0" applyFont="1" applyFill="1" applyBorder="1" applyAlignment="1">
      <alignment vertical="center" wrapText="1"/>
    </xf>
    <xf numFmtId="0" fontId="9" fillId="4" borderId="7" xfId="0" applyFont="1" applyFill="1" applyBorder="1" applyAlignment="1">
      <alignment vertical="center"/>
    </xf>
    <xf numFmtId="0" fontId="9" fillId="4" borderId="8" xfId="0" applyFont="1" applyFill="1" applyBorder="1" applyAlignment="1">
      <alignment vertical="center"/>
    </xf>
    <xf numFmtId="0" fontId="9" fillId="4" borderId="9" xfId="0" applyFont="1" applyFill="1" applyBorder="1" applyAlignment="1">
      <alignment vertical="center"/>
    </xf>
    <xf numFmtId="0" fontId="9" fillId="4" borderId="10" xfId="0" applyFont="1" applyFill="1" applyBorder="1" applyAlignment="1">
      <alignment vertical="center"/>
    </xf>
    <xf numFmtId="0" fontId="9" fillId="4" borderId="11" xfId="0" applyFont="1" applyFill="1" applyBorder="1" applyAlignment="1">
      <alignment vertical="center" wrapText="1"/>
    </xf>
    <xf numFmtId="0" fontId="9" fillId="4" borderId="12" xfId="0" applyFont="1" applyFill="1" applyBorder="1" applyAlignment="1">
      <alignment vertical="center"/>
    </xf>
    <xf numFmtId="166" fontId="0" fillId="5" borderId="13" xfId="0" applyNumberFormat="1" applyFill="1" applyBorder="1" applyAlignment="1">
      <alignment horizontal="center" vertical="center" wrapText="1"/>
    </xf>
    <xf numFmtId="166" fontId="10" fillId="5" borderId="14" xfId="0" applyNumberFormat="1" applyFont="1" applyFill="1" applyBorder="1" applyAlignment="1">
      <alignment vertical="center"/>
    </xf>
    <xf numFmtId="166" fontId="10" fillId="5" borderId="15" xfId="0" applyNumberFormat="1" applyFont="1" applyFill="1" applyBorder="1" applyAlignment="1">
      <alignment vertical="center"/>
    </xf>
    <xf numFmtId="166" fontId="0" fillId="3" borderId="16" xfId="0" applyNumberFormat="1" applyFill="1" applyBorder="1" applyAlignment="1">
      <alignment horizontal="center"/>
    </xf>
    <xf numFmtId="166" fontId="10" fillId="5" borderId="17" xfId="0" applyNumberFormat="1" applyFont="1" applyFill="1" applyBorder="1" applyAlignment="1">
      <alignment vertical="center"/>
    </xf>
    <xf numFmtId="166" fontId="10" fillId="5" borderId="16" xfId="0" applyNumberFormat="1" applyFont="1" applyFill="1" applyBorder="1" applyAlignment="1">
      <alignment vertical="center" wrapText="1"/>
    </xf>
    <xf numFmtId="166" fontId="10" fillId="5" borderId="18" xfId="0" applyNumberFormat="1" applyFont="1" applyFill="1" applyBorder="1" applyAlignment="1">
      <alignment vertical="center"/>
    </xf>
    <xf numFmtId="166" fontId="10" fillId="5" borderId="19" xfId="0" applyNumberFormat="1" applyFont="1" applyFill="1" applyBorder="1" applyAlignment="1">
      <alignment vertical="center"/>
    </xf>
    <xf numFmtId="0" fontId="4" fillId="3" borderId="20" xfId="0" applyFont="1" applyFill="1" applyBorder="1" applyAlignment="1">
      <alignment horizontal="center" vertical="center" wrapText="1"/>
    </xf>
    <xf numFmtId="2" fontId="4" fillId="3" borderId="20" xfId="0" applyNumberFormat="1" applyFont="1" applyFill="1" applyBorder="1" applyAlignment="1">
      <alignment horizontal="center" vertical="center" wrapText="1"/>
    </xf>
    <xf numFmtId="2" fontId="4" fillId="3" borderId="21" xfId="0" applyNumberFormat="1" applyFont="1" applyFill="1" applyBorder="1" applyAlignment="1">
      <alignment horizontal="center" vertical="center" wrapText="1"/>
    </xf>
    <xf numFmtId="167" fontId="0" fillId="3" borderId="22" xfId="0" applyNumberFormat="1" applyFill="1" applyBorder="1" applyAlignment="1">
      <alignment wrapText="1"/>
    </xf>
    <xf numFmtId="167" fontId="0" fillId="3" borderId="0" xfId="0" applyNumberFormat="1" applyFill="1" applyBorder="1" applyAlignment="1">
      <alignment horizontal="center"/>
    </xf>
    <xf numFmtId="167" fontId="0" fillId="3" borderId="0" xfId="0" applyNumberFormat="1" applyFill="1" applyBorder="1"/>
    <xf numFmtId="167" fontId="0" fillId="3" borderId="0" xfId="0" applyNumberFormat="1" applyFill="1" applyBorder="1" applyAlignment="1">
      <alignment horizontal="center" vertical="center"/>
    </xf>
    <xf numFmtId="166" fontId="11" fillId="3" borderId="0" xfId="0" applyNumberFormat="1" applyFont="1" applyFill="1" applyBorder="1" applyAlignment="1">
      <alignment vertical="center"/>
    </xf>
    <xf numFmtId="167" fontId="0" fillId="3" borderId="23" xfId="0" applyNumberFormat="1" applyFill="1" applyBorder="1"/>
    <xf numFmtId="0" fontId="5" fillId="6" borderId="24" xfId="0" applyFont="1" applyFill="1" applyBorder="1" applyAlignment="1">
      <alignment horizontal="center" vertical="center"/>
    </xf>
    <xf numFmtId="0" fontId="0" fillId="6" borderId="24" xfId="0" applyFill="1" applyBorder="1"/>
    <xf numFmtId="164" fontId="5" fillId="6" borderId="24" xfId="0" applyNumberFormat="1" applyFont="1" applyFill="1" applyBorder="1" applyAlignment="1">
      <alignment horizontal="center" vertical="center"/>
    </xf>
    <xf numFmtId="2" fontId="5" fillId="6" borderId="24" xfId="1" applyNumberFormat="1" applyFont="1" applyFill="1" applyBorder="1" applyAlignment="1">
      <alignment horizontal="center" vertical="center"/>
    </xf>
    <xf numFmtId="2" fontId="5" fillId="6" borderId="25" xfId="1" applyNumberFormat="1" applyFont="1" applyFill="1" applyBorder="1" applyAlignment="1">
      <alignment horizontal="center" vertical="center"/>
    </xf>
    <xf numFmtId="167" fontId="0" fillId="3" borderId="22" xfId="0" applyNumberFormat="1" applyFill="1" applyBorder="1" applyAlignment="1">
      <alignment horizontal="center" wrapText="1"/>
    </xf>
    <xf numFmtId="166" fontId="0" fillId="3" borderId="0" xfId="0" applyNumberFormat="1" applyFill="1" applyBorder="1" applyAlignment="1">
      <alignment horizontal="center"/>
    </xf>
    <xf numFmtId="167" fontId="0" fillId="3" borderId="23" xfId="0" applyNumberFormat="1" applyFill="1" applyBorder="1" applyAlignment="1">
      <alignment horizontal="center"/>
    </xf>
    <xf numFmtId="0" fontId="0" fillId="7" borderId="0" xfId="0" applyFill="1"/>
    <xf numFmtId="0" fontId="5" fillId="3" borderId="24" xfId="0" applyFont="1" applyFill="1" applyBorder="1" applyAlignment="1">
      <alignment horizontal="center" vertical="center"/>
    </xf>
    <xf numFmtId="0" fontId="0" fillId="3" borderId="24" xfId="0" applyFill="1" applyBorder="1"/>
    <xf numFmtId="0" fontId="5" fillId="3" borderId="24" xfId="1" applyNumberFormat="1" applyFont="1" applyFill="1" applyBorder="1" applyAlignment="1">
      <alignment horizontal="center" vertical="center"/>
    </xf>
    <xf numFmtId="0" fontId="5" fillId="3" borderId="25" xfId="1" applyNumberFormat="1" applyFont="1" applyFill="1" applyBorder="1" applyAlignment="1">
      <alignment horizontal="center" vertical="center"/>
    </xf>
    <xf numFmtId="15" fontId="0" fillId="0" borderId="0" xfId="0" applyNumberFormat="1"/>
    <xf numFmtId="0" fontId="5" fillId="6" borderId="24" xfId="1" applyNumberFormat="1" applyFont="1" applyFill="1" applyBorder="1" applyAlignment="1">
      <alignment horizontal="center" vertical="center"/>
    </xf>
    <xf numFmtId="0" fontId="5" fillId="6" borderId="25" xfId="1" applyNumberFormat="1" applyFont="1" applyFill="1" applyBorder="1" applyAlignment="1">
      <alignment horizontal="center" vertical="center"/>
    </xf>
    <xf numFmtId="164" fontId="5" fillId="3" borderId="24" xfId="0" applyNumberFormat="1" applyFont="1" applyFill="1" applyBorder="1" applyAlignment="1">
      <alignment horizontal="center" vertical="center"/>
    </xf>
    <xf numFmtId="2" fontId="5" fillId="3" borderId="24" xfId="1" applyNumberFormat="1" applyFont="1" applyFill="1" applyBorder="1" applyAlignment="1">
      <alignment horizontal="center" vertical="center"/>
    </xf>
    <xf numFmtId="2" fontId="5" fillId="3" borderId="25" xfId="1" applyNumberFormat="1" applyFont="1" applyFill="1" applyBorder="1" applyAlignment="1">
      <alignment horizontal="center" vertical="center"/>
    </xf>
    <xf numFmtId="167" fontId="0" fillId="3" borderId="26" xfId="0" applyNumberFormat="1" applyFill="1" applyBorder="1" applyAlignment="1">
      <alignment horizontal="center" wrapText="1"/>
    </xf>
    <xf numFmtId="167" fontId="0" fillId="3" borderId="27" xfId="0" applyNumberFormat="1" applyFill="1" applyBorder="1" applyAlignment="1">
      <alignment horizontal="center"/>
    </xf>
    <xf numFmtId="167" fontId="0" fillId="3" borderId="27" xfId="0" applyNumberFormat="1" applyFill="1" applyBorder="1" applyAlignment="1">
      <alignment horizontal="center" vertical="center"/>
    </xf>
    <xf numFmtId="166" fontId="0" fillId="3" borderId="27" xfId="0" applyNumberFormat="1" applyFill="1" applyBorder="1" applyAlignment="1">
      <alignment horizontal="center"/>
    </xf>
    <xf numFmtId="167" fontId="0" fillId="3" borderId="28" xfId="0" applyNumberFormat="1" applyFill="1" applyBorder="1" applyAlignment="1">
      <alignment horizontal="center"/>
    </xf>
    <xf numFmtId="0" fontId="0" fillId="8" borderId="0" xfId="0" applyFill="1"/>
    <xf numFmtId="0" fontId="5" fillId="9" borderId="24" xfId="0" applyFont="1" applyFill="1" applyBorder="1" applyAlignment="1">
      <alignment horizontal="center" vertical="center"/>
    </xf>
    <xf numFmtId="0" fontId="0" fillId="9" borderId="24" xfId="0" applyFill="1" applyBorder="1"/>
    <xf numFmtId="164" fontId="5" fillId="9" borderId="24" xfId="0" applyNumberFormat="1" applyFont="1" applyFill="1" applyBorder="1" applyAlignment="1">
      <alignment horizontal="center" vertical="center"/>
    </xf>
    <xf numFmtId="2" fontId="5" fillId="9" borderId="24" xfId="1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wrapText="1"/>
    </xf>
    <xf numFmtId="0" fontId="5" fillId="0" borderId="24" xfId="0" applyFont="1" applyBorder="1" applyAlignment="1">
      <alignment horizontal="center" vertical="center"/>
    </xf>
    <xf numFmtId="0" fontId="0" fillId="0" borderId="24" xfId="0" applyBorder="1"/>
    <xf numFmtId="164" fontId="5" fillId="0" borderId="24" xfId="0" applyNumberFormat="1" applyFont="1" applyBorder="1" applyAlignment="1">
      <alignment horizontal="center" vertical="center"/>
    </xf>
    <xf numFmtId="2" fontId="5" fillId="0" borderId="24" xfId="1" applyNumberFormat="1" applyFont="1" applyBorder="1" applyAlignment="1">
      <alignment horizontal="center" vertical="center"/>
    </xf>
    <xf numFmtId="0" fontId="5" fillId="10" borderId="24" xfId="0" applyFont="1" applyFill="1" applyBorder="1" applyAlignment="1">
      <alignment horizontal="center" vertical="center"/>
    </xf>
    <xf numFmtId="0" fontId="0" fillId="10" borderId="24" xfId="0" applyFill="1" applyBorder="1"/>
    <xf numFmtId="164" fontId="5" fillId="10" borderId="24" xfId="0" applyNumberFormat="1" applyFont="1" applyFill="1" applyBorder="1" applyAlignment="1">
      <alignment horizontal="center" vertical="center"/>
    </xf>
    <xf numFmtId="2" fontId="5" fillId="10" borderId="24" xfId="1" applyNumberFormat="1" applyFont="1" applyFill="1" applyBorder="1" applyAlignment="1">
      <alignment horizontal="center" vertical="center"/>
    </xf>
    <xf numFmtId="2" fontId="0" fillId="7" borderId="0" xfId="0" applyNumberFormat="1" applyFill="1" applyAlignment="1">
      <alignment horizontal="center" wrapText="1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0" fillId="7" borderId="24" xfId="0" applyFill="1" applyBorder="1"/>
    <xf numFmtId="164" fontId="5" fillId="7" borderId="24" xfId="0" applyNumberFormat="1" applyFont="1" applyFill="1" applyBorder="1" applyAlignment="1">
      <alignment horizontal="center" vertical="center"/>
    </xf>
    <xf numFmtId="2" fontId="5" fillId="7" borderId="24" xfId="1" applyNumberFormat="1" applyFont="1" applyFill="1" applyBorder="1" applyAlignment="1">
      <alignment horizontal="center" vertical="center"/>
    </xf>
    <xf numFmtId="0" fontId="0" fillId="7" borderId="24" xfId="0" applyFill="1" applyBorder="1" applyAlignment="1">
      <alignment horizontal="center"/>
    </xf>
    <xf numFmtId="2" fontId="0" fillId="7" borderId="24" xfId="0" applyNumberFormat="1" applyFill="1" applyBorder="1"/>
    <xf numFmtId="2" fontId="6" fillId="7" borderId="24" xfId="1" applyNumberFormat="1" applyFont="1" applyFill="1" applyBorder="1" applyAlignment="1">
      <alignment horizontal="center" vertical="center"/>
    </xf>
    <xf numFmtId="0" fontId="0" fillId="7" borderId="0" xfId="0" applyFill="1" applyAlignment="1">
      <alignment horizontal="center" wrapText="1"/>
    </xf>
    <xf numFmtId="2" fontId="6" fillId="0" borderId="24" xfId="1" applyNumberFormat="1" applyFont="1" applyBorder="1" applyAlignment="1">
      <alignment horizontal="center" vertical="center"/>
    </xf>
    <xf numFmtId="2" fontId="6" fillId="9" borderId="24" xfId="1" applyNumberFormat="1" applyFont="1" applyFill="1" applyBorder="1" applyAlignment="1">
      <alignment horizontal="center" vertical="center"/>
    </xf>
    <xf numFmtId="0" fontId="5" fillId="11" borderId="24" xfId="0" applyFont="1" applyFill="1" applyBorder="1" applyAlignment="1">
      <alignment horizontal="center" vertical="center"/>
    </xf>
    <xf numFmtId="0" fontId="0" fillId="11" borderId="24" xfId="0" applyFill="1" applyBorder="1"/>
    <xf numFmtId="164" fontId="5" fillId="11" borderId="24" xfId="0" applyNumberFormat="1" applyFont="1" applyFill="1" applyBorder="1" applyAlignment="1">
      <alignment horizontal="center" vertical="center"/>
    </xf>
    <xf numFmtId="2" fontId="5" fillId="11" borderId="24" xfId="1" applyNumberFormat="1" applyFont="1" applyFill="1" applyBorder="1" applyAlignment="1">
      <alignment horizontal="center" vertical="center"/>
    </xf>
    <xf numFmtId="2" fontId="0" fillId="11" borderId="0" xfId="0" applyNumberFormat="1" applyFill="1" applyAlignment="1">
      <alignment horizontal="center" wrapText="1"/>
    </xf>
    <xf numFmtId="0" fontId="0" fillId="11" borderId="0" xfId="0" applyFill="1" applyAlignment="1">
      <alignment horizontal="center"/>
    </xf>
    <xf numFmtId="0" fontId="0" fillId="11" borderId="0" xfId="0" applyFill="1" applyAlignment="1">
      <alignment horizontal="center" vertical="center"/>
    </xf>
    <xf numFmtId="0" fontId="0" fillId="11" borderId="0" xfId="0" applyFill="1"/>
    <xf numFmtId="2" fontId="0" fillId="0" borderId="24" xfId="0" applyNumberFormat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16" xfId="0" applyBorder="1"/>
    <xf numFmtId="0" fontId="0" fillId="0" borderId="0" xfId="0" applyBorder="1"/>
    <xf numFmtId="0" fontId="5" fillId="12" borderId="0" xfId="0" applyFont="1" applyFill="1" applyBorder="1" applyAlignment="1">
      <alignment horizontal="center" vertical="center"/>
    </xf>
    <xf numFmtId="0" fontId="0" fillId="12" borderId="0" xfId="0" applyFill="1" applyBorder="1"/>
    <xf numFmtId="0" fontId="5" fillId="13" borderId="0" xfId="0" applyFont="1" applyFill="1" applyBorder="1" applyAlignment="1">
      <alignment horizontal="center" vertical="center"/>
    </xf>
    <xf numFmtId="15" fontId="0" fillId="13" borderId="0" xfId="0" applyNumberFormat="1" applyFill="1" applyBorder="1"/>
    <xf numFmtId="0" fontId="0" fillId="13" borderId="0" xfId="0" applyFill="1" applyBorder="1"/>
    <xf numFmtId="0" fontId="14" fillId="0" borderId="29" xfId="0" applyFont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14" borderId="1" xfId="0" applyFont="1" applyFill="1" applyBorder="1" applyAlignment="1">
      <alignment vertical="center"/>
    </xf>
    <xf numFmtId="0" fontId="0" fillId="14" borderId="3" xfId="0" applyFill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6" fillId="0" borderId="31" xfId="0" applyFont="1" applyBorder="1" applyAlignment="1">
      <alignment horizontal="center" vertical="center"/>
    </xf>
    <xf numFmtId="168" fontId="17" fillId="0" borderId="31" xfId="0" applyNumberFormat="1" applyFont="1" applyBorder="1" applyAlignment="1">
      <alignment horizontal="center" vertical="center"/>
    </xf>
    <xf numFmtId="44" fontId="17" fillId="0" borderId="31" xfId="2" applyFont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left" vertical="center"/>
    </xf>
    <xf numFmtId="0" fontId="0" fillId="14" borderId="22" xfId="0" applyFill="1" applyBorder="1" applyAlignment="1">
      <alignment vertical="center"/>
    </xf>
    <xf numFmtId="0" fontId="0" fillId="14" borderId="23" xfId="0" applyFill="1" applyBorder="1" applyAlignment="1" applyProtection="1">
      <alignment horizontal="center" vertical="center"/>
      <protection locked="0"/>
    </xf>
    <xf numFmtId="0" fontId="19" fillId="0" borderId="0" xfId="0" applyFont="1" applyAlignment="1">
      <alignment horizontal="center" vertical="center" wrapText="1"/>
    </xf>
    <xf numFmtId="170" fontId="20" fillId="0" borderId="0" xfId="1" applyNumberFormat="1" applyFont="1" applyAlignment="1">
      <alignment horizontal="center" vertical="center"/>
    </xf>
    <xf numFmtId="9" fontId="19" fillId="0" borderId="2" xfId="3" applyFont="1" applyBorder="1" applyAlignment="1">
      <alignment horizontal="center" vertical="center"/>
    </xf>
    <xf numFmtId="0" fontId="20" fillId="14" borderId="16" xfId="0" applyFont="1" applyFill="1" applyBorder="1" applyAlignment="1">
      <alignment horizontal="center" vertical="center"/>
    </xf>
    <xf numFmtId="9" fontId="0" fillId="14" borderId="23" xfId="3" applyFont="1" applyFill="1" applyBorder="1" applyAlignment="1" applyProtection="1">
      <alignment horizontal="center" vertical="center"/>
      <protection locked="0"/>
    </xf>
    <xf numFmtId="171" fontId="2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9" fontId="21" fillId="0" borderId="0" xfId="3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8" fontId="4" fillId="0" borderId="16" xfId="0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5" fillId="14" borderId="26" xfId="0" applyFont="1" applyFill="1" applyBorder="1" applyAlignment="1">
      <alignment vertical="center"/>
    </xf>
    <xf numFmtId="0" fontId="0" fillId="14" borderId="28" xfId="0" applyFill="1" applyBorder="1" applyAlignment="1">
      <alignment horizontal="center" vertical="center"/>
    </xf>
    <xf numFmtId="0" fontId="0" fillId="14" borderId="16" xfId="0" applyFill="1" applyBorder="1" applyAlignment="1">
      <alignment horizontal="center" vertical="center"/>
    </xf>
    <xf numFmtId="168" fontId="4" fillId="14" borderId="16" xfId="0" applyNumberFormat="1" applyFont="1" applyFill="1" applyBorder="1" applyAlignment="1">
      <alignment horizontal="center" vertical="center"/>
    </xf>
    <xf numFmtId="0" fontId="19" fillId="15" borderId="0" xfId="0" applyFont="1" applyFill="1" applyAlignment="1">
      <alignment horizontal="center" vertical="center"/>
    </xf>
    <xf numFmtId="0" fontId="20" fillId="16" borderId="7" xfId="0" applyFont="1" applyFill="1" applyBorder="1" applyAlignment="1">
      <alignment horizontal="center" vertical="center"/>
    </xf>
    <xf numFmtId="0" fontId="20" fillId="16" borderId="32" xfId="0" applyFont="1" applyFill="1" applyBorder="1" applyAlignment="1">
      <alignment horizontal="center" vertical="center"/>
    </xf>
    <xf numFmtId="0" fontId="20" fillId="16" borderId="8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16" borderId="0" xfId="0" applyFont="1" applyFill="1" applyAlignment="1">
      <alignment horizontal="center" vertical="center"/>
    </xf>
    <xf numFmtId="0" fontId="22" fillId="17" borderId="0" xfId="0" applyFont="1" applyFill="1" applyAlignment="1">
      <alignment horizontal="center" vertical="center"/>
    </xf>
    <xf numFmtId="0" fontId="16" fillId="15" borderId="0" xfId="0" applyFont="1" applyFill="1" applyAlignment="1" applyProtection="1">
      <alignment horizontal="center" vertical="center"/>
      <protection locked="0"/>
    </xf>
    <xf numFmtId="0" fontId="0" fillId="16" borderId="0" xfId="0" applyFill="1" applyAlignment="1">
      <alignment vertical="center"/>
    </xf>
    <xf numFmtId="0" fontId="23" fillId="15" borderId="0" xfId="0" applyFont="1" applyFill="1" applyAlignment="1" applyProtection="1">
      <alignment horizontal="center" vertical="center" wrapText="1"/>
      <protection locked="0"/>
    </xf>
    <xf numFmtId="0" fontId="23" fillId="3" borderId="0" xfId="0" applyFont="1" applyFill="1" applyAlignment="1" applyProtection="1">
      <alignment horizontal="center" vertical="center" wrapText="1"/>
      <protection locked="0"/>
    </xf>
    <xf numFmtId="172" fontId="24" fillId="18" borderId="0" xfId="0" applyNumberFormat="1" applyFont="1" applyFill="1" applyAlignment="1" applyProtection="1">
      <alignment horizontal="center" vertical="center"/>
      <protection locked="0"/>
    </xf>
    <xf numFmtId="172" fontId="24" fillId="3" borderId="0" xfId="0" applyNumberFormat="1" applyFont="1" applyFill="1" applyAlignment="1" applyProtection="1">
      <alignment horizontal="center" vertical="center"/>
      <protection locked="0"/>
    </xf>
    <xf numFmtId="0" fontId="4" fillId="16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19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16" borderId="0" xfId="0" applyFill="1" applyAlignment="1">
      <alignment vertical="center" wrapText="1"/>
    </xf>
    <xf numFmtId="0" fontId="17" fillId="0" borderId="0" xfId="0" applyFont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6" fillId="16" borderId="0" xfId="0" applyFont="1" applyFill="1" applyAlignment="1">
      <alignment vertical="center"/>
    </xf>
    <xf numFmtId="173" fontId="17" fillId="0" borderId="0" xfId="0" applyNumberFormat="1" applyFont="1" applyAlignment="1">
      <alignment horizontal="center" vertical="center"/>
    </xf>
    <xf numFmtId="173" fontId="17" fillId="3" borderId="0" xfId="0" applyNumberFormat="1" applyFont="1" applyFill="1" applyAlignment="1">
      <alignment horizontal="center" vertical="center"/>
    </xf>
    <xf numFmtId="0" fontId="25" fillId="16" borderId="0" xfId="0" applyFont="1" applyFill="1" applyAlignment="1">
      <alignment vertical="center" wrapText="1"/>
    </xf>
    <xf numFmtId="0" fontId="26" fillId="0" borderId="0" xfId="0" applyFont="1" applyAlignment="1">
      <alignment horizontal="center" vertical="center"/>
    </xf>
    <xf numFmtId="0" fontId="26" fillId="3" borderId="0" xfId="0" applyFont="1" applyFill="1" applyAlignment="1">
      <alignment horizontal="center" vertical="center"/>
    </xf>
    <xf numFmtId="0" fontId="25" fillId="0" borderId="0" xfId="0" applyFont="1" applyAlignment="1">
      <alignment vertical="center"/>
    </xf>
    <xf numFmtId="0" fontId="5" fillId="16" borderId="0" xfId="0" applyFont="1" applyFill="1" applyAlignment="1">
      <alignment vertical="center" wrapText="1"/>
    </xf>
    <xf numFmtId="0" fontId="0" fillId="20" borderId="0" xfId="0" applyFill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20" borderId="0" xfId="0" applyNumberFormat="1" applyFill="1" applyAlignment="1">
      <alignment horizontal="center" vertical="center"/>
    </xf>
    <xf numFmtId="2" fontId="0" fillId="3" borderId="0" xfId="0" applyNumberForma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0" fontId="27" fillId="0" borderId="0" xfId="0" applyFont="1" applyAlignment="1">
      <alignment horizontal="right" vertical="center"/>
    </xf>
    <xf numFmtId="44" fontId="0" fillId="0" borderId="0" xfId="2" applyFont="1" applyAlignment="1">
      <alignment horizontal="center" vertical="center"/>
    </xf>
    <xf numFmtId="44" fontId="0" fillId="3" borderId="0" xfId="2" applyFont="1" applyFill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15" borderId="33" xfId="0" applyFill="1" applyBorder="1" applyAlignment="1" applyProtection="1">
      <alignment horizontal="center" vertical="center"/>
      <protection locked="0"/>
    </xf>
    <xf numFmtId="0" fontId="0" fillId="3" borderId="33" xfId="0" applyFill="1" applyBorder="1" applyAlignment="1" applyProtection="1">
      <alignment horizontal="center" vertical="center"/>
      <protection locked="0"/>
    </xf>
    <xf numFmtId="0" fontId="0" fillId="15" borderId="6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170" fontId="0" fillId="0" borderId="34" xfId="0" applyNumberFormat="1" applyBorder="1" applyAlignment="1">
      <alignment horizontal="center" vertical="center"/>
    </xf>
    <xf numFmtId="170" fontId="0" fillId="3" borderId="34" xfId="0" applyNumberFormat="1" applyFill="1" applyBorder="1" applyAlignment="1">
      <alignment horizontal="center" vertical="center"/>
    </xf>
    <xf numFmtId="2" fontId="0" fillId="0" borderId="35" xfId="0" applyNumberFormat="1" applyBorder="1" applyAlignment="1">
      <alignment horizontal="center" vertical="center"/>
    </xf>
    <xf numFmtId="0" fontId="28" fillId="0" borderId="0" xfId="0" applyFont="1" applyAlignment="1">
      <alignment vertical="center"/>
    </xf>
    <xf numFmtId="0" fontId="0" fillId="14" borderId="16" xfId="0" applyFill="1" applyBorder="1" applyAlignment="1">
      <alignment horizontal="center" vertical="center"/>
    </xf>
    <xf numFmtId="170" fontId="19" fillId="0" borderId="32" xfId="0" applyNumberFormat="1" applyFont="1" applyBorder="1" applyAlignment="1">
      <alignment horizontal="center" vertical="center"/>
    </xf>
    <xf numFmtId="170" fontId="19" fillId="3" borderId="32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2" fontId="0" fillId="14" borderId="32" xfId="0" applyNumberFormat="1" applyFill="1" applyBorder="1" applyAlignment="1">
      <alignment horizontal="center" vertical="center"/>
    </xf>
    <xf numFmtId="2" fontId="0" fillId="3" borderId="32" xfId="0" applyNumberFormat="1" applyFill="1" applyBorder="1" applyAlignment="1">
      <alignment horizontal="center" vertical="center"/>
    </xf>
    <xf numFmtId="2" fontId="0" fillId="14" borderId="8" xfId="0" applyNumberFormat="1" applyFill="1" applyBorder="1" applyAlignment="1">
      <alignment horizontal="center" vertical="center"/>
    </xf>
    <xf numFmtId="2" fontId="0" fillId="14" borderId="36" xfId="0" applyNumberFormat="1" applyFill="1" applyBorder="1" applyAlignment="1">
      <alignment horizontal="center" vertical="center"/>
    </xf>
    <xf numFmtId="0" fontId="8" fillId="15" borderId="0" xfId="0" applyFont="1" applyFill="1" applyAlignment="1">
      <alignment vertical="center"/>
    </xf>
    <xf numFmtId="174" fontId="0" fillId="15" borderId="0" xfId="0" applyNumberFormat="1" applyFill="1" applyAlignment="1">
      <alignment horizontal="center" vertical="center"/>
    </xf>
    <xf numFmtId="174" fontId="0" fillId="3" borderId="0" xfId="0" applyNumberFormat="1" applyFill="1" applyAlignment="1">
      <alignment horizontal="center" vertical="center"/>
    </xf>
    <xf numFmtId="0" fontId="8" fillId="3" borderId="1" xfId="0" applyFont="1" applyFill="1" applyBorder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22" xfId="0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175" fontId="0" fillId="3" borderId="23" xfId="3" applyNumberFormat="1" applyFon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171" fontId="0" fillId="3" borderId="23" xfId="0" applyNumberFormat="1" applyFill="1" applyBorder="1" applyAlignment="1">
      <alignment horizontal="center" vertical="center"/>
    </xf>
    <xf numFmtId="0" fontId="0" fillId="3" borderId="26" xfId="0" applyFill="1" applyBorder="1" applyAlignment="1">
      <alignment vertical="center"/>
    </xf>
    <xf numFmtId="0" fontId="0" fillId="3" borderId="27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21" borderId="0" xfId="0" applyFont="1" applyFill="1" applyBorder="1" applyAlignment="1">
      <alignment horizontal="center" vertical="center" wrapText="1"/>
    </xf>
    <xf numFmtId="0" fontId="11" fillId="21" borderId="0" xfId="0" applyFont="1" applyFill="1" applyBorder="1" applyAlignment="1">
      <alignment vertical="center"/>
    </xf>
    <xf numFmtId="0" fontId="11" fillId="21" borderId="0" xfId="0" applyFont="1" applyFill="1" applyBorder="1" applyAlignment="1">
      <alignment vertical="center" wrapText="1"/>
    </xf>
    <xf numFmtId="0" fontId="0" fillId="22" borderId="0" xfId="0" applyFont="1" applyFill="1" applyBorder="1" applyAlignment="1">
      <alignment horizontal="center" vertical="center" wrapText="1"/>
    </xf>
    <xf numFmtId="0" fontId="11" fillId="22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11" fillId="22" borderId="0" xfId="0" applyFont="1" applyFill="1" applyBorder="1" applyAlignment="1">
      <alignment vertical="center" wrapText="1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30"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.0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1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numFmt numFmtId="2" formatCode="0.00"/>
    </dxf>
    <dxf>
      <numFmt numFmtId="2" formatCode="0.0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-PROD%20C-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_Cmde"/>
      <sheetName val="Entête_Cmde"/>
      <sheetName val="Base"/>
      <sheetName val="Zone 6"/>
      <sheetName val="Zone 1"/>
      <sheetName val="Zone 2"/>
      <sheetName val="Zone 3"/>
      <sheetName val="Zone 4"/>
      <sheetName val="Planning U3 bis"/>
      <sheetName val="Zone 5"/>
      <sheetName val="Zone 7"/>
      <sheetName val="Feuil1"/>
      <sheetName val="Feuil2"/>
      <sheetName val="Planing Cugand"/>
    </sheetNames>
    <sheetDataSet>
      <sheetData sheetId="0"/>
      <sheetData sheetId="1"/>
      <sheetData sheetId="2">
        <row r="126">
          <cell r="J126">
            <v>3.01</v>
          </cell>
          <cell r="AA126">
            <v>0.33</v>
          </cell>
        </row>
      </sheetData>
      <sheetData sheetId="3"/>
      <sheetData sheetId="4">
        <row r="3">
          <cell r="O3">
            <v>42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1" name="Tableau1" displayName="Tableau1" ref="A1:O101" totalsRowShown="0" headerRowDxfId="29">
  <autoFilter ref="A1:O101"/>
  <sortState ref="A2:O98">
    <sortCondition ref="A1:A98"/>
  </sortState>
  <tableColumns count="15">
    <tableColumn id="1" name="Référence"/>
    <tableColumn id="2" name="Désignation "/>
    <tableColumn id="3" name="Prime "/>
    <tableColumn id="4" name="Poids net" dataDxfId="28"/>
    <tableColumn id="5" name="poid brut " dataDxfId="27">
      <calculatedColumnFormula>VLOOKUP(A2,pdsbrut,3,FALSE)</calculatedColumnFormula>
    </tableColumn>
    <tableColumn id="6" name="% perte" dataDxfId="26" dataCellStyle="Pourcentage">
      <calculatedColumnFormula>1-Tableau1[[#This Row],[Poids net]]/Tableau1[[#This Row],[poid brut ]]</calculatedColumnFormula>
    </tableColumn>
    <tableColumn id="7" name="Nb pièce / moule " dataDxfId="25"/>
    <tableColumn id="8" name="Temps de cuisson (min)" dataDxfId="24">
      <calculatedColumnFormula>recher</calculatedColumnFormula>
    </tableColumn>
    <tableColumn id="9" name="nombre de moule dispo " dataDxfId="23"/>
    <tableColumn id="10" name="A demeure / superposé " dataDxfId="22"/>
    <tableColumn id="12" name="Emporte Pièce " dataDxfId="21"/>
    <tableColumn id="11" name="Temps presse ouverte " dataDxfId="20">
      <calculatedColumnFormula>VLOOKUP(Tableau1[[#This Row],[Référence]],[1]!Tableau3[#Data],3,FALSE)</calculatedColumnFormula>
    </tableColumn>
    <tableColumn id="15" name="Temps ébarbage "/>
    <tableColumn id="13" name="productivité / jour"/>
    <tableColumn id="14" name="Cadence théorique" dataDxfId="19">
      <calculatedColumnFormula>ROUNDUP(22.5*60/Tableau1[[#This Row],[Temps de cuisson (min)]]*Tableau1[[#This Row],[nombre de moule dispo ]]*0.85,0)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U1:Z89" totalsRowShown="0" headerRowDxfId="18">
  <autoFilter ref="U1:Z89"/>
  <tableColumns count="6">
    <tableColumn id="1" name="Code Art. PFI     "/>
    <tableColumn id="2" name="Designation                   "/>
    <tableColumn id="3" name="Temps        "/>
    <tableColumn id="4" name="U "/>
    <tableColumn id="5" name="Empla   "/>
    <tableColumn id="6" name="Sec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Q1:S90" totalsRowShown="0" headerRowDxfId="17">
  <autoFilter ref="Q1:S90"/>
  <tableColumns count="3">
    <tableColumn id="1" name="Code A" dataDxfId="16"/>
    <tableColumn id="2" name="Designation" dataDxfId="15"/>
    <tableColumn id="3" name="POIDS Brut " dataDxfId="1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B1:AB12" totalsRowShown="0" headerRowDxfId="13">
  <autoFilter ref="AB1:AB12"/>
  <sortState ref="AB2:AB11">
    <sortCondition ref="AB1:AB11"/>
  </sortState>
  <tableColumns count="1">
    <tableColumn id="1" name="opérateur mouleur 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7" displayName="Tableau7" ref="A104:AO205" totalsRowShown="0" headerRowDxfId="12">
  <autoFilter ref="A104:AO205"/>
  <tableColumns count="41">
    <tableColumn id="1" name="*" dataDxfId="11"/>
    <tableColumn id="2" name="ù" dataDxfId="10"/>
    <tableColumn id="3" name="Colonne1" dataDxfId="9"/>
    <tableColumn id="4" name="Colonne2" dataDxfId="8" dataCellStyle="Milliers"/>
    <tableColumn id="5" name="Colonne3" dataDxfId="7" dataCellStyle="Milliers"/>
    <tableColumn id="6" name="gomme" dataDxfId="6"/>
    <tableColumn id="7" name="AUGES 7 L." dataDxfId="5"/>
    <tableColumn id="8" name="AUGES 8 L."/>
    <tableColumn id="9" name="AUGES 8 L. GAVETA" dataDxfId="4"/>
    <tableColumn id="10" name="AUGES 10 L." dataDxfId="3"/>
    <tableColumn id="11" name="AUGES 12 L. GAVETA"/>
    <tableColumn id="12" name="AUGES 15 L. GAVETA"/>
    <tableColumn id="13" name="AUGES 18 L CARBONERA"/>
    <tableColumn id="14" name="AUGES 20 L."/>
    <tableColumn id="15" name="AUGES 30 L."/>
    <tableColumn id="16" name="AUGES 30 L CARBONERA"/>
    <tableColumn id="17" name="AUGES 11 L. ESPUERTA" dataDxfId="2"/>
    <tableColumn id="18" name="AUGES 20 L. ESPUERTA"/>
    <tableColumn id="19" name="AUGES 40 L."/>
    <tableColumn id="20" name="BACS 50 L."/>
    <tableColumn id="21" name="POUBELLES 75 L. ALL"/>
    <tableColumn id="22" name="POUBELLES 75 L. TC"/>
    <tableColumn id="23" name="POUBELLES 75 L. Fortes"/>
    <tableColumn id="24" name="POUBELLES 105 L."/>
    <tableColumn id="25" name="COUVERCLES 75 L."/>
    <tableColumn id="26" name="BANDES 5 CM"/>
    <tableColumn id="27" name="FONDS  DE  SEAUX_x000a_0,165kg"/>
    <tableColumn id="28" name="FONDS DE CARBONERA"/>
    <tableColumn id="29" name="FONDS DE POUBELLES"/>
    <tableColumn id="30" name="PIEDS BALISES"/>
    <tableColumn id="31" name="PIEDS POTEAUX"/>
    <tableColumn id="32" name="Colonne4"/>
    <tableColumn id="33" name="SEAUX 10 L."/>
    <tableColumn id="34" name="SEAUX 12 L."/>
    <tableColumn id="35" name="SEAUX 12 L. Allégés"/>
    <tableColumn id="36" name="SEAUX 17 L."/>
    <tableColumn id="37" name="CALES"/>
    <tableColumn id="38" name="DIABOLOS"/>
    <tableColumn id="39" name="Colonne5"/>
    <tableColumn id="40" name="EPDM _x000a_gabarit G6407"/>
    <tableColumn id="41" name="SOUPLECHELL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B222"/>
  <sheetViews>
    <sheetView zoomScale="10" zoomScaleNormal="10" workbookViewId="0">
      <selection activeCell="CD128" sqref="CD128"/>
    </sheetView>
  </sheetViews>
  <sheetFormatPr baseColWidth="10" defaultColWidth="9.140625" defaultRowHeight="15" x14ac:dyDescent="0.25"/>
  <sheetData>
    <row r="1" spans="1:54" ht="7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/>
      <c r="Q1" s="1" t="s">
        <v>15</v>
      </c>
      <c r="R1" s="1" t="s">
        <v>16</v>
      </c>
      <c r="S1" s="1" t="s">
        <v>17</v>
      </c>
      <c r="T1" s="1"/>
      <c r="U1" s="1" t="s">
        <v>18</v>
      </c>
      <c r="V1" s="1" t="s">
        <v>19</v>
      </c>
      <c r="W1" s="1" t="s">
        <v>20</v>
      </c>
      <c r="X1" s="1" t="s">
        <v>21</v>
      </c>
      <c r="Y1" s="1" t="s">
        <v>22</v>
      </c>
      <c r="Z1" s="1" t="s">
        <v>23</v>
      </c>
      <c r="AA1" s="1"/>
      <c r="AB1" s="1" t="s">
        <v>24</v>
      </c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</row>
    <row r="2" spans="1:54" x14ac:dyDescent="0.25">
      <c r="A2" s="3">
        <v>320101</v>
      </c>
      <c r="B2" t="s">
        <v>25</v>
      </c>
      <c r="C2" s="4">
        <v>0.09</v>
      </c>
      <c r="D2" s="5">
        <v>2</v>
      </c>
      <c r="E2" s="5">
        <f t="shared" ref="E2:E27" si="0">VLOOKUP(A2,pdsbrut,3,FALSE)</f>
        <v>2.2999999999999998</v>
      </c>
      <c r="F2" s="6">
        <f>1-Tableau1[[#This Row],[Poids net]]/Tableau1[[#This Row],[poid brut ]]</f>
        <v>0.13043478260869557</v>
      </c>
      <c r="G2" s="7">
        <v>1</v>
      </c>
      <c r="H2" s="7">
        <v>10</v>
      </c>
      <c r="I2" s="8">
        <v>2</v>
      </c>
      <c r="J2" s="7"/>
      <c r="K2" s="7"/>
      <c r="L2">
        <v>2</v>
      </c>
      <c r="M2">
        <v>1</v>
      </c>
      <c r="N2">
        <v>60</v>
      </c>
      <c r="O2">
        <f>ROUNDUP(22.5*60/Tableau1[[#This Row],[Temps de cuisson (min)]]*Tableau1[[#This Row],[nombre de moule dispo ]]*0.85,0)</f>
        <v>230</v>
      </c>
      <c r="Q2" s="7">
        <v>320101</v>
      </c>
      <c r="R2" t="s">
        <v>26</v>
      </c>
      <c r="S2">
        <v>2.2999999999999998</v>
      </c>
      <c r="U2">
        <v>3201010</v>
      </c>
      <c r="V2" t="s">
        <v>27</v>
      </c>
      <c r="W2">
        <v>2.2999999999999998</v>
      </c>
      <c r="X2" t="s">
        <v>28</v>
      </c>
      <c r="Y2" t="s">
        <v>29</v>
      </c>
      <c r="Z2">
        <v>101</v>
      </c>
      <c r="AB2" t="s">
        <v>30</v>
      </c>
    </row>
    <row r="3" spans="1:54" x14ac:dyDescent="0.25">
      <c r="A3" s="3">
        <v>320102</v>
      </c>
      <c r="B3" t="s">
        <v>31</v>
      </c>
      <c r="C3" s="4">
        <v>0.09</v>
      </c>
      <c r="D3" s="5">
        <v>2</v>
      </c>
      <c r="E3" s="5">
        <f t="shared" si="0"/>
        <v>2.2999999999999998</v>
      </c>
      <c r="F3" s="6">
        <f>1-Tableau1[[#This Row],[Poids net]]/Tableau1[[#This Row],[poid brut ]]</f>
        <v>0.13043478260869557</v>
      </c>
      <c r="G3" s="7">
        <v>1</v>
      </c>
      <c r="H3" s="7">
        <v>7</v>
      </c>
      <c r="I3" s="8">
        <v>3</v>
      </c>
      <c r="J3" s="7"/>
      <c r="K3" s="7"/>
      <c r="L3">
        <v>2</v>
      </c>
      <c r="M3">
        <v>1</v>
      </c>
      <c r="O3">
        <f>ROUNDUP(22.5*60/Tableau1[[#This Row],[Temps de cuisson (min)]]*Tableau1[[#This Row],[nombre de moule dispo ]]*0.85,0)</f>
        <v>492</v>
      </c>
      <c r="Q3" s="7">
        <v>320102</v>
      </c>
      <c r="R3" t="s">
        <v>32</v>
      </c>
      <c r="S3">
        <v>2.2999999999999998</v>
      </c>
      <c r="U3">
        <v>3201020</v>
      </c>
      <c r="V3" t="s">
        <v>33</v>
      </c>
      <c r="W3">
        <v>2.2999999999999998</v>
      </c>
      <c r="X3" t="s">
        <v>28</v>
      </c>
      <c r="Y3" t="s">
        <v>29</v>
      </c>
      <c r="Z3">
        <v>101</v>
      </c>
      <c r="AB3" t="s">
        <v>34</v>
      </c>
    </row>
    <row r="4" spans="1:54" x14ac:dyDescent="0.25">
      <c r="A4" s="3">
        <v>320103</v>
      </c>
      <c r="B4" t="s">
        <v>35</v>
      </c>
      <c r="C4" s="4">
        <v>0.09</v>
      </c>
      <c r="D4" s="5">
        <v>1.3</v>
      </c>
      <c r="E4" s="5">
        <f t="shared" si="0"/>
        <v>1.5</v>
      </c>
      <c r="F4" s="6">
        <f>1-Tableau1[[#This Row],[Poids net]]/Tableau1[[#This Row],[poid brut ]]</f>
        <v>0.1333333333333333</v>
      </c>
      <c r="G4" s="7">
        <v>1</v>
      </c>
      <c r="H4" s="7">
        <v>6</v>
      </c>
      <c r="I4" s="8">
        <v>8</v>
      </c>
      <c r="J4" s="7"/>
      <c r="K4" s="7"/>
      <c r="L4">
        <f>VLOOKUP(Tableau1[[#This Row],[Référence]],Tableau3[],3,FALSE)</f>
        <v>1.5</v>
      </c>
      <c r="M4">
        <v>0.5</v>
      </c>
      <c r="N4">
        <v>300</v>
      </c>
      <c r="O4">
        <f>ROUNDUP(22.5*60/Tableau1[[#This Row],[Temps de cuisson (min)]]*Tableau1[[#This Row],[nombre de moule dispo ]]*0.85,0)</f>
        <v>1530</v>
      </c>
      <c r="Q4" s="7">
        <v>320103</v>
      </c>
      <c r="R4" t="s">
        <v>36</v>
      </c>
      <c r="S4">
        <v>1.5</v>
      </c>
      <c r="U4">
        <v>3201080</v>
      </c>
      <c r="V4" t="s">
        <v>37</v>
      </c>
      <c r="W4">
        <v>1.9</v>
      </c>
      <c r="X4" t="s">
        <v>28</v>
      </c>
      <c r="Y4" t="s">
        <v>29</v>
      </c>
      <c r="Z4">
        <v>101</v>
      </c>
      <c r="AB4" t="s">
        <v>38</v>
      </c>
    </row>
    <row r="5" spans="1:54" x14ac:dyDescent="0.25">
      <c r="A5" s="3">
        <v>320108</v>
      </c>
      <c r="B5" t="s">
        <v>39</v>
      </c>
      <c r="C5" s="4">
        <v>0.1</v>
      </c>
      <c r="D5" s="5">
        <v>1.65</v>
      </c>
      <c r="E5" s="5">
        <f t="shared" si="0"/>
        <v>1.9</v>
      </c>
      <c r="F5" s="6">
        <f>1-Tableau1[[#This Row],[Poids net]]/Tableau1[[#This Row],[poid brut ]]</f>
        <v>0.13157894736842102</v>
      </c>
      <c r="G5" s="7">
        <v>1</v>
      </c>
      <c r="H5" s="7">
        <v>7</v>
      </c>
      <c r="I5" s="8">
        <v>2</v>
      </c>
      <c r="J5" s="7"/>
      <c r="K5" s="7"/>
      <c r="L5">
        <v>1.5</v>
      </c>
      <c r="M5">
        <v>1</v>
      </c>
      <c r="O5">
        <f>ROUNDUP(22.5*60/Tableau1[[#This Row],[Temps de cuisson (min)]]*Tableau1[[#This Row],[nombre de moule dispo ]]*0.85,0)</f>
        <v>328</v>
      </c>
      <c r="Q5" s="7">
        <v>320108</v>
      </c>
      <c r="R5" t="s">
        <v>40</v>
      </c>
      <c r="S5">
        <v>1.9</v>
      </c>
      <c r="U5">
        <v>3201110</v>
      </c>
      <c r="V5" t="s">
        <v>41</v>
      </c>
      <c r="W5">
        <v>2.7458999999999998</v>
      </c>
      <c r="X5" t="s">
        <v>28</v>
      </c>
      <c r="Y5" t="s">
        <v>29</v>
      </c>
      <c r="Z5">
        <v>101</v>
      </c>
      <c r="AB5" t="s">
        <v>42</v>
      </c>
    </row>
    <row r="6" spans="1:54" x14ac:dyDescent="0.25">
      <c r="A6" s="3">
        <v>320109</v>
      </c>
      <c r="B6" t="s">
        <v>43</v>
      </c>
      <c r="C6" s="4">
        <v>0.1</v>
      </c>
      <c r="D6" s="5">
        <v>1.8</v>
      </c>
      <c r="E6" s="5">
        <f t="shared" si="0"/>
        <v>2.0699999999999998</v>
      </c>
      <c r="F6" s="6">
        <f>1-Tableau1[[#This Row],[Poids net]]/Tableau1[[#This Row],[poid brut ]]</f>
        <v>0.13043478260869557</v>
      </c>
      <c r="G6" s="7">
        <v>1</v>
      </c>
      <c r="H6" s="7">
        <v>10</v>
      </c>
      <c r="I6" s="8">
        <v>2</v>
      </c>
      <c r="J6" s="7"/>
      <c r="K6" s="7"/>
      <c r="L6">
        <v>2</v>
      </c>
      <c r="M6">
        <v>1</v>
      </c>
      <c r="O6">
        <f>ROUNDUP(22.5*60/Tableau1[[#This Row],[Temps de cuisson (min)]]*Tableau1[[#This Row],[nombre de moule dispo ]]*0.85,0)</f>
        <v>230</v>
      </c>
      <c r="Q6" s="7">
        <v>320109</v>
      </c>
      <c r="R6" t="s">
        <v>44</v>
      </c>
      <c r="S6">
        <v>2.0699999999999998</v>
      </c>
      <c r="U6">
        <v>3201120</v>
      </c>
      <c r="V6" t="s">
        <v>41</v>
      </c>
      <c r="W6">
        <v>2.7458999999999998</v>
      </c>
      <c r="X6" t="s">
        <v>28</v>
      </c>
      <c r="Y6" t="s">
        <v>29</v>
      </c>
      <c r="Z6">
        <v>101</v>
      </c>
      <c r="AB6" t="s">
        <v>45</v>
      </c>
    </row>
    <row r="7" spans="1:54" x14ac:dyDescent="0.25">
      <c r="A7" s="3">
        <v>320111</v>
      </c>
      <c r="B7" t="s">
        <v>46</v>
      </c>
      <c r="C7" s="4">
        <v>0.1</v>
      </c>
      <c r="D7" s="5">
        <v>2.0499999999999998</v>
      </c>
      <c r="E7" s="5">
        <f t="shared" si="0"/>
        <v>2.7458999999999998</v>
      </c>
      <c r="F7" s="6">
        <f>1-Tableau1[[#This Row],[Poids net]]/Tableau1[[#This Row],[poid brut ]]</f>
        <v>0.25343239010888963</v>
      </c>
      <c r="G7" s="7">
        <v>1</v>
      </c>
      <c r="H7" s="7">
        <v>10</v>
      </c>
      <c r="I7" s="8">
        <v>1</v>
      </c>
      <c r="J7" s="7"/>
      <c r="K7" s="7"/>
      <c r="L7">
        <v>2</v>
      </c>
      <c r="M7">
        <v>1</v>
      </c>
      <c r="O7">
        <f>ROUNDUP(22.5*60/Tableau1[[#This Row],[Temps de cuisson (min)]]*Tableau1[[#This Row],[nombre de moule dispo ]]*0.85,0)</f>
        <v>115</v>
      </c>
      <c r="Q7" s="7">
        <v>320111</v>
      </c>
      <c r="R7" t="s">
        <v>47</v>
      </c>
      <c r="S7">
        <v>2.7458999999999998</v>
      </c>
      <c r="U7">
        <v>3201680</v>
      </c>
      <c r="V7" t="s">
        <v>37</v>
      </c>
      <c r="W7">
        <v>1.9</v>
      </c>
      <c r="X7" t="s">
        <v>28</v>
      </c>
      <c r="Y7" t="s">
        <v>29</v>
      </c>
      <c r="Z7">
        <v>101</v>
      </c>
      <c r="AB7" t="s">
        <v>48</v>
      </c>
    </row>
    <row r="8" spans="1:54" x14ac:dyDescent="0.25">
      <c r="A8" s="3">
        <v>320163</v>
      </c>
      <c r="B8" t="s">
        <v>49</v>
      </c>
      <c r="C8" s="4">
        <v>0.09</v>
      </c>
      <c r="D8" s="5">
        <v>1.3</v>
      </c>
      <c r="E8" s="5">
        <f t="shared" si="0"/>
        <v>1.5</v>
      </c>
      <c r="F8" s="6">
        <f>1-Tableau1[[#This Row],[Poids net]]/Tableau1[[#This Row],[poid brut ]]</f>
        <v>0.1333333333333333</v>
      </c>
      <c r="G8" s="7">
        <v>1</v>
      </c>
      <c r="H8" s="7">
        <v>10</v>
      </c>
      <c r="I8" s="8">
        <v>8</v>
      </c>
      <c r="J8" s="7"/>
      <c r="K8" s="7"/>
      <c r="L8">
        <f>VLOOKUP(Tableau1[[#This Row],[Référence]],Tableau3[],3,FALSE)</f>
        <v>1.5</v>
      </c>
      <c r="M8">
        <v>0.5</v>
      </c>
      <c r="O8">
        <f>ROUNDUP(22.5*60/Tableau1[[#This Row],[Temps de cuisson (min)]]*Tableau1[[#This Row],[nombre de moule dispo ]]*0.85,0)</f>
        <v>918</v>
      </c>
      <c r="Q8" s="7">
        <v>320112</v>
      </c>
      <c r="R8" t="s">
        <v>50</v>
      </c>
      <c r="S8">
        <v>2.7458999999999998</v>
      </c>
      <c r="U8">
        <v>3202010</v>
      </c>
      <c r="V8" t="s">
        <v>51</v>
      </c>
      <c r="W8">
        <v>1.7250000000000001</v>
      </c>
      <c r="X8" t="s">
        <v>28</v>
      </c>
      <c r="Y8" t="s">
        <v>29</v>
      </c>
      <c r="Z8">
        <v>101</v>
      </c>
      <c r="AB8" t="s">
        <v>52</v>
      </c>
    </row>
    <row r="9" spans="1:54" x14ac:dyDescent="0.25">
      <c r="A9" s="3">
        <v>320168</v>
      </c>
      <c r="B9" t="s">
        <v>53</v>
      </c>
      <c r="C9" s="4">
        <v>0.1</v>
      </c>
      <c r="D9" s="5">
        <v>1.65</v>
      </c>
      <c r="E9" s="5">
        <f t="shared" si="0"/>
        <v>1.9</v>
      </c>
      <c r="F9" s="6">
        <f>1-Tableau1[[#This Row],[Poids net]]/Tableau1[[#This Row],[poid brut ]]</f>
        <v>0.13157894736842102</v>
      </c>
      <c r="G9" s="7">
        <v>1</v>
      </c>
      <c r="H9" s="7">
        <v>15</v>
      </c>
      <c r="I9" s="8">
        <v>2</v>
      </c>
      <c r="J9" s="7"/>
      <c r="K9" s="7"/>
      <c r="L9">
        <v>2</v>
      </c>
      <c r="M9">
        <v>1</v>
      </c>
      <c r="O9">
        <f>ROUNDUP(22.5*60/Tableau1[[#This Row],[Temps de cuisson (min)]]*Tableau1[[#This Row],[nombre de moule dispo ]]*0.85,0)</f>
        <v>153</v>
      </c>
      <c r="Q9" s="7">
        <v>320163</v>
      </c>
      <c r="R9" t="s">
        <v>54</v>
      </c>
      <c r="S9">
        <v>1.5</v>
      </c>
      <c r="U9">
        <v>3202020</v>
      </c>
      <c r="V9" t="s">
        <v>55</v>
      </c>
      <c r="W9">
        <v>2.2999999999999998</v>
      </c>
      <c r="X9" t="s">
        <v>28</v>
      </c>
      <c r="Y9" t="s">
        <v>29</v>
      </c>
      <c r="Z9">
        <v>101</v>
      </c>
      <c r="AB9" t="s">
        <v>56</v>
      </c>
    </row>
    <row r="10" spans="1:54" x14ac:dyDescent="0.25">
      <c r="A10" s="3">
        <v>320169</v>
      </c>
      <c r="B10" t="s">
        <v>57</v>
      </c>
      <c r="C10" s="4">
        <v>0.1</v>
      </c>
      <c r="D10" s="5">
        <v>1.8</v>
      </c>
      <c r="E10" s="5">
        <f t="shared" si="0"/>
        <v>2.0699999999999998</v>
      </c>
      <c r="F10" s="6">
        <f>1-Tableau1[[#This Row],[Poids net]]/Tableau1[[#This Row],[poid brut ]]</f>
        <v>0.13043478260869557</v>
      </c>
      <c r="G10" s="7">
        <v>1</v>
      </c>
      <c r="H10" s="7">
        <v>15</v>
      </c>
      <c r="I10" s="8">
        <v>2</v>
      </c>
      <c r="J10" s="7"/>
      <c r="K10" s="7"/>
      <c r="L10">
        <v>2</v>
      </c>
      <c r="M10">
        <v>1</v>
      </c>
      <c r="O10">
        <f>ROUNDUP(22.5*60/Tableau1[[#This Row],[Temps de cuisson (min)]]*Tableau1[[#This Row],[nombre de moule dispo ]]*0.85,0)</f>
        <v>153</v>
      </c>
      <c r="Q10" s="7">
        <v>320168</v>
      </c>
      <c r="R10" t="s">
        <v>58</v>
      </c>
      <c r="S10">
        <v>1.9</v>
      </c>
      <c r="U10">
        <v>3202030</v>
      </c>
      <c r="V10" t="s">
        <v>59</v>
      </c>
      <c r="W10">
        <v>3.45</v>
      </c>
      <c r="X10" t="s">
        <v>28</v>
      </c>
      <c r="Y10" t="s">
        <v>29</v>
      </c>
      <c r="Z10">
        <v>101</v>
      </c>
      <c r="AB10" t="s">
        <v>60</v>
      </c>
    </row>
    <row r="11" spans="1:54" x14ac:dyDescent="0.25">
      <c r="A11" s="3">
        <v>320201</v>
      </c>
      <c r="B11" t="s">
        <v>61</v>
      </c>
      <c r="C11" s="4">
        <v>0.09</v>
      </c>
      <c r="D11" s="5">
        <v>1.5</v>
      </c>
      <c r="E11" s="5">
        <f t="shared" si="0"/>
        <v>1.7250000000000001</v>
      </c>
      <c r="F11" s="6">
        <f>1-Tableau1[[#This Row],[Poids net]]/Tableau1[[#This Row],[poid brut ]]</f>
        <v>0.13043478260869568</v>
      </c>
      <c r="G11" s="7">
        <v>2</v>
      </c>
      <c r="H11" s="7">
        <v>15</v>
      </c>
      <c r="I11" s="8">
        <v>1</v>
      </c>
      <c r="J11" s="7" t="s">
        <v>62</v>
      </c>
      <c r="K11" s="7"/>
      <c r="L11">
        <v>3</v>
      </c>
      <c r="M11">
        <v>1.5</v>
      </c>
      <c r="O11">
        <f>ROUNDUP(22.5*60/Tableau1[[#This Row],[Temps de cuisson (min)]]*Tableau1[[#This Row],[nombre de moule dispo ]]*0.85,0)</f>
        <v>77</v>
      </c>
      <c r="Q11" s="7">
        <v>320169</v>
      </c>
      <c r="R11" t="s">
        <v>63</v>
      </c>
      <c r="S11">
        <v>2.0699999999999998</v>
      </c>
      <c r="U11">
        <v>3202040</v>
      </c>
      <c r="V11" t="s">
        <v>64</v>
      </c>
      <c r="W11">
        <v>4.5999999999999996</v>
      </c>
      <c r="X11" t="s">
        <v>28</v>
      </c>
      <c r="Y11" t="s">
        <v>29</v>
      </c>
      <c r="Z11">
        <v>101</v>
      </c>
      <c r="AB11" t="s">
        <v>65</v>
      </c>
    </row>
    <row r="12" spans="1:54" x14ac:dyDescent="0.25">
      <c r="A12" s="3">
        <v>320202</v>
      </c>
      <c r="B12" t="s">
        <v>66</v>
      </c>
      <c r="C12" s="4">
        <v>0.09</v>
      </c>
      <c r="D12" s="5">
        <v>2</v>
      </c>
      <c r="E12" s="5">
        <f t="shared" si="0"/>
        <v>2.2999999999999998</v>
      </c>
      <c r="F12" s="6">
        <f>1-Tableau1[[#This Row],[Poids net]]/Tableau1[[#This Row],[poid brut ]]</f>
        <v>0.13043478260869557</v>
      </c>
      <c r="G12" s="7">
        <v>2</v>
      </c>
      <c r="H12" s="7">
        <v>18</v>
      </c>
      <c r="I12" s="8">
        <v>1</v>
      </c>
      <c r="J12" s="7" t="s">
        <v>62</v>
      </c>
      <c r="K12" s="7"/>
      <c r="L12">
        <v>3</v>
      </c>
      <c r="M12">
        <v>1.5</v>
      </c>
      <c r="O12">
        <f>ROUNDUP(22.5*60/Tableau1[[#This Row],[Temps de cuisson (min)]]*Tableau1[[#This Row],[nombre de moule dispo ]]*0.85,0)</f>
        <v>64</v>
      </c>
      <c r="Q12" s="7">
        <v>320201</v>
      </c>
      <c r="R12" t="s">
        <v>67</v>
      </c>
      <c r="S12">
        <v>1.7250000000000001</v>
      </c>
      <c r="U12">
        <v>3202050</v>
      </c>
      <c r="V12" t="s">
        <v>68</v>
      </c>
      <c r="W12">
        <v>7.4749999999999996</v>
      </c>
      <c r="X12" t="s">
        <v>28</v>
      </c>
      <c r="Y12" t="s">
        <v>29</v>
      </c>
      <c r="Z12">
        <v>101</v>
      </c>
      <c r="AB12" t="s">
        <v>69</v>
      </c>
    </row>
    <row r="13" spans="1:54" x14ac:dyDescent="0.25">
      <c r="A13" s="3">
        <v>320203</v>
      </c>
      <c r="B13" t="s">
        <v>70</v>
      </c>
      <c r="C13" s="4">
        <v>0.09</v>
      </c>
      <c r="D13" s="5">
        <v>3</v>
      </c>
      <c r="E13" s="5">
        <f t="shared" si="0"/>
        <v>3.45</v>
      </c>
      <c r="F13" s="6">
        <f>1-Tableau1[[#This Row],[Poids net]]/Tableau1[[#This Row],[poid brut ]]</f>
        <v>0.13043478260869568</v>
      </c>
      <c r="G13" s="7">
        <v>2</v>
      </c>
      <c r="H13" s="7">
        <v>20</v>
      </c>
      <c r="I13" s="8">
        <v>2</v>
      </c>
      <c r="J13" s="7" t="s">
        <v>62</v>
      </c>
      <c r="K13" s="7"/>
      <c r="L13">
        <v>2.5</v>
      </c>
      <c r="M13">
        <v>1.5</v>
      </c>
      <c r="O13">
        <f>ROUNDUP(22.5*60/Tableau1[[#This Row],[Temps de cuisson (min)]]*Tableau1[[#This Row],[nombre de moule dispo ]]*0.85,0)</f>
        <v>115</v>
      </c>
      <c r="Q13" s="7">
        <v>320202</v>
      </c>
      <c r="R13" t="s">
        <v>71</v>
      </c>
      <c r="S13">
        <v>2.2999999999999998</v>
      </c>
      <c r="U13">
        <v>3202070</v>
      </c>
      <c r="V13" t="s">
        <v>72</v>
      </c>
      <c r="W13">
        <v>1.9550000000000001</v>
      </c>
      <c r="X13" t="s">
        <v>28</v>
      </c>
      <c r="Y13" t="s">
        <v>29</v>
      </c>
      <c r="Z13">
        <v>101</v>
      </c>
    </row>
    <row r="14" spans="1:54" x14ac:dyDescent="0.25">
      <c r="A14" s="3">
        <v>320204</v>
      </c>
      <c r="B14" t="s">
        <v>73</v>
      </c>
      <c r="C14" s="4">
        <v>0.11</v>
      </c>
      <c r="D14" s="5">
        <v>4</v>
      </c>
      <c r="E14" s="5">
        <f t="shared" si="0"/>
        <v>4.5999999999999996</v>
      </c>
      <c r="F14" s="6">
        <f>1-Tableau1[[#This Row],[Poids net]]/Tableau1[[#This Row],[poid brut ]]</f>
        <v>0.13043478260869557</v>
      </c>
      <c r="G14" s="7">
        <v>2</v>
      </c>
      <c r="H14" s="7">
        <v>20</v>
      </c>
      <c r="I14" s="8">
        <v>3</v>
      </c>
      <c r="J14" s="7" t="s">
        <v>62</v>
      </c>
      <c r="K14" s="7"/>
      <c r="L14">
        <v>2.5</v>
      </c>
      <c r="M14">
        <v>1.5</v>
      </c>
      <c r="O14">
        <f>ROUNDUP(22.5*60/Tableau1[[#This Row],[Temps de cuisson (min)]]*Tableau1[[#This Row],[nombre de moule dispo ]]*0.85,0)</f>
        <v>173</v>
      </c>
      <c r="Q14" s="7">
        <v>320203</v>
      </c>
      <c r="R14" t="s">
        <v>74</v>
      </c>
      <c r="S14">
        <v>3.45</v>
      </c>
      <c r="U14">
        <v>3202080</v>
      </c>
      <c r="V14" t="s">
        <v>75</v>
      </c>
      <c r="W14">
        <v>4.5999999999999996</v>
      </c>
      <c r="X14" t="s">
        <v>28</v>
      </c>
      <c r="Y14" t="s">
        <v>29</v>
      </c>
      <c r="Z14">
        <v>101</v>
      </c>
    </row>
    <row r="15" spans="1:54" x14ac:dyDescent="0.25">
      <c r="A15" s="3">
        <v>320205</v>
      </c>
      <c r="B15" t="s">
        <v>76</v>
      </c>
      <c r="C15" s="4">
        <v>0.14000000000000001</v>
      </c>
      <c r="D15" s="5">
        <v>6.5</v>
      </c>
      <c r="E15" s="5">
        <f t="shared" si="0"/>
        <v>7.4749999999999996</v>
      </c>
      <c r="F15" s="6">
        <f>1-Tableau1[[#This Row],[Poids net]]/Tableau1[[#This Row],[poid brut ]]</f>
        <v>0.13043478260869557</v>
      </c>
      <c r="G15" s="7">
        <v>2</v>
      </c>
      <c r="H15" s="7">
        <v>20</v>
      </c>
      <c r="I15" s="8">
        <v>4</v>
      </c>
      <c r="J15" s="7" t="s">
        <v>62</v>
      </c>
      <c r="K15" s="7"/>
      <c r="L15">
        <v>2.5</v>
      </c>
      <c r="M15">
        <v>1.5</v>
      </c>
      <c r="O15">
        <f>ROUNDUP(22.5*60/Tableau1[[#This Row],[Temps de cuisson (min)]]*Tableau1[[#This Row],[nombre de moule dispo ]]*0.85,0)</f>
        <v>230</v>
      </c>
      <c r="Q15" s="7">
        <v>320204</v>
      </c>
      <c r="R15" t="s">
        <v>77</v>
      </c>
      <c r="S15">
        <v>4.5999999999999996</v>
      </c>
      <c r="U15">
        <v>3202090</v>
      </c>
      <c r="V15" t="s">
        <v>78</v>
      </c>
      <c r="W15">
        <v>6.3250000000000002</v>
      </c>
      <c r="X15" t="s">
        <v>28</v>
      </c>
      <c r="Y15" t="s">
        <v>29</v>
      </c>
      <c r="Z15">
        <v>101</v>
      </c>
    </row>
    <row r="16" spans="1:54" x14ac:dyDescent="0.25">
      <c r="A16" s="3">
        <v>320207</v>
      </c>
      <c r="B16" t="s">
        <v>79</v>
      </c>
      <c r="C16" s="4">
        <v>0.08</v>
      </c>
      <c r="D16" s="5">
        <v>1.7</v>
      </c>
      <c r="E16" s="5">
        <f t="shared" si="0"/>
        <v>1.9550000000000001</v>
      </c>
      <c r="F16" s="6">
        <f>1-Tableau1[[#This Row],[Poids net]]/Tableau1[[#This Row],[poid brut ]]</f>
        <v>0.13043478260869568</v>
      </c>
      <c r="G16" s="7">
        <v>1</v>
      </c>
      <c r="H16" s="7">
        <v>15</v>
      </c>
      <c r="I16" s="8">
        <v>2</v>
      </c>
      <c r="J16" s="7"/>
      <c r="K16" s="7"/>
      <c r="O16">
        <f>ROUNDUP(22.5*60/Tableau1[[#This Row],[Temps de cuisson (min)]]*Tableau1[[#This Row],[nombre de moule dispo ]]*0.85,0)</f>
        <v>153</v>
      </c>
      <c r="Q16" s="7">
        <v>320205</v>
      </c>
      <c r="R16" t="s">
        <v>80</v>
      </c>
      <c r="S16">
        <v>7.4749999999999996</v>
      </c>
      <c r="U16">
        <v>3202100</v>
      </c>
      <c r="V16" t="s">
        <v>81</v>
      </c>
      <c r="W16">
        <v>6.48</v>
      </c>
      <c r="X16" t="s">
        <v>28</v>
      </c>
      <c r="Y16" t="s">
        <v>29</v>
      </c>
      <c r="Z16">
        <v>101</v>
      </c>
    </row>
    <row r="17" spans="1:26" x14ac:dyDescent="0.25">
      <c r="A17" s="3">
        <v>320208</v>
      </c>
      <c r="B17" t="s">
        <v>82</v>
      </c>
      <c r="C17" s="4">
        <v>0.11</v>
      </c>
      <c r="D17" s="5">
        <v>3.7</v>
      </c>
      <c r="E17" s="5">
        <f t="shared" si="0"/>
        <v>4.5999999999999996</v>
      </c>
      <c r="F17" s="6">
        <f>1-Tableau1[[#This Row],[Poids net]]/Tableau1[[#This Row],[poid brut ]]</f>
        <v>0.19565217391304335</v>
      </c>
      <c r="G17" s="7">
        <v>1</v>
      </c>
      <c r="H17" s="7">
        <v>20</v>
      </c>
      <c r="I17" s="8">
        <v>2</v>
      </c>
      <c r="J17" s="7"/>
      <c r="K17" s="7"/>
      <c r="O17">
        <f>ROUNDUP(22.5*60/Tableau1[[#This Row],[Temps de cuisson (min)]]*Tableau1[[#This Row],[nombre de moule dispo ]]*0.85,0)</f>
        <v>115</v>
      </c>
      <c r="Q17" s="7">
        <v>320207</v>
      </c>
      <c r="R17" t="s">
        <v>83</v>
      </c>
      <c r="S17">
        <v>1.9550000000000001</v>
      </c>
      <c r="U17">
        <v>3202110</v>
      </c>
      <c r="V17" t="s">
        <v>84</v>
      </c>
      <c r="W17">
        <v>8.0500000000000007</v>
      </c>
      <c r="X17" t="s">
        <v>28</v>
      </c>
      <c r="Y17" t="s">
        <v>29</v>
      </c>
      <c r="Z17">
        <v>101</v>
      </c>
    </row>
    <row r="18" spans="1:26" x14ac:dyDescent="0.25">
      <c r="A18" s="3">
        <v>320209</v>
      </c>
      <c r="B18" t="s">
        <v>85</v>
      </c>
      <c r="C18" s="4">
        <v>0.12</v>
      </c>
      <c r="D18" s="5">
        <v>5.5</v>
      </c>
      <c r="E18" s="5">
        <f t="shared" si="0"/>
        <v>6.3250000000000002</v>
      </c>
      <c r="F18" s="6">
        <f>1-Tableau1[[#This Row],[Poids net]]/Tableau1[[#This Row],[poid brut ]]</f>
        <v>0.13043478260869568</v>
      </c>
      <c r="G18" s="7">
        <v>1</v>
      </c>
      <c r="H18" s="7">
        <v>20</v>
      </c>
      <c r="I18" s="8">
        <v>2</v>
      </c>
      <c r="J18" s="7"/>
      <c r="K18" s="7"/>
      <c r="O18">
        <f>ROUNDUP(22.5*60/Tableau1[[#This Row],[Temps de cuisson (min)]]*Tableau1[[#This Row],[nombre de moule dispo ]]*0.85,0)</f>
        <v>115</v>
      </c>
      <c r="Q18" s="7">
        <v>320208</v>
      </c>
      <c r="R18" t="s">
        <v>86</v>
      </c>
      <c r="S18">
        <v>4.5999999999999996</v>
      </c>
      <c r="U18">
        <v>3203020</v>
      </c>
      <c r="V18" t="s">
        <v>87</v>
      </c>
      <c r="W18">
        <v>9.7750000000000004</v>
      </c>
      <c r="X18" t="s">
        <v>28</v>
      </c>
      <c r="Y18" t="s">
        <v>29</v>
      </c>
      <c r="Z18">
        <v>101</v>
      </c>
    </row>
    <row r="19" spans="1:26" x14ac:dyDescent="0.25">
      <c r="A19" s="3">
        <v>320210</v>
      </c>
      <c r="B19" t="s">
        <v>88</v>
      </c>
      <c r="C19" s="4">
        <v>0.12</v>
      </c>
      <c r="D19" s="5">
        <v>6</v>
      </c>
      <c r="E19" s="5">
        <f t="shared" si="0"/>
        <v>6.48</v>
      </c>
      <c r="F19" s="6">
        <f>1-Tableau1[[#This Row],[Poids net]]/Tableau1[[#This Row],[poid brut ]]</f>
        <v>7.4074074074074181E-2</v>
      </c>
      <c r="G19" s="7">
        <v>1</v>
      </c>
      <c r="H19" s="7">
        <v>20</v>
      </c>
      <c r="I19" s="8">
        <v>1</v>
      </c>
      <c r="J19" s="7"/>
      <c r="K19" s="7"/>
      <c r="O19">
        <f>ROUNDUP(22.5*60/Tableau1[[#This Row],[Temps de cuisson (min)]]*Tableau1[[#This Row],[nombre de moule dispo ]]*0.85,0)</f>
        <v>58</v>
      </c>
      <c r="Q19" s="7">
        <v>320209</v>
      </c>
      <c r="R19" t="s">
        <v>89</v>
      </c>
      <c r="S19">
        <v>6.3250000000000002</v>
      </c>
      <c r="U19">
        <v>3203040</v>
      </c>
      <c r="V19" t="s">
        <v>90</v>
      </c>
      <c r="W19">
        <v>6</v>
      </c>
      <c r="X19" t="s">
        <v>28</v>
      </c>
      <c r="Y19" t="s">
        <v>29</v>
      </c>
      <c r="Z19">
        <v>101</v>
      </c>
    </row>
    <row r="20" spans="1:26" x14ac:dyDescent="0.25">
      <c r="A20" s="3">
        <v>320211</v>
      </c>
      <c r="B20" t="s">
        <v>91</v>
      </c>
      <c r="C20" s="4">
        <v>0.28999999999999998</v>
      </c>
      <c r="D20" s="5">
        <v>7</v>
      </c>
      <c r="E20" s="5">
        <f t="shared" si="0"/>
        <v>8.0500000000000007</v>
      </c>
      <c r="F20" s="6">
        <f>1-Tableau1[[#This Row],[Poids net]]/Tableau1[[#This Row],[poid brut ]]</f>
        <v>0.13043478260869568</v>
      </c>
      <c r="G20" s="7">
        <v>1</v>
      </c>
      <c r="H20" s="7">
        <v>20</v>
      </c>
      <c r="I20" s="8">
        <v>1</v>
      </c>
      <c r="J20" s="7"/>
      <c r="K20" s="7"/>
      <c r="O20">
        <f>ROUNDUP(22.5*60/Tableau1[[#This Row],[Temps de cuisson (min)]]*Tableau1[[#This Row],[nombre de moule dispo ]]*0.85,0)</f>
        <v>58</v>
      </c>
      <c r="Q20" s="7">
        <v>320210</v>
      </c>
      <c r="R20" t="s">
        <v>92</v>
      </c>
      <c r="S20">
        <v>6.48</v>
      </c>
      <c r="U20">
        <v>3204010</v>
      </c>
      <c r="V20" t="s">
        <v>93</v>
      </c>
      <c r="W20">
        <v>0.46</v>
      </c>
      <c r="X20" t="s">
        <v>28</v>
      </c>
      <c r="Y20" t="s">
        <v>29</v>
      </c>
      <c r="Z20">
        <v>101</v>
      </c>
    </row>
    <row r="21" spans="1:26" x14ac:dyDescent="0.25">
      <c r="A21" s="3">
        <v>320212</v>
      </c>
      <c r="B21" t="s">
        <v>94</v>
      </c>
      <c r="C21" s="4">
        <v>0.12</v>
      </c>
      <c r="D21" s="5">
        <v>2.9</v>
      </c>
      <c r="E21" s="5">
        <f t="shared" si="0"/>
        <v>3.335</v>
      </c>
      <c r="F21" s="6">
        <f>1-Tableau1[[#This Row],[Poids net]]/Tableau1[[#This Row],[poid brut ]]</f>
        <v>0.13043478260869568</v>
      </c>
      <c r="G21" s="7">
        <v>1</v>
      </c>
      <c r="H21" s="7">
        <v>15</v>
      </c>
      <c r="I21" s="8">
        <v>1</v>
      </c>
      <c r="J21" s="7"/>
      <c r="K21" s="7"/>
      <c r="L21">
        <v>2</v>
      </c>
      <c r="M21">
        <v>2</v>
      </c>
      <c r="O21">
        <f>ROUNDUP(22.5*60/Tableau1[[#This Row],[Temps de cuisson (min)]]*Tableau1[[#This Row],[nombre de moule dispo ]]*0.85,0)</f>
        <v>77</v>
      </c>
      <c r="Q21" s="7">
        <v>320211</v>
      </c>
      <c r="R21" t="s">
        <v>95</v>
      </c>
      <c r="S21">
        <v>8.0500000000000007</v>
      </c>
      <c r="U21">
        <v>3204020</v>
      </c>
      <c r="V21" t="s">
        <v>96</v>
      </c>
      <c r="W21">
        <v>0.16</v>
      </c>
      <c r="X21" t="s">
        <v>28</v>
      </c>
      <c r="Y21" t="s">
        <v>29</v>
      </c>
      <c r="Z21">
        <v>101</v>
      </c>
    </row>
    <row r="22" spans="1:26" x14ac:dyDescent="0.25">
      <c r="A22" s="3">
        <v>320216</v>
      </c>
      <c r="B22" t="s">
        <v>97</v>
      </c>
      <c r="C22" s="4">
        <v>0.13</v>
      </c>
      <c r="D22" s="5">
        <v>2</v>
      </c>
      <c r="E22" s="5">
        <f t="shared" si="0"/>
        <v>2.2999999999999998</v>
      </c>
      <c r="F22" s="6">
        <f>1-Tableau1[[#This Row],[Poids net]]/Tableau1[[#This Row],[poid brut ]]</f>
        <v>0.13043478260869557</v>
      </c>
      <c r="G22" s="7">
        <v>1</v>
      </c>
      <c r="H22" s="7">
        <v>15</v>
      </c>
      <c r="I22" s="8">
        <v>2</v>
      </c>
      <c r="J22" s="7"/>
      <c r="K22" s="7"/>
      <c r="L22">
        <v>1</v>
      </c>
      <c r="M22">
        <v>2</v>
      </c>
      <c r="O22">
        <f>ROUNDUP(22.5*60/Tableau1[[#This Row],[Temps de cuisson (min)]]*Tableau1[[#This Row],[nombre de moule dispo ]]*0.85,0)</f>
        <v>153</v>
      </c>
      <c r="Q22" s="7">
        <v>320212</v>
      </c>
      <c r="R22" t="s">
        <v>98</v>
      </c>
      <c r="S22">
        <v>3.335</v>
      </c>
      <c r="U22">
        <v>320482</v>
      </c>
      <c r="V22" t="s">
        <v>99</v>
      </c>
      <c r="W22">
        <v>0.16</v>
      </c>
      <c r="X22" t="s">
        <v>28</v>
      </c>
      <c r="Y22" t="s">
        <v>29</v>
      </c>
      <c r="Z22">
        <v>101</v>
      </c>
    </row>
    <row r="23" spans="1:26" x14ac:dyDescent="0.25">
      <c r="A23" s="3">
        <v>320217</v>
      </c>
      <c r="B23" t="s">
        <v>100</v>
      </c>
      <c r="C23" s="4">
        <v>0.17</v>
      </c>
      <c r="D23" s="5">
        <v>2.875</v>
      </c>
      <c r="E23" s="5">
        <f t="shared" si="0"/>
        <v>3.3</v>
      </c>
      <c r="F23" s="6">
        <f>1-Tableau1[[#This Row],[Poids net]]/Tableau1[[#This Row],[poid brut ]]</f>
        <v>0.12878787878787878</v>
      </c>
      <c r="G23" s="7">
        <v>1</v>
      </c>
      <c r="H23" s="7">
        <v>12</v>
      </c>
      <c r="I23" s="8">
        <v>5</v>
      </c>
      <c r="J23" s="7" t="s">
        <v>101</v>
      </c>
      <c r="K23" s="7"/>
      <c r="L23">
        <v>2</v>
      </c>
      <c r="M23">
        <v>2</v>
      </c>
      <c r="O23">
        <f>ROUNDUP(22.5*60/Tableau1[[#This Row],[Temps de cuisson (min)]]*Tableau1[[#This Row],[nombre de moule dispo ]]*0.85,0)</f>
        <v>479</v>
      </c>
      <c r="Q23" s="7">
        <v>320216</v>
      </c>
      <c r="R23" t="s">
        <v>102</v>
      </c>
      <c r="S23">
        <v>2.2999999999999998</v>
      </c>
      <c r="U23">
        <v>3205010</v>
      </c>
      <c r="V23" t="s">
        <v>103</v>
      </c>
      <c r="W23">
        <v>5</v>
      </c>
      <c r="X23" t="s">
        <v>28</v>
      </c>
      <c r="Y23" t="s">
        <v>29</v>
      </c>
      <c r="Z23">
        <v>101</v>
      </c>
    </row>
    <row r="24" spans="1:26" x14ac:dyDescent="0.25">
      <c r="A24" s="3">
        <v>320219</v>
      </c>
      <c r="B24" t="s">
        <v>104</v>
      </c>
      <c r="C24" s="4">
        <v>0.12</v>
      </c>
      <c r="D24" s="5">
        <v>2</v>
      </c>
      <c r="E24" s="5">
        <f t="shared" si="0"/>
        <v>2.2999999999999998</v>
      </c>
      <c r="F24" s="6">
        <f>1-Tableau1[[#This Row],[Poids net]]/Tableau1[[#This Row],[poid brut ]]</f>
        <v>0.13043478260869557</v>
      </c>
      <c r="G24" s="7">
        <v>1</v>
      </c>
      <c r="H24" s="7">
        <v>15</v>
      </c>
      <c r="I24" s="8">
        <v>1</v>
      </c>
      <c r="J24" s="7"/>
      <c r="K24" s="7"/>
      <c r="L24">
        <v>2</v>
      </c>
      <c r="M24">
        <v>2</v>
      </c>
      <c r="O24">
        <f>ROUNDUP(22.5*60/Tableau1[[#This Row],[Temps de cuisson (min)]]*Tableau1[[#This Row],[nombre de moule dispo ]]*0.85,0)</f>
        <v>77</v>
      </c>
      <c r="Q24" s="7">
        <v>320217</v>
      </c>
      <c r="R24" t="s">
        <v>105</v>
      </c>
      <c r="S24">
        <v>3.3</v>
      </c>
      <c r="U24">
        <v>3205400</v>
      </c>
      <c r="V24" t="s">
        <v>106</v>
      </c>
      <c r="W24">
        <v>5</v>
      </c>
      <c r="X24" t="s">
        <v>28</v>
      </c>
      <c r="Y24" t="s">
        <v>29</v>
      </c>
      <c r="Z24">
        <v>101</v>
      </c>
    </row>
    <row r="25" spans="1:26" x14ac:dyDescent="0.25">
      <c r="A25" s="3">
        <v>320220</v>
      </c>
      <c r="B25" t="s">
        <v>107</v>
      </c>
      <c r="C25" s="4">
        <v>0.12</v>
      </c>
      <c r="D25" s="5">
        <v>2.8</v>
      </c>
      <c r="E25" s="5">
        <f t="shared" si="0"/>
        <v>3.25</v>
      </c>
      <c r="F25" s="6">
        <f>1-Tableau1[[#This Row],[Poids net]]/Tableau1[[#This Row],[poid brut ]]</f>
        <v>0.13846153846153852</v>
      </c>
      <c r="G25" s="7">
        <v>1</v>
      </c>
      <c r="H25" s="7">
        <v>15</v>
      </c>
      <c r="I25" s="8">
        <v>1</v>
      </c>
      <c r="J25" s="7"/>
      <c r="K25" s="7"/>
      <c r="L25">
        <v>2</v>
      </c>
      <c r="M25">
        <v>2</v>
      </c>
      <c r="O25">
        <f>ROUNDUP(22.5*60/Tableau1[[#This Row],[Temps de cuisson (min)]]*Tableau1[[#This Row],[nombre de moule dispo ]]*0.85,0)</f>
        <v>77</v>
      </c>
      <c r="Q25" s="7">
        <v>320219</v>
      </c>
      <c r="R25" t="s">
        <v>108</v>
      </c>
      <c r="S25">
        <v>2.2999999999999998</v>
      </c>
      <c r="U25">
        <v>3302010</v>
      </c>
      <c r="V25" t="s">
        <v>109</v>
      </c>
      <c r="W25">
        <v>5.75</v>
      </c>
      <c r="X25" t="s">
        <v>28</v>
      </c>
      <c r="Y25" t="s">
        <v>29</v>
      </c>
      <c r="Z25">
        <v>101</v>
      </c>
    </row>
    <row r="26" spans="1:26" x14ac:dyDescent="0.25">
      <c r="A26" s="3">
        <v>320221</v>
      </c>
      <c r="B26" t="s">
        <v>110</v>
      </c>
      <c r="C26" s="4">
        <v>0.12</v>
      </c>
      <c r="D26" s="5">
        <v>1.6</v>
      </c>
      <c r="E26" s="5">
        <f t="shared" si="0"/>
        <v>1.84</v>
      </c>
      <c r="F26" s="6">
        <f>1-Tableau1[[#This Row],[Poids net]]/Tableau1[[#This Row],[poid brut ]]</f>
        <v>0.13043478260869568</v>
      </c>
      <c r="G26" s="7">
        <v>1</v>
      </c>
      <c r="H26" s="7">
        <v>15</v>
      </c>
      <c r="I26" s="8">
        <v>2</v>
      </c>
      <c r="J26" s="7"/>
      <c r="K26" s="7"/>
      <c r="L26">
        <v>2</v>
      </c>
      <c r="M26">
        <v>2</v>
      </c>
      <c r="O26">
        <f>ROUNDUP(22.5*60/Tableau1[[#This Row],[Temps de cuisson (min)]]*Tableau1[[#This Row],[nombre de moule dispo ]]*0.85,0)</f>
        <v>153</v>
      </c>
      <c r="Q26" s="7">
        <v>320220</v>
      </c>
      <c r="R26" t="s">
        <v>111</v>
      </c>
      <c r="S26">
        <v>3.25</v>
      </c>
      <c r="U26">
        <v>3302020</v>
      </c>
      <c r="V26" t="s">
        <v>112</v>
      </c>
      <c r="W26">
        <v>2.2999999999999998</v>
      </c>
      <c r="X26" t="s">
        <v>28</v>
      </c>
      <c r="Y26" t="s">
        <v>29</v>
      </c>
      <c r="Z26">
        <v>101</v>
      </c>
    </row>
    <row r="27" spans="1:26" x14ac:dyDescent="0.25">
      <c r="A27" s="3">
        <v>320222</v>
      </c>
      <c r="B27" t="s">
        <v>113</v>
      </c>
      <c r="C27" s="4">
        <v>0.12</v>
      </c>
      <c r="D27" s="5">
        <v>2.52</v>
      </c>
      <c r="E27" s="5">
        <f t="shared" si="0"/>
        <v>2.9</v>
      </c>
      <c r="F27" s="6">
        <f>1-Tableau1[[#This Row],[Poids net]]/Tableau1[[#This Row],[poid brut ]]</f>
        <v>0.13103448275862062</v>
      </c>
      <c r="G27" s="7">
        <v>1</v>
      </c>
      <c r="H27" s="7">
        <v>15</v>
      </c>
      <c r="I27" s="8">
        <v>1</v>
      </c>
      <c r="J27" s="7"/>
      <c r="K27" s="7"/>
      <c r="L27">
        <v>1.5</v>
      </c>
      <c r="M27">
        <v>2</v>
      </c>
      <c r="O27">
        <f>ROUNDUP(22.5*60/Tableau1[[#This Row],[Temps de cuisson (min)]]*Tableau1[[#This Row],[nombre de moule dispo ]]*0.85,0)</f>
        <v>77</v>
      </c>
      <c r="Q27" s="7">
        <v>320221</v>
      </c>
      <c r="R27" t="s">
        <v>114</v>
      </c>
      <c r="S27">
        <v>1.84</v>
      </c>
      <c r="U27">
        <v>3302030</v>
      </c>
      <c r="V27" t="s">
        <v>115</v>
      </c>
      <c r="W27">
        <v>7.4749999999999996</v>
      </c>
      <c r="X27" t="s">
        <v>28</v>
      </c>
      <c r="Y27" t="s">
        <v>29</v>
      </c>
      <c r="Z27">
        <v>101</v>
      </c>
    </row>
    <row r="28" spans="1:26" x14ac:dyDescent="0.25">
      <c r="A28" s="3">
        <v>320230</v>
      </c>
      <c r="B28" t="s">
        <v>116</v>
      </c>
      <c r="C28" s="4">
        <v>0.12</v>
      </c>
      <c r="D28" s="5">
        <v>2.8</v>
      </c>
      <c r="E28" s="5">
        <v>3.25</v>
      </c>
      <c r="F28" s="6">
        <f>1-Tableau1[[#This Row],[Poids net]]/Tableau1[[#This Row],[poid brut ]]</f>
        <v>0.13846153846153852</v>
      </c>
      <c r="G28" s="7">
        <v>1</v>
      </c>
      <c r="H28" s="7">
        <v>15</v>
      </c>
      <c r="I28" s="8">
        <v>1</v>
      </c>
      <c r="J28" s="7"/>
      <c r="K28" s="7"/>
      <c r="L28">
        <v>2</v>
      </c>
      <c r="M28">
        <v>2</v>
      </c>
      <c r="O28">
        <f>ROUNDUP(22.5*60/Tableau1[[#This Row],[Temps de cuisson (min)]]*Tableau1[[#This Row],[nombre de moule dispo ]]*0.85,0)</f>
        <v>77</v>
      </c>
      <c r="Q28" s="7">
        <v>320222</v>
      </c>
      <c r="R28" t="s">
        <v>117</v>
      </c>
      <c r="S28">
        <v>2.9</v>
      </c>
      <c r="U28">
        <v>3302040</v>
      </c>
      <c r="V28" t="s">
        <v>118</v>
      </c>
      <c r="W28">
        <v>1.9550000000000001</v>
      </c>
      <c r="X28" t="s">
        <v>28</v>
      </c>
      <c r="Y28" t="s">
        <v>29</v>
      </c>
      <c r="Z28">
        <v>101</v>
      </c>
    </row>
    <row r="29" spans="1:26" x14ac:dyDescent="0.25">
      <c r="A29">
        <v>320238</v>
      </c>
      <c r="B29" t="s">
        <v>119</v>
      </c>
      <c r="C29">
        <v>0.23</v>
      </c>
      <c r="D29" s="5">
        <v>3.9</v>
      </c>
      <c r="E29" s="9" t="e">
        <f>VLOOKUP(A29,pdsbrut,3,FALSE)</f>
        <v>#N/A</v>
      </c>
      <c r="F29" s="6" t="e">
        <f>1-Tableau1[[#This Row],[Poids net]]/Tableau1[[#This Row],[poid brut ]]</f>
        <v>#N/A</v>
      </c>
      <c r="G29" s="7">
        <v>1</v>
      </c>
      <c r="H29" s="7">
        <v>12</v>
      </c>
      <c r="I29" s="8">
        <v>1</v>
      </c>
      <c r="J29" s="7"/>
      <c r="K29" s="7"/>
      <c r="L29">
        <v>3</v>
      </c>
      <c r="M29">
        <v>4</v>
      </c>
      <c r="O29">
        <f>ROUNDUP(22.5*60/Tableau1[[#This Row],[Temps de cuisson (min)]]*Tableau1[[#This Row],[nombre de moule dispo ]]*0.85,0)</f>
        <v>96</v>
      </c>
      <c r="Q29" s="7">
        <v>320302</v>
      </c>
      <c r="R29" t="s">
        <v>120</v>
      </c>
      <c r="S29">
        <v>9.7750000000000004</v>
      </c>
      <c r="U29">
        <v>3302050</v>
      </c>
      <c r="V29" t="s">
        <v>121</v>
      </c>
      <c r="W29">
        <v>8.51</v>
      </c>
      <c r="X29" t="s">
        <v>28</v>
      </c>
      <c r="Y29" t="s">
        <v>29</v>
      </c>
      <c r="Z29">
        <v>101</v>
      </c>
    </row>
    <row r="30" spans="1:26" x14ac:dyDescent="0.25">
      <c r="A30" s="3">
        <v>320302</v>
      </c>
      <c r="B30" t="s">
        <v>122</v>
      </c>
      <c r="C30" s="4">
        <v>0.28999999999999998</v>
      </c>
      <c r="D30" s="5">
        <v>8.5</v>
      </c>
      <c r="E30" s="5">
        <f>VLOOKUP(A30,pdsbrut,3,FALSE)</f>
        <v>9.7750000000000004</v>
      </c>
      <c r="F30" s="6">
        <f>1-Tableau1[[#This Row],[Poids net]]/Tableau1[[#This Row],[poid brut ]]</f>
        <v>0.13043478260869568</v>
      </c>
      <c r="G30" s="7">
        <v>1</v>
      </c>
      <c r="H30" s="7">
        <v>15</v>
      </c>
      <c r="I30" s="8">
        <v>1</v>
      </c>
      <c r="J30" s="7"/>
      <c r="K30" s="7"/>
      <c r="O30">
        <f>ROUNDUP(22.5*60/Tableau1[[#This Row],[Temps de cuisson (min)]]*Tableau1[[#This Row],[nombre de moule dispo ]]*0.85,0)</f>
        <v>77</v>
      </c>
      <c r="Q30" s="7">
        <v>320304</v>
      </c>
      <c r="R30" t="s">
        <v>123</v>
      </c>
      <c r="S30">
        <v>6</v>
      </c>
      <c r="U30">
        <v>3302070</v>
      </c>
      <c r="V30" t="s">
        <v>124</v>
      </c>
      <c r="W30">
        <v>12.074999999999999</v>
      </c>
      <c r="X30" t="s">
        <v>28</v>
      </c>
      <c r="Y30" t="s">
        <v>29</v>
      </c>
      <c r="Z30">
        <v>101</v>
      </c>
    </row>
    <row r="31" spans="1:26" x14ac:dyDescent="0.25">
      <c r="A31" s="3">
        <v>320304</v>
      </c>
      <c r="B31" t="s">
        <v>125</v>
      </c>
      <c r="C31" s="4">
        <v>0.28999999999999998</v>
      </c>
      <c r="D31" s="10">
        <v>5</v>
      </c>
      <c r="E31" s="10">
        <v>6.1070000000000002</v>
      </c>
      <c r="F31" s="6">
        <f>1-Tableau1[[#This Row],[Poids net]]/Tableau1[[#This Row],[poid brut ]]</f>
        <v>0.18126739806779113</v>
      </c>
      <c r="G31" s="7">
        <v>1</v>
      </c>
      <c r="H31" s="7">
        <v>12</v>
      </c>
      <c r="I31" s="8">
        <v>2</v>
      </c>
      <c r="J31" s="7"/>
      <c r="K31" s="7"/>
      <c r="L31">
        <v>3</v>
      </c>
      <c r="M31">
        <v>1</v>
      </c>
      <c r="O31">
        <f>ROUNDUP(22.5*60/Tableau1[[#This Row],[Temps de cuisson (min)]]*Tableau1[[#This Row],[nombre de moule dispo ]]*0.85,0)</f>
        <v>192</v>
      </c>
      <c r="Q31" s="11">
        <v>320225</v>
      </c>
      <c r="R31" s="12" t="s">
        <v>126</v>
      </c>
      <c r="S31" s="12">
        <v>2.5</v>
      </c>
    </row>
    <row r="32" spans="1:26" x14ac:dyDescent="0.25">
      <c r="A32" s="3">
        <v>320401</v>
      </c>
      <c r="B32" t="s">
        <v>127</v>
      </c>
      <c r="C32" s="4">
        <v>4.4999999999999998E-2</v>
      </c>
      <c r="D32" s="5">
        <v>0.4</v>
      </c>
      <c r="E32" s="5" t="e">
        <f>VLOOKUP(A32,pdsbrut,3,FALSE)</f>
        <v>#N/A</v>
      </c>
      <c r="F32" s="6" t="e">
        <f>1-Tableau1[[#This Row],[Poids net]]/Tableau1[[#This Row],[poid brut ]]</f>
        <v>#N/A</v>
      </c>
      <c r="G32" s="7">
        <v>1</v>
      </c>
      <c r="H32" s="7">
        <v>15</v>
      </c>
      <c r="I32" s="8">
        <v>2</v>
      </c>
      <c r="J32" s="7"/>
      <c r="K32" s="7"/>
      <c r="O32">
        <f>ROUNDUP(22.5*60/Tableau1[[#This Row],[Temps de cuisson (min)]]*Tableau1[[#This Row],[nombre de moule dispo ]]*0.85,0)</f>
        <v>153</v>
      </c>
      <c r="Q32" s="13">
        <v>320224</v>
      </c>
      <c r="R32" s="14" t="s">
        <v>128</v>
      </c>
      <c r="S32" s="14"/>
      <c r="U32">
        <v>3304830</v>
      </c>
      <c r="V32" t="s">
        <v>129</v>
      </c>
      <c r="W32">
        <v>1.2</v>
      </c>
      <c r="X32" t="s">
        <v>28</v>
      </c>
      <c r="Y32" t="s">
        <v>130</v>
      </c>
      <c r="Z32">
        <v>101</v>
      </c>
    </row>
    <row r="33" spans="1:26" x14ac:dyDescent="0.25">
      <c r="A33" s="3">
        <v>320501</v>
      </c>
      <c r="B33" t="s">
        <v>131</v>
      </c>
      <c r="C33" s="4">
        <v>0.64</v>
      </c>
      <c r="D33" s="10">
        <v>9.2799999999999994</v>
      </c>
      <c r="E33" s="5">
        <v>9.5</v>
      </c>
      <c r="F33" s="6">
        <f>1-Tableau1[[#This Row],[Poids net]]/Tableau1[[#This Row],[poid brut ]]</f>
        <v>2.3157894736842155E-2</v>
      </c>
      <c r="G33" s="7">
        <v>1</v>
      </c>
      <c r="H33" s="7">
        <v>25</v>
      </c>
      <c r="I33" s="8">
        <v>2</v>
      </c>
      <c r="J33" s="7"/>
      <c r="K33" s="7"/>
      <c r="L33">
        <v>4</v>
      </c>
      <c r="M33">
        <v>3</v>
      </c>
      <c r="O33">
        <f>ROUNDUP(22.5*60/Tableau1[[#This Row],[Temps de cuisson (min)]]*Tableau1[[#This Row],[nombre de moule dispo ]]*0.85,0)</f>
        <v>92</v>
      </c>
      <c r="Q33" s="13">
        <v>320402</v>
      </c>
      <c r="R33" s="14" t="s">
        <v>132</v>
      </c>
      <c r="S33" s="14">
        <v>0.16</v>
      </c>
      <c r="U33">
        <v>401932</v>
      </c>
      <c r="V33" t="s">
        <v>133</v>
      </c>
      <c r="W33">
        <v>1</v>
      </c>
      <c r="X33" t="s">
        <v>28</v>
      </c>
      <c r="Y33" t="s">
        <v>29</v>
      </c>
      <c r="Z33">
        <v>101</v>
      </c>
    </row>
    <row r="34" spans="1:26" x14ac:dyDescent="0.25">
      <c r="A34" s="3">
        <v>320540</v>
      </c>
      <c r="B34" t="s">
        <v>134</v>
      </c>
      <c r="C34" s="4">
        <v>0.64</v>
      </c>
      <c r="D34" s="10">
        <v>9.2799999999999994</v>
      </c>
      <c r="E34" s="5">
        <v>9.5</v>
      </c>
      <c r="F34" s="6">
        <f>1-Tableau1[[#This Row],[Poids net]]/Tableau1[[#This Row],[poid brut ]]</f>
        <v>2.3157894736842155E-2</v>
      </c>
      <c r="G34" s="7">
        <v>1</v>
      </c>
      <c r="H34" s="7">
        <v>17</v>
      </c>
      <c r="I34" s="8">
        <v>2</v>
      </c>
      <c r="J34" s="7"/>
      <c r="K34" s="7"/>
      <c r="O34">
        <f>ROUNDUP(22.5*60/Tableau1[[#This Row],[Temps de cuisson (min)]]*Tableau1[[#This Row],[nombre de moule dispo ]]*0.85,0)</f>
        <v>135</v>
      </c>
      <c r="Q34" s="13">
        <v>320482</v>
      </c>
      <c r="R34" s="14" t="s">
        <v>135</v>
      </c>
      <c r="S34" s="14">
        <v>0.16</v>
      </c>
      <c r="U34">
        <v>408006</v>
      </c>
      <c r="V34" t="s">
        <v>136</v>
      </c>
      <c r="W34">
        <v>1</v>
      </c>
      <c r="X34" t="s">
        <v>28</v>
      </c>
      <c r="Y34" t="s">
        <v>130</v>
      </c>
      <c r="Z34">
        <v>101</v>
      </c>
    </row>
    <row r="35" spans="1:26" x14ac:dyDescent="0.25">
      <c r="A35" s="3">
        <v>330201</v>
      </c>
      <c r="B35" t="s">
        <v>137</v>
      </c>
      <c r="C35" s="4">
        <v>0.23230000000000001</v>
      </c>
      <c r="D35" s="5">
        <v>5</v>
      </c>
      <c r="E35" s="5">
        <f t="shared" ref="E35:E42" si="1">VLOOKUP(A35,pdsbrut,3,FALSE)</f>
        <v>5.75</v>
      </c>
      <c r="F35" s="6">
        <f>1-Tableau1[[#This Row],[Poids net]]/Tableau1[[#This Row],[poid brut ]]</f>
        <v>0.13043478260869568</v>
      </c>
      <c r="G35" s="7">
        <v>1</v>
      </c>
      <c r="H35" s="7">
        <v>20</v>
      </c>
      <c r="I35" s="8">
        <v>1</v>
      </c>
      <c r="J35" s="7"/>
      <c r="K35" s="7"/>
      <c r="O35">
        <f>ROUNDUP(22.5*60/Tableau1[[#This Row],[Temps de cuisson (min)]]*Tableau1[[#This Row],[nombre de moule dispo ]]*0.85,0)</f>
        <v>58</v>
      </c>
      <c r="Q35" s="13">
        <v>320501</v>
      </c>
      <c r="R35" s="14" t="s">
        <v>138</v>
      </c>
      <c r="S35" s="14">
        <v>5</v>
      </c>
      <c r="U35">
        <v>4712010</v>
      </c>
      <c r="V35" t="s">
        <v>139</v>
      </c>
      <c r="W35">
        <v>1.33</v>
      </c>
      <c r="X35" t="s">
        <v>28</v>
      </c>
      <c r="Y35" t="s">
        <v>29</v>
      </c>
      <c r="Z35">
        <v>101</v>
      </c>
    </row>
    <row r="36" spans="1:26" x14ac:dyDescent="0.25">
      <c r="A36" s="3">
        <v>330202</v>
      </c>
      <c r="B36" t="s">
        <v>140</v>
      </c>
      <c r="C36" s="4">
        <v>9.0200000000000002E-2</v>
      </c>
      <c r="D36" s="5">
        <v>1.5</v>
      </c>
      <c r="E36" s="5">
        <f t="shared" si="1"/>
        <v>2.2999999999999998</v>
      </c>
      <c r="F36" s="6">
        <f>1-Tableau1[[#This Row],[Poids net]]/Tableau1[[#This Row],[poid brut ]]</f>
        <v>0.34782608695652173</v>
      </c>
      <c r="G36" s="7">
        <v>1</v>
      </c>
      <c r="H36" s="7">
        <v>20</v>
      </c>
      <c r="I36" s="8">
        <v>2</v>
      </c>
      <c r="J36" s="7"/>
      <c r="K36" s="7"/>
      <c r="L36">
        <v>5</v>
      </c>
      <c r="M36">
        <v>2</v>
      </c>
      <c r="O36">
        <f>ROUNDUP(22.5*60/Tableau1[[#This Row],[Temps de cuisson (min)]]*Tableau1[[#This Row],[nombre de moule dispo ]]*0.85,0)</f>
        <v>115</v>
      </c>
      <c r="Q36" s="13">
        <v>320540</v>
      </c>
      <c r="R36" s="14" t="s">
        <v>106</v>
      </c>
      <c r="S36" s="14">
        <v>5</v>
      </c>
      <c r="U36">
        <v>4712020</v>
      </c>
      <c r="V36" t="s">
        <v>141</v>
      </c>
      <c r="W36">
        <v>1.33</v>
      </c>
      <c r="X36" t="s">
        <v>28</v>
      </c>
      <c r="Y36" t="s">
        <v>29</v>
      </c>
      <c r="Z36">
        <v>101</v>
      </c>
    </row>
    <row r="37" spans="1:26" x14ac:dyDescent="0.25">
      <c r="A37" s="3">
        <v>330203</v>
      </c>
      <c r="B37" t="s">
        <v>142</v>
      </c>
      <c r="C37" s="4">
        <v>0.28999999999999998</v>
      </c>
      <c r="D37" s="5">
        <v>6</v>
      </c>
      <c r="E37" s="5">
        <f t="shared" si="1"/>
        <v>7.4749999999999996</v>
      </c>
      <c r="F37" s="6">
        <f>1-Tableau1[[#This Row],[Poids net]]/Tableau1[[#This Row],[poid brut ]]</f>
        <v>0.19732441471571904</v>
      </c>
      <c r="G37" s="7">
        <v>1</v>
      </c>
      <c r="H37" s="7">
        <v>15</v>
      </c>
      <c r="I37" s="8">
        <v>1</v>
      </c>
      <c r="J37" s="7"/>
      <c r="K37" s="7"/>
      <c r="L37">
        <v>2.5</v>
      </c>
      <c r="M37">
        <v>1</v>
      </c>
      <c r="N37">
        <v>45</v>
      </c>
      <c r="O37">
        <f>ROUNDUP(22.5*60/Tableau1[[#This Row],[Temps de cuisson (min)]]*Tableau1[[#This Row],[nombre de moule dispo ]]*0.85,0)</f>
        <v>77</v>
      </c>
      <c r="Q37" s="13">
        <v>330201</v>
      </c>
      <c r="R37" s="14" t="s">
        <v>143</v>
      </c>
      <c r="S37" s="14">
        <v>5.75</v>
      </c>
      <c r="U37">
        <v>4713010</v>
      </c>
      <c r="V37" t="s">
        <v>144</v>
      </c>
      <c r="W37">
        <v>1</v>
      </c>
      <c r="X37" t="s">
        <v>28</v>
      </c>
      <c r="Y37" t="s">
        <v>29</v>
      </c>
      <c r="Z37">
        <v>101</v>
      </c>
    </row>
    <row r="38" spans="1:26" x14ac:dyDescent="0.25">
      <c r="A38" s="3">
        <v>330204</v>
      </c>
      <c r="B38" t="s">
        <v>145</v>
      </c>
      <c r="C38" s="4">
        <v>0.11</v>
      </c>
      <c r="D38" s="5">
        <v>1.7</v>
      </c>
      <c r="E38" s="5">
        <f t="shared" si="1"/>
        <v>1.9550000000000001</v>
      </c>
      <c r="F38" s="6">
        <f>1-Tableau1[[#This Row],[Poids net]]/Tableau1[[#This Row],[poid brut ]]</f>
        <v>0.13043478260869568</v>
      </c>
      <c r="G38" s="7">
        <v>2</v>
      </c>
      <c r="H38" s="7">
        <v>20</v>
      </c>
      <c r="I38" s="8">
        <v>2</v>
      </c>
      <c r="J38" s="7" t="s">
        <v>62</v>
      </c>
      <c r="K38" s="7"/>
      <c r="L38">
        <v>5</v>
      </c>
      <c r="M38">
        <v>2</v>
      </c>
      <c r="O38">
        <f>ROUNDUP(22.5*60/Tableau1[[#This Row],[Temps de cuisson (min)]]*Tableau1[[#This Row],[nombre de moule dispo ]]*0.85,0)</f>
        <v>115</v>
      </c>
      <c r="Q38" s="13">
        <v>330202</v>
      </c>
      <c r="R38" s="14" t="s">
        <v>146</v>
      </c>
      <c r="S38" s="14">
        <v>2.2999999999999998</v>
      </c>
      <c r="U38">
        <v>4713020</v>
      </c>
      <c r="V38" t="s">
        <v>147</v>
      </c>
      <c r="W38">
        <v>1</v>
      </c>
      <c r="X38" t="s">
        <v>28</v>
      </c>
      <c r="Y38" t="s">
        <v>29</v>
      </c>
      <c r="Z38">
        <v>101</v>
      </c>
    </row>
    <row r="39" spans="1:26" x14ac:dyDescent="0.25">
      <c r="A39" s="3">
        <v>330205</v>
      </c>
      <c r="B39" t="s">
        <v>148</v>
      </c>
      <c r="C39" s="4">
        <v>0.28999999999999998</v>
      </c>
      <c r="D39" s="5">
        <v>7.5</v>
      </c>
      <c r="E39" s="5">
        <f t="shared" si="1"/>
        <v>8.51</v>
      </c>
      <c r="F39" s="6">
        <f>1-Tableau1[[#This Row],[Poids net]]/Tableau1[[#This Row],[poid brut ]]</f>
        <v>0.11868390129259687</v>
      </c>
      <c r="G39" s="7">
        <v>1</v>
      </c>
      <c r="H39" s="7">
        <v>15</v>
      </c>
      <c r="I39" s="8">
        <v>1</v>
      </c>
      <c r="J39" s="7"/>
      <c r="K39" s="7"/>
      <c r="L39">
        <v>2.5</v>
      </c>
      <c r="M39">
        <v>1</v>
      </c>
      <c r="O39">
        <f>ROUNDUP(22.5*60/Tableau1[[#This Row],[Temps de cuisson (min)]]*Tableau1[[#This Row],[nombre de moule dispo ]]*0.85,0)</f>
        <v>77</v>
      </c>
      <c r="Q39" s="13">
        <v>330203</v>
      </c>
      <c r="R39" s="14" t="s">
        <v>149</v>
      </c>
      <c r="S39" s="14">
        <v>7.4749999999999996</v>
      </c>
      <c r="U39">
        <v>4713030</v>
      </c>
      <c r="V39" t="s">
        <v>150</v>
      </c>
      <c r="W39">
        <v>1</v>
      </c>
      <c r="X39" t="s">
        <v>28</v>
      </c>
      <c r="Y39" t="s">
        <v>29</v>
      </c>
      <c r="Z39">
        <v>101</v>
      </c>
    </row>
    <row r="40" spans="1:26" x14ac:dyDescent="0.25">
      <c r="A40" s="3">
        <v>330207</v>
      </c>
      <c r="B40" t="s">
        <v>151</v>
      </c>
      <c r="C40" s="4">
        <v>0.46</v>
      </c>
      <c r="D40" s="5">
        <v>10</v>
      </c>
      <c r="E40" s="5">
        <f t="shared" si="1"/>
        <v>12.074999999999999</v>
      </c>
      <c r="F40" s="6">
        <f>1-Tableau1[[#This Row],[Poids net]]/Tableau1[[#This Row],[poid brut ]]</f>
        <v>0.17184265010351962</v>
      </c>
      <c r="G40" s="7">
        <v>1</v>
      </c>
      <c r="H40" s="7">
        <v>20</v>
      </c>
      <c r="I40" s="8">
        <v>1</v>
      </c>
      <c r="J40" s="7"/>
      <c r="K40" s="7"/>
      <c r="O40">
        <f>ROUNDUP(22.5*60/Tableau1[[#This Row],[Temps de cuisson (min)]]*Tableau1[[#This Row],[nombre de moule dispo ]]*0.85,0)</f>
        <v>58</v>
      </c>
      <c r="Q40" s="13">
        <v>330204</v>
      </c>
      <c r="R40" s="14" t="s">
        <v>118</v>
      </c>
      <c r="S40" s="14">
        <v>1.9550000000000001</v>
      </c>
      <c r="U40">
        <v>4713040</v>
      </c>
      <c r="V40" t="s">
        <v>147</v>
      </c>
      <c r="W40">
        <v>1</v>
      </c>
      <c r="X40" t="s">
        <v>28</v>
      </c>
      <c r="Y40" t="s">
        <v>29</v>
      </c>
      <c r="Z40">
        <v>101</v>
      </c>
    </row>
    <row r="41" spans="1:26" x14ac:dyDescent="0.25">
      <c r="A41" s="3">
        <v>330209</v>
      </c>
      <c r="B41" t="s">
        <v>152</v>
      </c>
      <c r="C41" s="4">
        <v>0.31</v>
      </c>
      <c r="D41" s="5">
        <v>7.2</v>
      </c>
      <c r="E41" s="5">
        <f t="shared" si="1"/>
        <v>8.2799999999999994</v>
      </c>
      <c r="F41" s="6">
        <f>1-Tableau1[[#This Row],[Poids net]]/Tableau1[[#This Row],[poid brut ]]</f>
        <v>0.13043478260869557</v>
      </c>
      <c r="G41" s="7">
        <v>1</v>
      </c>
      <c r="H41" s="7">
        <v>20</v>
      </c>
      <c r="I41" s="8">
        <v>1</v>
      </c>
      <c r="J41" s="7"/>
      <c r="K41" s="7"/>
      <c r="L41">
        <v>4</v>
      </c>
      <c r="M41">
        <v>2</v>
      </c>
      <c r="O41">
        <f>ROUNDUP(22.5*60/Tableau1[[#This Row],[Temps de cuisson (min)]]*Tableau1[[#This Row],[nombre de moule dispo ]]*0.85,0)</f>
        <v>58</v>
      </c>
      <c r="Q41" s="13">
        <v>330205</v>
      </c>
      <c r="R41" s="14" t="s">
        <v>153</v>
      </c>
      <c r="S41" s="14">
        <v>8.51</v>
      </c>
      <c r="U41">
        <v>471480</v>
      </c>
      <c r="V41" t="s">
        <v>154</v>
      </c>
      <c r="W41">
        <v>1</v>
      </c>
      <c r="X41" t="s">
        <v>28</v>
      </c>
      <c r="Y41" t="s">
        <v>130</v>
      </c>
      <c r="Z41">
        <v>101</v>
      </c>
    </row>
    <row r="42" spans="1:26" x14ac:dyDescent="0.25">
      <c r="A42" s="3">
        <v>330483</v>
      </c>
      <c r="B42" t="s">
        <v>155</v>
      </c>
      <c r="C42" s="4">
        <v>4.4999999999999998E-2</v>
      </c>
      <c r="D42" s="5">
        <v>1.2</v>
      </c>
      <c r="E42" s="5">
        <f t="shared" si="1"/>
        <v>1.2</v>
      </c>
      <c r="F42" s="6">
        <f>1-Tableau1[[#This Row],[Poids net]]/Tableau1[[#This Row],[poid brut ]]</f>
        <v>0</v>
      </c>
      <c r="G42" s="7">
        <v>1</v>
      </c>
      <c r="H42" s="7">
        <v>10</v>
      </c>
      <c r="I42" s="8">
        <v>1</v>
      </c>
      <c r="J42" s="7"/>
      <c r="K42" s="7"/>
      <c r="O42">
        <f>ROUNDUP(22.5*60/Tableau1[[#This Row],[Temps de cuisson (min)]]*Tableau1[[#This Row],[nombre de moule dispo ]]*0.85,0)</f>
        <v>115</v>
      </c>
      <c r="Q42" s="13">
        <v>330207</v>
      </c>
      <c r="R42" s="14" t="s">
        <v>156</v>
      </c>
      <c r="S42" s="14">
        <v>12.074999999999999</v>
      </c>
      <c r="U42">
        <v>520705</v>
      </c>
      <c r="V42" t="s">
        <v>157</v>
      </c>
      <c r="W42">
        <v>1</v>
      </c>
      <c r="X42" t="s">
        <v>28</v>
      </c>
      <c r="Y42" t="s">
        <v>29</v>
      </c>
      <c r="Z42">
        <v>101</v>
      </c>
    </row>
    <row r="43" spans="1:26" x14ac:dyDescent="0.25">
      <c r="A43" s="3">
        <v>400806</v>
      </c>
      <c r="B43" t="s">
        <v>158</v>
      </c>
      <c r="C43" s="4">
        <v>0.12809999999999999</v>
      </c>
      <c r="D43" s="5">
        <v>0.32</v>
      </c>
      <c r="E43" s="5"/>
      <c r="F43" s="6" t="e">
        <f>1-Tableau1[[#This Row],[Poids net]]/Tableau1[[#This Row],[poid brut ]]</f>
        <v>#DIV/0!</v>
      </c>
      <c r="G43" s="7">
        <v>20</v>
      </c>
      <c r="H43" s="7">
        <v>15</v>
      </c>
      <c r="I43" s="8">
        <v>1</v>
      </c>
      <c r="J43" s="7"/>
      <c r="K43" s="7"/>
      <c r="O43">
        <f>ROUNDUP(22.5*60/Tableau1[[#This Row],[Temps de cuisson (min)]]*Tableau1[[#This Row],[nombre de moule dispo ]]*0.85,0)</f>
        <v>77</v>
      </c>
      <c r="Q43" s="13">
        <v>330209</v>
      </c>
      <c r="R43" s="14" t="s">
        <v>159</v>
      </c>
      <c r="S43" s="14">
        <v>8.2799999999999994</v>
      </c>
      <c r="U43">
        <v>8001010</v>
      </c>
      <c r="V43" t="s">
        <v>160</v>
      </c>
      <c r="W43">
        <v>0.24</v>
      </c>
      <c r="X43" t="s">
        <v>28</v>
      </c>
      <c r="Y43" t="s">
        <v>29</v>
      </c>
      <c r="Z43">
        <v>101</v>
      </c>
    </row>
    <row r="44" spans="1:26" x14ac:dyDescent="0.25">
      <c r="A44" s="3">
        <v>408006</v>
      </c>
      <c r="B44" t="s">
        <v>161</v>
      </c>
      <c r="C44" s="4">
        <v>7.0400000000000004E-2</v>
      </c>
      <c r="D44" s="5">
        <v>0.1</v>
      </c>
      <c r="E44" s="5">
        <f>VLOOKUP(A44,pdsbrut,3,FALSE)</f>
        <v>1</v>
      </c>
      <c r="F44" s="6">
        <f>1-Tableau1[[#This Row],[Poids net]]/Tableau1[[#This Row],[poid brut ]]</f>
        <v>0.9</v>
      </c>
      <c r="G44" s="7">
        <v>2</v>
      </c>
      <c r="H44" s="7">
        <v>15</v>
      </c>
      <c r="I44" s="8">
        <v>1</v>
      </c>
      <c r="J44" s="7"/>
      <c r="K44" s="7"/>
      <c r="O44">
        <f>ROUNDUP(22.5*60/Tableau1[[#This Row],[Temps de cuisson (min)]]*Tableau1[[#This Row],[nombre de moule dispo ]]*0.85,0)</f>
        <v>77</v>
      </c>
      <c r="Q44" s="13">
        <v>330483</v>
      </c>
      <c r="R44" s="14" t="s">
        <v>162</v>
      </c>
      <c r="S44" s="14">
        <v>1.2</v>
      </c>
      <c r="U44">
        <v>8001030</v>
      </c>
      <c r="V44" t="s">
        <v>163</v>
      </c>
      <c r="W44">
        <v>0.24</v>
      </c>
      <c r="X44" t="s">
        <v>28</v>
      </c>
      <c r="Y44" t="s">
        <v>29</v>
      </c>
      <c r="Z44">
        <v>101</v>
      </c>
    </row>
    <row r="45" spans="1:26" x14ac:dyDescent="0.25">
      <c r="A45" s="3">
        <v>471201</v>
      </c>
      <c r="B45" t="s">
        <v>164</v>
      </c>
      <c r="C45" s="4">
        <v>0.08</v>
      </c>
      <c r="D45" s="5">
        <v>1</v>
      </c>
      <c r="E45" s="5">
        <f>VLOOKUP(A45,pdsbrut,3,FALSE)</f>
        <v>1.33</v>
      </c>
      <c r="F45" s="6">
        <f>1-Tableau1[[#This Row],[Poids net]]/Tableau1[[#This Row],[poid brut ]]</f>
        <v>0.24812030075187974</v>
      </c>
      <c r="G45" s="7">
        <v>6</v>
      </c>
      <c r="H45" s="7">
        <v>60</v>
      </c>
      <c r="I45" s="8">
        <v>1</v>
      </c>
      <c r="J45" s="7"/>
      <c r="K45" s="7"/>
      <c r="L45">
        <v>3</v>
      </c>
      <c r="M45">
        <v>7</v>
      </c>
      <c r="O45">
        <f>ROUNDUP(22.5*60/Tableau1[[#This Row],[Temps de cuisson (min)]]*Tableau1[[#This Row],[nombre de moule dispo ]]*0.85,0)</f>
        <v>20</v>
      </c>
      <c r="Q45" s="13">
        <v>340570</v>
      </c>
      <c r="R45" s="14" t="s">
        <v>165</v>
      </c>
      <c r="S45" s="14">
        <v>0.25</v>
      </c>
      <c r="U45">
        <v>8001160</v>
      </c>
      <c r="V45" t="s">
        <v>166</v>
      </c>
      <c r="W45">
        <v>3</v>
      </c>
      <c r="X45" t="s">
        <v>28</v>
      </c>
      <c r="Y45" t="s">
        <v>29</v>
      </c>
      <c r="Z45">
        <v>101</v>
      </c>
    </row>
    <row r="46" spans="1:26" x14ac:dyDescent="0.25">
      <c r="A46" s="3">
        <v>471202</v>
      </c>
      <c r="B46" t="s">
        <v>167</v>
      </c>
      <c r="C46" s="4">
        <v>6.7000000000000004E-2</v>
      </c>
      <c r="D46" s="5">
        <v>1</v>
      </c>
      <c r="E46" s="5">
        <f>VLOOKUP(A46,pdsbrut,3,FALSE)</f>
        <v>1.33</v>
      </c>
      <c r="F46" s="6">
        <f>1-Tableau1[[#This Row],[Poids net]]/Tableau1[[#This Row],[poid brut ]]</f>
        <v>0.24812030075187974</v>
      </c>
      <c r="G46" s="7">
        <v>6</v>
      </c>
      <c r="H46" s="7">
        <v>60</v>
      </c>
      <c r="I46" s="8">
        <v>1</v>
      </c>
      <c r="J46" s="7"/>
      <c r="K46" s="7"/>
      <c r="L46">
        <v>3</v>
      </c>
      <c r="M46">
        <v>7</v>
      </c>
      <c r="O46">
        <f>ROUNDUP(22.5*60/Tableau1[[#This Row],[Temps de cuisson (min)]]*Tableau1[[#This Row],[nombre de moule dispo ]]*0.85,0)</f>
        <v>20</v>
      </c>
      <c r="Q46" s="13">
        <v>408006</v>
      </c>
      <c r="R46" s="14" t="s">
        <v>168</v>
      </c>
      <c r="S46" s="14">
        <v>1</v>
      </c>
      <c r="U46">
        <v>800122</v>
      </c>
      <c r="V46" t="s">
        <v>169</v>
      </c>
      <c r="W46">
        <v>3.25</v>
      </c>
      <c r="X46" t="s">
        <v>28</v>
      </c>
      <c r="Y46" t="s">
        <v>29</v>
      </c>
      <c r="Z46">
        <v>101</v>
      </c>
    </row>
    <row r="47" spans="1:26" x14ac:dyDescent="0.25">
      <c r="A47" s="3">
        <v>471301</v>
      </c>
      <c r="B47" t="s">
        <v>170</v>
      </c>
      <c r="C47" s="4">
        <v>0.24</v>
      </c>
      <c r="D47" s="5">
        <v>3</v>
      </c>
      <c r="E47" s="5">
        <v>3.1</v>
      </c>
      <c r="F47" s="6">
        <f>1-Tableau1[[#This Row],[Poids net]]/Tableau1[[#This Row],[poid brut ]]</f>
        <v>3.2258064516129115E-2</v>
      </c>
      <c r="G47" s="7">
        <v>2</v>
      </c>
      <c r="H47" s="7">
        <v>60</v>
      </c>
      <c r="I47" s="8">
        <v>1</v>
      </c>
      <c r="J47" s="7" t="s">
        <v>171</v>
      </c>
      <c r="K47" s="7"/>
      <c r="L47">
        <v>3</v>
      </c>
      <c r="M47">
        <v>7</v>
      </c>
      <c r="O47">
        <f>ROUNDUP(22.5*60/Tableau1[[#This Row],[Temps de cuisson (min)]]*Tableau1[[#This Row],[nombre de moule dispo ]]*0.85,0)</f>
        <v>20</v>
      </c>
      <c r="Q47" s="13">
        <v>471201</v>
      </c>
      <c r="R47" s="14" t="s">
        <v>172</v>
      </c>
      <c r="S47" s="14">
        <v>1.33</v>
      </c>
      <c r="U47">
        <v>800125</v>
      </c>
      <c r="V47" t="s">
        <v>169</v>
      </c>
      <c r="W47">
        <v>3.25</v>
      </c>
      <c r="X47" t="s">
        <v>28</v>
      </c>
      <c r="Y47" t="s">
        <v>29</v>
      </c>
      <c r="Z47">
        <v>101</v>
      </c>
    </row>
    <row r="48" spans="1:26" x14ac:dyDescent="0.25">
      <c r="A48" s="3">
        <v>471302</v>
      </c>
      <c r="B48" t="s">
        <v>173</v>
      </c>
      <c r="C48" s="4">
        <v>0.24</v>
      </c>
      <c r="D48" s="5">
        <v>3</v>
      </c>
      <c r="E48" s="5">
        <f>VLOOKUP(A48,pdsbrut,3,FALSE)</f>
        <v>1</v>
      </c>
      <c r="F48" s="6">
        <f>1-Tableau1[[#This Row],[Poids net]]/Tableau1[[#This Row],[poid brut ]]</f>
        <v>-2</v>
      </c>
      <c r="G48" s="7">
        <v>2</v>
      </c>
      <c r="H48" s="7">
        <v>60</v>
      </c>
      <c r="I48" s="8">
        <v>1</v>
      </c>
      <c r="J48" s="7" t="s">
        <v>171</v>
      </c>
      <c r="K48" s="7"/>
      <c r="L48">
        <v>3</v>
      </c>
      <c r="M48">
        <v>7</v>
      </c>
      <c r="O48">
        <f>ROUNDUP(22.5*60/Tableau1[[#This Row],[Temps de cuisson (min)]]*Tableau1[[#This Row],[nombre de moule dispo ]]*0.85,0)</f>
        <v>20</v>
      </c>
      <c r="Q48" s="13">
        <v>471202</v>
      </c>
      <c r="R48" s="14" t="s">
        <v>174</v>
      </c>
      <c r="S48" s="14">
        <v>1.33</v>
      </c>
      <c r="U48">
        <v>800126</v>
      </c>
      <c r="V48" t="s">
        <v>175</v>
      </c>
      <c r="W48">
        <v>3.25</v>
      </c>
      <c r="X48" t="s">
        <v>28</v>
      </c>
      <c r="Y48" t="s">
        <v>29</v>
      </c>
      <c r="Z48">
        <v>101</v>
      </c>
    </row>
    <row r="49" spans="1:26" x14ac:dyDescent="0.25">
      <c r="A49" s="3">
        <v>471303</v>
      </c>
      <c r="B49" t="s">
        <v>176</v>
      </c>
      <c r="C49" s="4">
        <v>0.24</v>
      </c>
      <c r="D49" s="5">
        <v>3</v>
      </c>
      <c r="E49" s="5">
        <f>VLOOKUP(A49,pdsbrut,3,FALSE)</f>
        <v>1</v>
      </c>
      <c r="F49" s="6">
        <f>1-Tableau1[[#This Row],[Poids net]]/Tableau1[[#This Row],[poid brut ]]</f>
        <v>-2</v>
      </c>
      <c r="G49" s="7">
        <v>2</v>
      </c>
      <c r="H49" s="7">
        <v>60</v>
      </c>
      <c r="I49" s="8">
        <v>1</v>
      </c>
      <c r="J49" s="7" t="s">
        <v>171</v>
      </c>
      <c r="K49" s="7"/>
      <c r="L49">
        <v>3</v>
      </c>
      <c r="M49">
        <v>7</v>
      </c>
      <c r="O49">
        <f>ROUNDUP(22.5*60/Tableau1[[#This Row],[Temps de cuisson (min)]]*Tableau1[[#This Row],[nombre de moule dispo ]]*0.85,0)</f>
        <v>20</v>
      </c>
      <c r="Q49" s="13">
        <v>471301</v>
      </c>
      <c r="R49" s="14" t="s">
        <v>177</v>
      </c>
      <c r="S49" s="14">
        <v>1</v>
      </c>
      <c r="U49">
        <v>800127</v>
      </c>
      <c r="V49" t="s">
        <v>178</v>
      </c>
      <c r="W49">
        <v>3.25</v>
      </c>
      <c r="X49" t="s">
        <v>28</v>
      </c>
      <c r="Y49" t="s">
        <v>29</v>
      </c>
      <c r="Z49">
        <v>101</v>
      </c>
    </row>
    <row r="50" spans="1:26" x14ac:dyDescent="0.25">
      <c r="A50" s="3">
        <v>471304</v>
      </c>
      <c r="B50" t="s">
        <v>179</v>
      </c>
      <c r="C50" s="4">
        <v>0.24</v>
      </c>
      <c r="D50" s="5">
        <v>3</v>
      </c>
      <c r="E50" s="5">
        <f>VLOOKUP(A50,pdsbrut,3,FALSE)</f>
        <v>1</v>
      </c>
      <c r="F50" s="6">
        <f>1-Tableau1[[#This Row],[Poids net]]/Tableau1[[#This Row],[poid brut ]]</f>
        <v>-2</v>
      </c>
      <c r="G50" s="7">
        <v>2</v>
      </c>
      <c r="H50" s="7">
        <v>60</v>
      </c>
      <c r="I50" s="8">
        <v>1</v>
      </c>
      <c r="J50" s="7" t="s">
        <v>171</v>
      </c>
      <c r="K50" s="7"/>
      <c r="L50">
        <v>3</v>
      </c>
      <c r="M50">
        <v>7</v>
      </c>
      <c r="O50">
        <f>ROUNDUP(22.5*60/Tableau1[[#This Row],[Temps de cuisson (min)]]*Tableau1[[#This Row],[nombre de moule dispo ]]*0.85,0)</f>
        <v>20</v>
      </c>
      <c r="Q50" s="13">
        <v>471302</v>
      </c>
      <c r="R50" s="14" t="s">
        <v>180</v>
      </c>
      <c r="S50" s="14">
        <v>1</v>
      </c>
      <c r="U50">
        <v>800128</v>
      </c>
      <c r="V50" t="s">
        <v>181</v>
      </c>
      <c r="W50">
        <v>4</v>
      </c>
      <c r="X50" t="s">
        <v>28</v>
      </c>
      <c r="Y50" t="s">
        <v>29</v>
      </c>
      <c r="Z50">
        <v>101</v>
      </c>
    </row>
    <row r="51" spans="1:26" x14ac:dyDescent="0.25">
      <c r="A51" s="3">
        <v>471480</v>
      </c>
      <c r="B51" t="s">
        <v>182</v>
      </c>
      <c r="C51" s="4">
        <v>0.09</v>
      </c>
      <c r="D51" s="5">
        <v>0.52</v>
      </c>
      <c r="E51" s="5">
        <f>VLOOKUP(A51,pdsbrut,3,FALSE)</f>
        <v>1</v>
      </c>
      <c r="F51" s="6">
        <f>1-Tableau1[[#This Row],[Poids net]]/Tableau1[[#This Row],[poid brut ]]</f>
        <v>0.48</v>
      </c>
      <c r="G51" s="7">
        <v>4</v>
      </c>
      <c r="H51" s="7">
        <v>60</v>
      </c>
      <c r="I51" s="8">
        <v>1</v>
      </c>
      <c r="J51" s="7"/>
      <c r="K51" s="7"/>
      <c r="L51">
        <v>3</v>
      </c>
      <c r="M51">
        <v>8</v>
      </c>
      <c r="O51">
        <f>ROUNDUP(22.5*60/Tableau1[[#This Row],[Temps de cuisson (min)]]*Tableau1[[#This Row],[nombre de moule dispo ]]*0.85,0)</f>
        <v>20</v>
      </c>
      <c r="Q51" s="13">
        <v>471303</v>
      </c>
      <c r="R51" s="14" t="s">
        <v>183</v>
      </c>
      <c r="S51" s="14">
        <v>1</v>
      </c>
      <c r="U51">
        <v>800129</v>
      </c>
      <c r="V51" t="s">
        <v>184</v>
      </c>
      <c r="W51">
        <v>5</v>
      </c>
      <c r="X51" t="s">
        <v>28</v>
      </c>
      <c r="Y51" t="s">
        <v>29</v>
      </c>
      <c r="Z51">
        <v>101</v>
      </c>
    </row>
    <row r="52" spans="1:26" x14ac:dyDescent="0.25">
      <c r="A52" s="3">
        <v>520600</v>
      </c>
      <c r="B52" t="s">
        <v>185</v>
      </c>
      <c r="C52" s="4">
        <v>0.06</v>
      </c>
      <c r="D52" s="5">
        <v>1.5</v>
      </c>
      <c r="E52" s="5">
        <v>1.6379999999999999</v>
      </c>
      <c r="F52" s="6">
        <f>1-Tableau1[[#This Row],[Poids net]]/Tableau1[[#This Row],[poid brut ]]</f>
        <v>8.4249084249084172E-2</v>
      </c>
      <c r="G52" s="7">
        <v>8</v>
      </c>
      <c r="H52" s="7">
        <v>20</v>
      </c>
      <c r="I52" s="8">
        <v>2</v>
      </c>
      <c r="J52" s="7"/>
      <c r="K52" s="7" t="s">
        <v>186</v>
      </c>
      <c r="L52">
        <v>2</v>
      </c>
      <c r="M52">
        <v>4</v>
      </c>
      <c r="O52">
        <f>ROUNDUP(22.5*60/Tableau1[[#This Row],[Temps de cuisson (min)]]*Tableau1[[#This Row],[nombre de moule dispo ]]*0.85,0)</f>
        <v>115</v>
      </c>
      <c r="Q52" s="13">
        <v>471304</v>
      </c>
      <c r="R52" s="14" t="s">
        <v>180</v>
      </c>
      <c r="S52" s="14">
        <v>1</v>
      </c>
      <c r="U52">
        <v>800130</v>
      </c>
      <c r="V52" t="s">
        <v>187</v>
      </c>
      <c r="W52">
        <v>1</v>
      </c>
      <c r="X52" t="s">
        <v>28</v>
      </c>
      <c r="Y52" t="s">
        <v>29</v>
      </c>
      <c r="Z52">
        <v>101</v>
      </c>
    </row>
    <row r="53" spans="1:26" x14ac:dyDescent="0.25">
      <c r="A53" s="3">
        <v>520601</v>
      </c>
      <c r="B53" t="s">
        <v>188</v>
      </c>
      <c r="C53" s="4">
        <v>0.06</v>
      </c>
      <c r="D53" s="5">
        <v>1.5</v>
      </c>
      <c r="E53" s="5">
        <v>1.6379999999999999</v>
      </c>
      <c r="F53" s="6">
        <f>1-Tableau1[[#This Row],[Poids net]]/Tableau1[[#This Row],[poid brut ]]</f>
        <v>8.4249084249084172E-2</v>
      </c>
      <c r="G53" s="7">
        <v>8</v>
      </c>
      <c r="H53" s="7">
        <v>20</v>
      </c>
      <c r="I53" s="8"/>
      <c r="J53" s="7"/>
      <c r="K53" s="7" t="s">
        <v>186</v>
      </c>
      <c r="L53">
        <v>2</v>
      </c>
      <c r="M53">
        <v>4</v>
      </c>
      <c r="O53">
        <f>ROUNDUP(22.5*60/Tableau1[[#This Row],[Temps de cuisson (min)]]*Tableau1[[#This Row],[nombre de moule dispo ]]*0.85,0)</f>
        <v>0</v>
      </c>
      <c r="Q53" s="13">
        <v>471480</v>
      </c>
      <c r="R53" s="14" t="s">
        <v>154</v>
      </c>
      <c r="S53" s="14">
        <v>1</v>
      </c>
      <c r="U53">
        <v>800131</v>
      </c>
      <c r="V53" t="s">
        <v>189</v>
      </c>
      <c r="W53">
        <v>1</v>
      </c>
      <c r="X53" t="s">
        <v>28</v>
      </c>
      <c r="Y53" t="s">
        <v>29</v>
      </c>
      <c r="Z53">
        <v>101</v>
      </c>
    </row>
    <row r="54" spans="1:26" x14ac:dyDescent="0.25">
      <c r="A54" s="3">
        <v>520605</v>
      </c>
      <c r="B54" t="s">
        <v>190</v>
      </c>
      <c r="C54" s="4">
        <v>0.06</v>
      </c>
      <c r="D54" s="5">
        <v>1.5</v>
      </c>
      <c r="E54" s="5">
        <v>1.6379999999999999</v>
      </c>
      <c r="F54" s="6">
        <f>1-Tableau1[[#This Row],[Poids net]]/Tableau1[[#This Row],[poid brut ]]</f>
        <v>8.4249084249084172E-2</v>
      </c>
      <c r="G54" s="7">
        <v>8</v>
      </c>
      <c r="H54" s="7">
        <v>20</v>
      </c>
      <c r="I54" s="8"/>
      <c r="J54" s="7"/>
      <c r="K54" s="7" t="s">
        <v>186</v>
      </c>
      <c r="L54">
        <v>2</v>
      </c>
      <c r="M54">
        <v>4</v>
      </c>
      <c r="O54">
        <f>ROUNDUP(22.5*60/Tableau1[[#This Row],[Temps de cuisson (min)]]*Tableau1[[#This Row],[nombre de moule dispo ]]*0.85,0)</f>
        <v>0</v>
      </c>
      <c r="Q54" s="13">
        <v>520705</v>
      </c>
      <c r="R54" s="14" t="s">
        <v>157</v>
      </c>
      <c r="S54" s="14">
        <v>1</v>
      </c>
      <c r="U54">
        <v>800132</v>
      </c>
      <c r="V54" t="s">
        <v>191</v>
      </c>
      <c r="W54">
        <v>1</v>
      </c>
      <c r="X54" t="s">
        <v>28</v>
      </c>
      <c r="Y54" t="s">
        <v>29</v>
      </c>
      <c r="Z54">
        <v>101</v>
      </c>
    </row>
    <row r="55" spans="1:26" x14ac:dyDescent="0.25">
      <c r="A55" s="3">
        <v>520701</v>
      </c>
      <c r="B55" t="s">
        <v>192</v>
      </c>
      <c r="C55" s="4">
        <v>0.17</v>
      </c>
      <c r="D55" s="5">
        <v>2</v>
      </c>
      <c r="E55" s="5">
        <v>2.17</v>
      </c>
      <c r="F55" s="6">
        <f>1-Tableau1[[#This Row],[Poids net]]/Tableau1[[#This Row],[poid brut ]]</f>
        <v>7.8341013824884786E-2</v>
      </c>
      <c r="G55" s="7">
        <v>1</v>
      </c>
      <c r="H55" s="7">
        <v>20</v>
      </c>
      <c r="I55" s="8">
        <v>1</v>
      </c>
      <c r="J55" s="7" t="s">
        <v>171</v>
      </c>
      <c r="K55" s="7"/>
      <c r="L55">
        <v>3</v>
      </c>
      <c r="M55">
        <v>1</v>
      </c>
      <c r="N55">
        <v>40</v>
      </c>
      <c r="O55">
        <f>ROUNDUP(22.5*60/Tableau1[[#This Row],[Temps de cuisson (min)]]*Tableau1[[#This Row],[nombre de moule dispo ]]*0.85,0)</f>
        <v>58</v>
      </c>
      <c r="Q55" s="13">
        <v>800101</v>
      </c>
      <c r="R55" s="14" t="s">
        <v>160</v>
      </c>
      <c r="S55" s="14">
        <v>0.24</v>
      </c>
      <c r="U55">
        <v>800133</v>
      </c>
      <c r="V55" t="s">
        <v>193</v>
      </c>
      <c r="W55">
        <v>1</v>
      </c>
      <c r="X55" t="s">
        <v>28</v>
      </c>
      <c r="Y55" t="s">
        <v>29</v>
      </c>
      <c r="Z55">
        <v>101</v>
      </c>
    </row>
    <row r="56" spans="1:26" x14ac:dyDescent="0.25">
      <c r="A56" s="3">
        <v>520702</v>
      </c>
      <c r="B56" t="s">
        <v>194</v>
      </c>
      <c r="C56" s="4">
        <v>0.17</v>
      </c>
      <c r="D56" s="5">
        <v>4</v>
      </c>
      <c r="E56" s="5">
        <v>4.3499999999999996</v>
      </c>
      <c r="F56" s="6">
        <f>1-Tableau1[[#This Row],[Poids net]]/Tableau1[[#This Row],[poid brut ]]</f>
        <v>8.045977011494243E-2</v>
      </c>
      <c r="G56" s="7">
        <v>1</v>
      </c>
      <c r="H56" s="7">
        <v>30</v>
      </c>
      <c r="I56" s="8">
        <v>1</v>
      </c>
      <c r="J56" s="7" t="s">
        <v>171</v>
      </c>
      <c r="K56" s="7"/>
      <c r="L56">
        <v>3</v>
      </c>
      <c r="M56">
        <v>1</v>
      </c>
      <c r="N56">
        <v>40</v>
      </c>
      <c r="O56">
        <f>ROUNDUP(22.5*60/Tableau1[[#This Row],[Temps de cuisson (min)]]*Tableau1[[#This Row],[nombre de moule dispo ]]*0.85,0)</f>
        <v>39</v>
      </c>
      <c r="Q56" s="13">
        <v>800103</v>
      </c>
      <c r="R56" s="14" t="s">
        <v>163</v>
      </c>
      <c r="S56" s="14">
        <v>0.24</v>
      </c>
      <c r="U56">
        <v>800134</v>
      </c>
      <c r="V56" t="s">
        <v>195</v>
      </c>
      <c r="W56">
        <v>1</v>
      </c>
      <c r="X56" t="s">
        <v>28</v>
      </c>
      <c r="Y56" t="s">
        <v>29</v>
      </c>
      <c r="Z56">
        <v>101</v>
      </c>
    </row>
    <row r="57" spans="1:26" x14ac:dyDescent="0.25">
      <c r="A57" s="3">
        <v>520705</v>
      </c>
      <c r="B57" t="s">
        <v>196</v>
      </c>
      <c r="C57" s="4">
        <v>0.17</v>
      </c>
      <c r="D57" s="5">
        <v>2</v>
      </c>
      <c r="E57" s="5">
        <f>VLOOKUP(A57,pdsbrut,3,FALSE)</f>
        <v>1</v>
      </c>
      <c r="F57" s="6">
        <f>1-Tableau1[[#This Row],[Poids net]]/Tableau1[[#This Row],[poid brut ]]</f>
        <v>-1</v>
      </c>
      <c r="G57" s="7">
        <v>1</v>
      </c>
      <c r="H57" s="7">
        <v>20</v>
      </c>
      <c r="I57" s="8"/>
      <c r="J57" s="7"/>
      <c r="K57" s="7"/>
      <c r="O57">
        <f>ROUNDUP(22.5*60/Tableau1[[#This Row],[Temps de cuisson (min)]]*Tableau1[[#This Row],[nombre de moule dispo ]]*0.85,0)</f>
        <v>0</v>
      </c>
      <c r="Q57" s="13">
        <v>800116</v>
      </c>
      <c r="R57" s="14" t="s">
        <v>166</v>
      </c>
      <c r="S57" s="14">
        <v>3</v>
      </c>
      <c r="U57">
        <v>800135</v>
      </c>
      <c r="V57" t="s">
        <v>197</v>
      </c>
      <c r="W57">
        <v>1</v>
      </c>
      <c r="X57" t="s">
        <v>28</v>
      </c>
      <c r="Y57" t="s">
        <v>29</v>
      </c>
      <c r="Z57">
        <v>101</v>
      </c>
    </row>
    <row r="58" spans="1:26" x14ac:dyDescent="0.25">
      <c r="A58" s="3">
        <v>520801</v>
      </c>
      <c r="B58" t="s">
        <v>188</v>
      </c>
      <c r="C58" s="4">
        <v>0.06</v>
      </c>
      <c r="D58" s="5">
        <v>1.5</v>
      </c>
      <c r="E58" s="5">
        <v>1.6379999999999999</v>
      </c>
      <c r="F58" s="6">
        <f>1-Tableau1[[#This Row],[Poids net]]/Tableau1[[#This Row],[poid brut ]]</f>
        <v>8.4249084249084172E-2</v>
      </c>
      <c r="G58" s="7">
        <v>4</v>
      </c>
      <c r="H58" s="7">
        <v>20</v>
      </c>
      <c r="I58" s="8"/>
      <c r="J58" s="7"/>
      <c r="K58" s="7"/>
      <c r="L58">
        <v>2</v>
      </c>
      <c r="M58">
        <v>4</v>
      </c>
      <c r="O58">
        <f>ROUNDUP(22.5*60/Tableau1[[#This Row],[Temps de cuisson (min)]]*Tableau1[[#This Row],[nombre de moule dispo ]]*0.85,0)</f>
        <v>0</v>
      </c>
      <c r="Q58" s="13">
        <v>800122</v>
      </c>
      <c r="R58" s="14" t="s">
        <v>169</v>
      </c>
      <c r="S58" s="14">
        <v>3.25</v>
      </c>
      <c r="U58">
        <v>800137</v>
      </c>
      <c r="V58" t="s">
        <v>198</v>
      </c>
      <c r="W58">
        <v>1</v>
      </c>
      <c r="X58" t="s">
        <v>28</v>
      </c>
      <c r="Y58" t="s">
        <v>29</v>
      </c>
      <c r="Z58">
        <v>101</v>
      </c>
    </row>
    <row r="59" spans="1:26" x14ac:dyDescent="0.25">
      <c r="A59" s="3">
        <v>530300</v>
      </c>
      <c r="B59" t="s">
        <v>199</v>
      </c>
      <c r="C59" s="4">
        <v>0.06</v>
      </c>
      <c r="D59" s="5">
        <v>1.3</v>
      </c>
      <c r="E59" s="5">
        <v>1.5209999999999999</v>
      </c>
      <c r="F59" s="6">
        <f>1-Tableau1[[#This Row],[Poids net]]/Tableau1[[#This Row],[poid brut ]]</f>
        <v>0.14529914529914523</v>
      </c>
      <c r="G59" s="7">
        <v>8</v>
      </c>
      <c r="H59" s="7">
        <v>20</v>
      </c>
      <c r="I59" s="8"/>
      <c r="J59" s="7"/>
      <c r="K59" s="7" t="s">
        <v>186</v>
      </c>
      <c r="L59">
        <v>2</v>
      </c>
      <c r="M59">
        <v>4</v>
      </c>
      <c r="O59">
        <f>ROUNDUP(22.5*60/Tableau1[[#This Row],[Temps de cuisson (min)]]*Tableau1[[#This Row],[nombre de moule dispo ]]*0.85,0)</f>
        <v>0</v>
      </c>
      <c r="Q59" s="13">
        <v>800125</v>
      </c>
      <c r="R59" s="14" t="s">
        <v>169</v>
      </c>
      <c r="S59" s="14">
        <v>3.25</v>
      </c>
      <c r="U59">
        <v>800138</v>
      </c>
      <c r="V59" t="s">
        <v>200</v>
      </c>
      <c r="W59">
        <v>1</v>
      </c>
      <c r="X59" t="s">
        <v>28</v>
      </c>
      <c r="Y59" t="s">
        <v>29</v>
      </c>
      <c r="Z59">
        <v>101</v>
      </c>
    </row>
    <row r="60" spans="1:26" x14ac:dyDescent="0.25">
      <c r="A60" s="3">
        <v>530303</v>
      </c>
      <c r="B60" t="s">
        <v>201</v>
      </c>
      <c r="C60" s="4">
        <v>0.06</v>
      </c>
      <c r="D60" s="5">
        <v>2.75</v>
      </c>
      <c r="E60" s="5">
        <v>3</v>
      </c>
      <c r="F60" s="6">
        <f>1-Tableau1[[#This Row],[Poids net]]/Tableau1[[#This Row],[poid brut ]]</f>
        <v>8.333333333333337E-2</v>
      </c>
      <c r="G60" s="7">
        <v>8</v>
      </c>
      <c r="H60" s="7">
        <v>60</v>
      </c>
      <c r="I60" s="8">
        <v>2</v>
      </c>
      <c r="J60" s="7"/>
      <c r="K60" s="7" t="s">
        <v>186</v>
      </c>
      <c r="L60">
        <v>2.5</v>
      </c>
      <c r="M60">
        <v>4</v>
      </c>
      <c r="O60">
        <f>ROUNDUP(22.5*60/Tableau1[[#This Row],[Temps de cuisson (min)]]*Tableau1[[#This Row],[nombre de moule dispo ]]*0.85,0)</f>
        <v>39</v>
      </c>
      <c r="Q60" s="13">
        <v>800126</v>
      </c>
      <c r="R60" s="14" t="s">
        <v>175</v>
      </c>
      <c r="S60" s="14">
        <v>3.25</v>
      </c>
      <c r="U60">
        <v>800139</v>
      </c>
      <c r="V60" t="s">
        <v>202</v>
      </c>
      <c r="W60">
        <v>1</v>
      </c>
      <c r="X60" t="s">
        <v>28</v>
      </c>
      <c r="Y60" t="s">
        <v>29</v>
      </c>
      <c r="Z60">
        <v>101</v>
      </c>
    </row>
    <row r="61" spans="1:26" x14ac:dyDescent="0.25">
      <c r="A61" s="3">
        <v>800101</v>
      </c>
      <c r="B61" t="s">
        <v>203</v>
      </c>
      <c r="C61" s="4">
        <v>0.08</v>
      </c>
      <c r="D61" s="5">
        <v>0.5</v>
      </c>
      <c r="E61" s="5">
        <f>VLOOKUP(A61,pdsbrut,3,FALSE)</f>
        <v>0.24</v>
      </c>
      <c r="F61" s="6">
        <f>1-Tableau1[[#This Row],[Poids net]]/Tableau1[[#This Row],[poid brut ]]</f>
        <v>-1.0833333333333335</v>
      </c>
      <c r="G61" s="7">
        <v>2</v>
      </c>
      <c r="H61" s="7">
        <v>20</v>
      </c>
      <c r="I61" s="8"/>
      <c r="J61" s="7"/>
      <c r="K61" s="7"/>
      <c r="L61">
        <v>1</v>
      </c>
      <c r="M61">
        <v>1.5</v>
      </c>
      <c r="O61">
        <f>ROUNDUP(22.5*60/Tableau1[[#This Row],[Temps de cuisson (min)]]*Tableau1[[#This Row],[nombre de moule dispo ]]*0.85,0)</f>
        <v>0</v>
      </c>
      <c r="Q61" s="13">
        <v>800127</v>
      </c>
      <c r="R61" s="14" t="s">
        <v>178</v>
      </c>
      <c r="S61" s="14">
        <v>3.25</v>
      </c>
      <c r="U61">
        <v>800140</v>
      </c>
      <c r="V61" t="s">
        <v>204</v>
      </c>
      <c r="W61">
        <v>1</v>
      </c>
      <c r="X61" t="s">
        <v>28</v>
      </c>
      <c r="Y61" t="s">
        <v>29</v>
      </c>
      <c r="Z61">
        <v>101</v>
      </c>
    </row>
    <row r="62" spans="1:26" x14ac:dyDescent="0.25">
      <c r="A62" s="3">
        <v>800103</v>
      </c>
      <c r="B62" t="s">
        <v>205</v>
      </c>
      <c r="C62" s="4">
        <v>0.01</v>
      </c>
      <c r="D62" s="5">
        <v>0.5</v>
      </c>
      <c r="E62" s="5">
        <f>VLOOKUP(A62,pdsbrut,3,FALSE)</f>
        <v>0.24</v>
      </c>
      <c r="F62" s="6">
        <f>1-Tableau1[[#This Row],[Poids net]]/Tableau1[[#This Row],[poid brut ]]</f>
        <v>-1.0833333333333335</v>
      </c>
      <c r="G62" s="7">
        <v>2</v>
      </c>
      <c r="H62" s="7">
        <v>20</v>
      </c>
      <c r="I62" s="8"/>
      <c r="J62" s="7"/>
      <c r="K62" s="7"/>
      <c r="L62">
        <v>1</v>
      </c>
      <c r="M62">
        <v>1.5</v>
      </c>
      <c r="O62">
        <f>ROUNDUP(22.5*60/Tableau1[[#This Row],[Temps de cuisson (min)]]*Tableau1[[#This Row],[nombre de moule dispo ]]*0.85,0)</f>
        <v>0</v>
      </c>
      <c r="Q62" s="13">
        <v>800128</v>
      </c>
      <c r="R62" s="14" t="s">
        <v>181</v>
      </c>
      <c r="S62" s="14">
        <v>4</v>
      </c>
      <c r="U62">
        <v>800141</v>
      </c>
      <c r="V62" t="s">
        <v>206</v>
      </c>
      <c r="W62">
        <v>1</v>
      </c>
      <c r="X62" t="s">
        <v>28</v>
      </c>
      <c r="Y62" t="s">
        <v>29</v>
      </c>
      <c r="Z62">
        <v>101</v>
      </c>
    </row>
    <row r="63" spans="1:26" x14ac:dyDescent="0.25">
      <c r="A63" s="3">
        <v>800108</v>
      </c>
      <c r="B63" t="s">
        <v>207</v>
      </c>
      <c r="C63" s="4">
        <v>0.01</v>
      </c>
      <c r="D63" s="5">
        <v>0.05</v>
      </c>
      <c r="E63" s="5">
        <v>5.5E-2</v>
      </c>
      <c r="F63" s="6">
        <f>1-Tableau1[[#This Row],[Poids net]]/Tableau1[[#This Row],[poid brut ]]</f>
        <v>9.0909090909090828E-2</v>
      </c>
      <c r="G63" s="7">
        <v>16</v>
      </c>
      <c r="H63" s="7">
        <v>10</v>
      </c>
      <c r="I63" s="8"/>
      <c r="J63" s="7" t="s">
        <v>171</v>
      </c>
      <c r="K63" s="7" t="s">
        <v>208</v>
      </c>
      <c r="L63">
        <v>2</v>
      </c>
      <c r="M63">
        <v>0.5</v>
      </c>
      <c r="O63">
        <f>ROUNDUP(22.5*60/Tableau1[[#This Row],[Temps de cuisson (min)]]*Tableau1[[#This Row],[nombre de moule dispo ]]*0.85,0)</f>
        <v>0</v>
      </c>
      <c r="Q63" s="13">
        <v>800129</v>
      </c>
      <c r="R63" s="14" t="s">
        <v>184</v>
      </c>
      <c r="S63" s="14">
        <v>5</v>
      </c>
      <c r="U63">
        <v>800145</v>
      </c>
      <c r="V63" t="s">
        <v>209</v>
      </c>
      <c r="W63">
        <v>1</v>
      </c>
      <c r="X63" t="s">
        <v>28</v>
      </c>
      <c r="Y63" t="s">
        <v>29</v>
      </c>
      <c r="Z63">
        <v>101</v>
      </c>
    </row>
    <row r="64" spans="1:26" x14ac:dyDescent="0.25">
      <c r="A64" s="3">
        <v>800109</v>
      </c>
      <c r="B64" t="s">
        <v>210</v>
      </c>
      <c r="C64" s="4">
        <v>0.01</v>
      </c>
      <c r="D64" s="5">
        <v>0.125</v>
      </c>
      <c r="E64" s="5">
        <v>0.14000000000000001</v>
      </c>
      <c r="F64" s="6">
        <f>1-Tableau1[[#This Row],[Poids net]]/Tableau1[[#This Row],[poid brut ]]</f>
        <v>0.10714285714285721</v>
      </c>
      <c r="G64" s="7">
        <v>16</v>
      </c>
      <c r="H64" s="7">
        <v>15</v>
      </c>
      <c r="I64" s="8"/>
      <c r="J64" s="7"/>
      <c r="K64" s="7" t="s">
        <v>208</v>
      </c>
      <c r="L64">
        <v>2</v>
      </c>
      <c r="M64">
        <v>0.5</v>
      </c>
      <c r="O64">
        <f>ROUNDUP(22.5*60/Tableau1[[#This Row],[Temps de cuisson (min)]]*Tableau1[[#This Row],[nombre de moule dispo ]]*0.85,0)</f>
        <v>0</v>
      </c>
      <c r="Q64" s="13">
        <v>800130</v>
      </c>
      <c r="R64" s="14" t="s">
        <v>211</v>
      </c>
      <c r="S64" s="14">
        <v>1</v>
      </c>
      <c r="U64">
        <v>800149</v>
      </c>
      <c r="V64" t="s">
        <v>212</v>
      </c>
      <c r="W64">
        <v>1</v>
      </c>
      <c r="X64" t="s">
        <v>28</v>
      </c>
      <c r="Y64" t="s">
        <v>29</v>
      </c>
      <c r="Z64">
        <v>101</v>
      </c>
    </row>
    <row r="65" spans="1:26" x14ac:dyDescent="0.25">
      <c r="A65" s="3">
        <v>800110</v>
      </c>
      <c r="B65" t="s">
        <v>213</v>
      </c>
      <c r="C65" s="4">
        <v>0.2009</v>
      </c>
      <c r="D65" s="5">
        <v>0.32</v>
      </c>
      <c r="E65" s="5" t="e">
        <f t="shared" ref="E65:E72" si="2">VLOOKUP(A65,pdsbrut,3,FALSE)</f>
        <v>#N/A</v>
      </c>
      <c r="F65" s="6" t="e">
        <f>1-Tableau1[[#This Row],[Poids net]]/Tableau1[[#This Row],[poid brut ]]</f>
        <v>#N/A</v>
      </c>
      <c r="G65" s="7">
        <v>1</v>
      </c>
      <c r="H65" s="7">
        <v>90</v>
      </c>
      <c r="I65" s="8"/>
      <c r="J65" s="7"/>
      <c r="K65" s="7"/>
      <c r="O65">
        <f>ROUNDUP(22.5*60/Tableau1[[#This Row],[Temps de cuisson (min)]]*Tableau1[[#This Row],[nombre de moule dispo ]]*0.85,0)</f>
        <v>0</v>
      </c>
      <c r="Q65" s="13">
        <v>800131</v>
      </c>
      <c r="R65" s="14" t="s">
        <v>214</v>
      </c>
      <c r="S65" s="14">
        <v>1</v>
      </c>
      <c r="U65">
        <v>800150</v>
      </c>
      <c r="V65" t="s">
        <v>215</v>
      </c>
      <c r="W65">
        <v>1</v>
      </c>
      <c r="X65" t="s">
        <v>28</v>
      </c>
      <c r="Y65" t="s">
        <v>29</v>
      </c>
      <c r="Z65">
        <v>101</v>
      </c>
    </row>
    <row r="66" spans="1:26" x14ac:dyDescent="0.25">
      <c r="A66" s="3">
        <v>800112</v>
      </c>
      <c r="B66" t="s">
        <v>216</v>
      </c>
      <c r="C66" s="4">
        <v>0.2009</v>
      </c>
      <c r="D66" s="5">
        <v>0.14000000000000001</v>
      </c>
      <c r="E66" s="5" t="e">
        <f t="shared" si="2"/>
        <v>#N/A</v>
      </c>
      <c r="F66" s="6" t="e">
        <f>1-Tableau1[[#This Row],[Poids net]]/Tableau1[[#This Row],[poid brut ]]</f>
        <v>#N/A</v>
      </c>
      <c r="G66" s="7">
        <v>1</v>
      </c>
      <c r="H66" s="7">
        <v>90</v>
      </c>
      <c r="I66" s="8"/>
      <c r="J66" s="7"/>
      <c r="K66" s="7"/>
      <c r="O66">
        <f>ROUNDUP(22.5*60/Tableau1[[#This Row],[Temps de cuisson (min)]]*Tableau1[[#This Row],[nombre de moule dispo ]]*0.85,0)</f>
        <v>0</v>
      </c>
      <c r="Q66" s="13">
        <v>800132</v>
      </c>
      <c r="R66" s="14" t="s">
        <v>217</v>
      </c>
      <c r="S66" s="14">
        <v>1</v>
      </c>
      <c r="U66">
        <v>800151</v>
      </c>
      <c r="V66" t="s">
        <v>218</v>
      </c>
      <c r="W66">
        <v>1</v>
      </c>
      <c r="X66" t="s">
        <v>28</v>
      </c>
      <c r="Y66" t="s">
        <v>29</v>
      </c>
      <c r="Z66">
        <v>101</v>
      </c>
    </row>
    <row r="67" spans="1:26" x14ac:dyDescent="0.25">
      <c r="A67" s="3">
        <v>800113</v>
      </c>
      <c r="B67" t="s">
        <v>219</v>
      </c>
      <c r="C67" s="4">
        <v>0.23230000000000001</v>
      </c>
      <c r="D67" s="5">
        <v>11.5</v>
      </c>
      <c r="E67" s="5" t="e">
        <f t="shared" si="2"/>
        <v>#N/A</v>
      </c>
      <c r="F67" s="6" t="e">
        <f>1-Tableau1[[#This Row],[Poids net]]/Tableau1[[#This Row],[poid brut ]]</f>
        <v>#N/A</v>
      </c>
      <c r="G67" s="7">
        <v>1</v>
      </c>
      <c r="H67" s="7">
        <v>90</v>
      </c>
      <c r="I67" s="8"/>
      <c r="J67" s="7"/>
      <c r="K67" s="7"/>
      <c r="O67">
        <f>ROUNDUP(22.5*60/Tableau1[[#This Row],[Temps de cuisson (min)]]*Tableau1[[#This Row],[nombre de moule dispo ]]*0.85,0)</f>
        <v>0</v>
      </c>
      <c r="Q67" s="13">
        <v>800133</v>
      </c>
      <c r="R67" s="14" t="s">
        <v>220</v>
      </c>
      <c r="S67" s="14">
        <v>1</v>
      </c>
      <c r="U67">
        <v>800152</v>
      </c>
      <c r="V67" t="s">
        <v>221</v>
      </c>
      <c r="W67">
        <v>1</v>
      </c>
      <c r="X67" t="s">
        <v>28</v>
      </c>
      <c r="Y67" t="s">
        <v>29</v>
      </c>
      <c r="Z67">
        <v>101</v>
      </c>
    </row>
    <row r="68" spans="1:26" x14ac:dyDescent="0.25">
      <c r="A68" s="3">
        <v>800114</v>
      </c>
      <c r="B68" t="s">
        <v>222</v>
      </c>
      <c r="C68" s="4">
        <v>4.4999999999999998E-2</v>
      </c>
      <c r="D68" s="5">
        <v>0.05</v>
      </c>
      <c r="E68" s="5" t="e">
        <f t="shared" si="2"/>
        <v>#N/A</v>
      </c>
      <c r="F68" s="6" t="e">
        <f>1-Tableau1[[#This Row],[Poids net]]/Tableau1[[#This Row],[poid brut ]]</f>
        <v>#N/A</v>
      </c>
      <c r="G68" s="7">
        <v>1</v>
      </c>
      <c r="H68" s="7">
        <v>90</v>
      </c>
      <c r="I68" s="8"/>
      <c r="J68" s="7"/>
      <c r="K68" s="7"/>
      <c r="O68">
        <f>ROUNDUP(22.5*60/Tableau1[[#This Row],[Temps de cuisson (min)]]*Tableau1[[#This Row],[nombre de moule dispo ]]*0.85,0)</f>
        <v>0</v>
      </c>
      <c r="Q68" s="13">
        <v>800134</v>
      </c>
      <c r="R68" s="14" t="s">
        <v>223</v>
      </c>
      <c r="S68" s="14">
        <v>1</v>
      </c>
      <c r="U68">
        <v>800153</v>
      </c>
      <c r="V68" t="s">
        <v>224</v>
      </c>
      <c r="W68">
        <v>1</v>
      </c>
      <c r="X68" t="s">
        <v>28</v>
      </c>
      <c r="Y68" t="s">
        <v>29</v>
      </c>
      <c r="Z68">
        <v>101</v>
      </c>
    </row>
    <row r="69" spans="1:26" x14ac:dyDescent="0.25">
      <c r="A69" s="3">
        <v>800115</v>
      </c>
      <c r="B69" t="s">
        <v>225</v>
      </c>
      <c r="C69" s="4">
        <v>1.61E-2</v>
      </c>
      <c r="D69" s="5">
        <v>0.08</v>
      </c>
      <c r="E69" s="5" t="e">
        <f t="shared" si="2"/>
        <v>#N/A</v>
      </c>
      <c r="F69" s="6" t="e">
        <f>1-Tableau1[[#This Row],[Poids net]]/Tableau1[[#This Row],[poid brut ]]</f>
        <v>#N/A</v>
      </c>
      <c r="G69" s="7">
        <v>1</v>
      </c>
      <c r="H69" s="7"/>
      <c r="I69" s="8"/>
      <c r="J69" s="7"/>
      <c r="K69" s="7"/>
      <c r="O69" t="e">
        <f>ROUNDUP(22.5*60/Tableau1[[#This Row],[Temps de cuisson (min)]]*Tableau1[[#This Row],[nombre de moule dispo ]]*0.85,0)</f>
        <v>#DIV/0!</v>
      </c>
      <c r="Q69" s="13">
        <v>800135</v>
      </c>
      <c r="R69" s="14" t="s">
        <v>226</v>
      </c>
      <c r="S69" s="14">
        <v>1</v>
      </c>
      <c r="U69">
        <v>800154</v>
      </c>
      <c r="V69" t="s">
        <v>227</v>
      </c>
      <c r="W69">
        <v>1</v>
      </c>
      <c r="X69" t="s">
        <v>28</v>
      </c>
      <c r="Y69" t="s">
        <v>29</v>
      </c>
      <c r="Z69">
        <v>101</v>
      </c>
    </row>
    <row r="70" spans="1:26" x14ac:dyDescent="0.25">
      <c r="A70" s="3">
        <v>800116</v>
      </c>
      <c r="B70" t="s">
        <v>228</v>
      </c>
      <c r="C70" s="4">
        <v>0.23230000000000001</v>
      </c>
      <c r="D70" s="5">
        <v>7.65</v>
      </c>
      <c r="E70" s="5">
        <f t="shared" si="2"/>
        <v>3</v>
      </c>
      <c r="F70" s="6">
        <f>1-Tableau1[[#This Row],[Poids net]]/Tableau1[[#This Row],[poid brut ]]</f>
        <v>-1.5500000000000003</v>
      </c>
      <c r="G70" s="7">
        <v>1</v>
      </c>
      <c r="H70" s="7">
        <v>12</v>
      </c>
      <c r="I70" s="8"/>
      <c r="J70" s="7"/>
      <c r="K70" s="7"/>
      <c r="O70">
        <f>ROUNDUP(22.5*60/Tableau1[[#This Row],[Temps de cuisson (min)]]*Tableau1[[#This Row],[nombre de moule dispo ]]*0.85,0)</f>
        <v>0</v>
      </c>
      <c r="Q70" s="13">
        <v>800137</v>
      </c>
      <c r="R70" s="14" t="s">
        <v>229</v>
      </c>
      <c r="S70" s="14">
        <v>1</v>
      </c>
      <c r="U70">
        <v>800161</v>
      </c>
      <c r="V70" t="s">
        <v>230</v>
      </c>
      <c r="W70">
        <v>1</v>
      </c>
      <c r="X70" t="s">
        <v>28</v>
      </c>
      <c r="Y70" t="s">
        <v>29</v>
      </c>
      <c r="Z70">
        <v>101</v>
      </c>
    </row>
    <row r="71" spans="1:26" x14ac:dyDescent="0.25">
      <c r="A71" s="3">
        <v>800118</v>
      </c>
      <c r="B71" t="s">
        <v>231</v>
      </c>
      <c r="C71" s="4">
        <v>0.23230000000000001</v>
      </c>
      <c r="D71" s="5">
        <v>8</v>
      </c>
      <c r="E71" s="5" t="e">
        <f t="shared" si="2"/>
        <v>#N/A</v>
      </c>
      <c r="F71" s="6" t="e">
        <f>1-Tableau1[[#This Row],[Poids net]]/Tableau1[[#This Row],[poid brut ]]</f>
        <v>#N/A</v>
      </c>
      <c r="G71" s="7">
        <v>1</v>
      </c>
      <c r="H71" s="7">
        <v>90</v>
      </c>
      <c r="I71" s="8"/>
      <c r="J71" s="7"/>
      <c r="K71" s="7"/>
      <c r="O71">
        <f>ROUNDUP(22.5*60/Tableau1[[#This Row],[Temps de cuisson (min)]]*Tableau1[[#This Row],[nombre de moule dispo ]]*0.85,0)</f>
        <v>0</v>
      </c>
      <c r="Q71" s="13">
        <v>800138</v>
      </c>
      <c r="R71" s="14" t="s">
        <v>232</v>
      </c>
      <c r="S71" s="14">
        <v>1</v>
      </c>
      <c r="U71">
        <v>8001640</v>
      </c>
      <c r="V71" t="s">
        <v>233</v>
      </c>
      <c r="W71">
        <v>1</v>
      </c>
      <c r="X71" t="s">
        <v>28</v>
      </c>
      <c r="Y71" t="s">
        <v>29</v>
      </c>
      <c r="Z71">
        <v>101</v>
      </c>
    </row>
    <row r="72" spans="1:26" x14ac:dyDescent="0.25">
      <c r="A72" s="3">
        <v>800120</v>
      </c>
      <c r="B72" t="s">
        <v>234</v>
      </c>
      <c r="C72" s="4">
        <v>0.1389</v>
      </c>
      <c r="D72" s="5">
        <v>0.09</v>
      </c>
      <c r="E72" s="5" t="e">
        <f t="shared" si="2"/>
        <v>#N/A</v>
      </c>
      <c r="F72" s="6" t="e">
        <f>1-Tableau1[[#This Row],[Poids net]]/Tableau1[[#This Row],[poid brut ]]</f>
        <v>#N/A</v>
      </c>
      <c r="G72" s="7">
        <v>1</v>
      </c>
      <c r="H72" s="7"/>
      <c r="I72" s="8"/>
      <c r="J72" s="7"/>
      <c r="K72" s="7"/>
      <c r="O72" t="e">
        <f>ROUNDUP(22.5*60/Tableau1[[#This Row],[Temps de cuisson (min)]]*Tableau1[[#This Row],[nombre de moule dispo ]]*0.85,0)</f>
        <v>#DIV/0!</v>
      </c>
      <c r="Q72" s="13">
        <v>800139</v>
      </c>
      <c r="R72" s="14" t="s">
        <v>235</v>
      </c>
      <c r="S72" s="14">
        <v>1</v>
      </c>
      <c r="U72">
        <v>800170</v>
      </c>
      <c r="V72" t="s">
        <v>236</v>
      </c>
      <c r="W72">
        <v>1</v>
      </c>
      <c r="X72" t="s">
        <v>28</v>
      </c>
      <c r="Y72" t="s">
        <v>29</v>
      </c>
      <c r="Z72">
        <v>101</v>
      </c>
    </row>
    <row r="73" spans="1:26" x14ac:dyDescent="0.25">
      <c r="A73" s="3">
        <v>800121</v>
      </c>
      <c r="B73" t="s">
        <v>237</v>
      </c>
      <c r="C73" s="4">
        <v>3.3500000000000002E-2</v>
      </c>
      <c r="D73" s="5">
        <v>1.2E-2</v>
      </c>
      <c r="E73" s="5">
        <v>0.02</v>
      </c>
      <c r="F73" s="6">
        <f>1-Tableau1[[#This Row],[Poids net]]/Tableau1[[#This Row],[poid brut ]]</f>
        <v>0.4</v>
      </c>
      <c r="G73" s="7">
        <v>1</v>
      </c>
      <c r="H73" s="7">
        <v>15</v>
      </c>
      <c r="I73" s="8">
        <v>1</v>
      </c>
      <c r="J73" s="7"/>
      <c r="K73" s="7"/>
      <c r="L73">
        <v>3</v>
      </c>
      <c r="M73">
        <v>4</v>
      </c>
      <c r="O73">
        <f>ROUNDUP(22.5*60/Tableau1[[#This Row],[Temps de cuisson (min)]]*Tableau1[[#This Row],[nombre de moule dispo ]]*0.85,0)</f>
        <v>77</v>
      </c>
      <c r="Q73" s="13">
        <v>800140</v>
      </c>
      <c r="R73" s="14" t="s">
        <v>238</v>
      </c>
      <c r="S73" s="14">
        <v>1</v>
      </c>
      <c r="U73">
        <v>800171</v>
      </c>
      <c r="V73" t="s">
        <v>239</v>
      </c>
      <c r="W73">
        <v>1</v>
      </c>
      <c r="X73" t="s">
        <v>28</v>
      </c>
      <c r="Y73" t="s">
        <v>29</v>
      </c>
      <c r="Z73">
        <v>101</v>
      </c>
    </row>
    <row r="74" spans="1:26" x14ac:dyDescent="0.25">
      <c r="A74" s="3">
        <v>800123</v>
      </c>
      <c r="B74" t="s">
        <v>240</v>
      </c>
      <c r="C74" s="4">
        <v>4.4999999999999998E-2</v>
      </c>
      <c r="D74" s="5">
        <v>1.4999999999999999E-2</v>
      </c>
      <c r="E74" s="5" t="e">
        <f t="shared" ref="E74:E98" si="3">VLOOKUP(A74,pdsbrut,3,FALSE)</f>
        <v>#N/A</v>
      </c>
      <c r="F74" s="6" t="e">
        <f>1-Tableau1[[#This Row],[Poids net]]/Tableau1[[#This Row],[poid brut ]]</f>
        <v>#N/A</v>
      </c>
      <c r="G74" s="7">
        <v>1</v>
      </c>
      <c r="H74" s="7"/>
      <c r="I74" s="8"/>
      <c r="J74" s="7"/>
      <c r="K74" s="7"/>
      <c r="O74" t="e">
        <f>ROUNDUP(22.5*60/Tableau1[[#This Row],[Temps de cuisson (min)]]*Tableau1[[#This Row],[nombre de moule dispo ]]*0.85,0)</f>
        <v>#DIV/0!</v>
      </c>
      <c r="Q74" s="13">
        <v>800145</v>
      </c>
      <c r="R74" s="14" t="s">
        <v>241</v>
      </c>
      <c r="S74" s="14">
        <v>1</v>
      </c>
      <c r="U74">
        <v>800172</v>
      </c>
      <c r="V74" t="s">
        <v>242</v>
      </c>
      <c r="W74">
        <v>1</v>
      </c>
      <c r="X74" t="s">
        <v>28</v>
      </c>
      <c r="Y74" t="s">
        <v>29</v>
      </c>
      <c r="Z74">
        <v>101</v>
      </c>
    </row>
    <row r="75" spans="1:26" x14ac:dyDescent="0.25">
      <c r="A75" s="3">
        <v>800124</v>
      </c>
      <c r="B75" t="s">
        <v>243</v>
      </c>
      <c r="C75" s="4">
        <v>0.23230000000000001</v>
      </c>
      <c r="D75" s="5">
        <v>7.0000000000000001E-3</v>
      </c>
      <c r="E75" s="5" t="e">
        <f t="shared" si="3"/>
        <v>#N/A</v>
      </c>
      <c r="F75" s="6" t="e">
        <f>1-Tableau1[[#This Row],[Poids net]]/Tableau1[[#This Row],[poid brut ]]</f>
        <v>#N/A</v>
      </c>
      <c r="G75" s="7">
        <v>1</v>
      </c>
      <c r="H75" s="7"/>
      <c r="I75" s="8"/>
      <c r="J75" s="7"/>
      <c r="K75" s="7"/>
      <c r="O75" t="e">
        <f>ROUNDUP(22.5*60/Tableau1[[#This Row],[Temps de cuisson (min)]]*Tableau1[[#This Row],[nombre de moule dispo ]]*0.85,0)</f>
        <v>#DIV/0!</v>
      </c>
      <c r="Q75" s="13">
        <v>800149</v>
      </c>
      <c r="R75" s="14" t="s">
        <v>244</v>
      </c>
      <c r="S75" s="14">
        <v>1</v>
      </c>
      <c r="U75">
        <v>800173</v>
      </c>
      <c r="V75" t="s">
        <v>245</v>
      </c>
      <c r="W75">
        <v>1</v>
      </c>
      <c r="X75" t="s">
        <v>28</v>
      </c>
      <c r="Y75" t="s">
        <v>29</v>
      </c>
      <c r="Z75">
        <v>101</v>
      </c>
    </row>
    <row r="76" spans="1:26" x14ac:dyDescent="0.25">
      <c r="A76" s="3">
        <v>800125</v>
      </c>
      <c r="B76" t="s">
        <v>246</v>
      </c>
      <c r="C76" s="4">
        <v>0.1389</v>
      </c>
      <c r="D76" s="5">
        <v>0.82</v>
      </c>
      <c r="E76" s="5">
        <f t="shared" si="3"/>
        <v>3.25</v>
      </c>
      <c r="F76" s="6">
        <f>1-Tableau1[[#This Row],[Poids net]]/Tableau1[[#This Row],[poid brut ]]</f>
        <v>0.74769230769230766</v>
      </c>
      <c r="G76" s="7">
        <v>1</v>
      </c>
      <c r="H76" s="7">
        <v>20</v>
      </c>
      <c r="I76" s="8"/>
      <c r="J76" s="7"/>
      <c r="K76" s="7"/>
      <c r="L76">
        <v>2</v>
      </c>
      <c r="M76">
        <v>2.5</v>
      </c>
      <c r="O76">
        <f>ROUNDUP(22.5*60/Tableau1[[#This Row],[Temps de cuisson (min)]]*Tableau1[[#This Row],[nombre de moule dispo ]]*0.85,0)</f>
        <v>0</v>
      </c>
      <c r="Q76" s="13">
        <v>800150</v>
      </c>
      <c r="R76" s="14" t="s">
        <v>247</v>
      </c>
      <c r="S76" s="14">
        <v>1</v>
      </c>
      <c r="U76">
        <v>800174</v>
      </c>
      <c r="V76" t="s">
        <v>248</v>
      </c>
      <c r="W76">
        <v>1</v>
      </c>
      <c r="X76" t="s">
        <v>28</v>
      </c>
      <c r="Y76" t="s">
        <v>29</v>
      </c>
      <c r="Z76">
        <v>101</v>
      </c>
    </row>
    <row r="77" spans="1:26" x14ac:dyDescent="0.25">
      <c r="A77" s="3">
        <v>800126</v>
      </c>
      <c r="B77" t="s">
        <v>249</v>
      </c>
      <c r="C77" s="4">
        <v>0.1389</v>
      </c>
      <c r="D77" s="5">
        <v>0.5</v>
      </c>
      <c r="E77" s="5">
        <f t="shared" si="3"/>
        <v>3.25</v>
      </c>
      <c r="F77" s="6">
        <f>1-Tableau1[[#This Row],[Poids net]]/Tableau1[[#This Row],[poid brut ]]</f>
        <v>0.84615384615384615</v>
      </c>
      <c r="G77" s="7">
        <v>1</v>
      </c>
      <c r="H77" s="7">
        <v>20</v>
      </c>
      <c r="I77" s="8"/>
      <c r="J77" s="7"/>
      <c r="K77" s="7"/>
      <c r="L77">
        <v>2</v>
      </c>
      <c r="M77">
        <v>2.5</v>
      </c>
      <c r="O77">
        <f>ROUNDUP(22.5*60/Tableau1[[#This Row],[Temps de cuisson (min)]]*Tableau1[[#This Row],[nombre de moule dispo ]]*0.85,0)</f>
        <v>0</v>
      </c>
      <c r="Q77" s="13">
        <v>800151</v>
      </c>
      <c r="R77" s="14" t="s">
        <v>250</v>
      </c>
      <c r="S77" s="14">
        <v>1</v>
      </c>
      <c r="U77">
        <v>800175</v>
      </c>
      <c r="V77" t="s">
        <v>251</v>
      </c>
      <c r="W77">
        <v>1</v>
      </c>
      <c r="X77" t="s">
        <v>28</v>
      </c>
      <c r="Y77" t="s">
        <v>29</v>
      </c>
      <c r="Z77">
        <v>101</v>
      </c>
    </row>
    <row r="78" spans="1:26" x14ac:dyDescent="0.25">
      <c r="A78" s="3">
        <v>800127</v>
      </c>
      <c r="B78" t="s">
        <v>252</v>
      </c>
      <c r="C78" s="4">
        <v>0.1389</v>
      </c>
      <c r="D78" s="5">
        <v>0.38</v>
      </c>
      <c r="E78" s="5">
        <f t="shared" si="3"/>
        <v>3.25</v>
      </c>
      <c r="F78" s="6">
        <f>1-Tableau1[[#This Row],[Poids net]]/Tableau1[[#This Row],[poid brut ]]</f>
        <v>0.88307692307692309</v>
      </c>
      <c r="G78" s="7">
        <v>1</v>
      </c>
      <c r="H78" s="7">
        <v>20</v>
      </c>
      <c r="I78" s="8"/>
      <c r="J78" s="7"/>
      <c r="K78" s="7"/>
      <c r="L78">
        <v>2</v>
      </c>
      <c r="M78">
        <v>2.5</v>
      </c>
      <c r="O78">
        <f>ROUNDUP(22.5*60/Tableau1[[#This Row],[Temps de cuisson (min)]]*Tableau1[[#This Row],[nombre de moule dispo ]]*0.85,0)</f>
        <v>0</v>
      </c>
      <c r="Q78" s="13">
        <v>800152</v>
      </c>
      <c r="R78" s="14" t="s">
        <v>253</v>
      </c>
      <c r="S78" s="14">
        <v>1</v>
      </c>
      <c r="U78">
        <v>800176</v>
      </c>
      <c r="V78" t="s">
        <v>254</v>
      </c>
      <c r="W78">
        <v>1</v>
      </c>
      <c r="X78" t="s">
        <v>28</v>
      </c>
      <c r="Y78" t="s">
        <v>29</v>
      </c>
      <c r="Z78">
        <v>101</v>
      </c>
    </row>
    <row r="79" spans="1:26" x14ac:dyDescent="0.25">
      <c r="A79" s="3">
        <v>800128</v>
      </c>
      <c r="B79" t="s">
        <v>255</v>
      </c>
      <c r="C79" s="4">
        <v>0.1389</v>
      </c>
      <c r="D79" s="5">
        <v>1.25</v>
      </c>
      <c r="E79" s="5">
        <f t="shared" si="3"/>
        <v>4</v>
      </c>
      <c r="F79" s="6">
        <f>1-Tableau1[[#This Row],[Poids net]]/Tableau1[[#This Row],[poid brut ]]</f>
        <v>0.6875</v>
      </c>
      <c r="G79" s="7">
        <v>1</v>
      </c>
      <c r="H79" s="7">
        <v>20</v>
      </c>
      <c r="I79" s="8"/>
      <c r="J79" s="7"/>
      <c r="K79" s="7"/>
      <c r="L79">
        <v>2</v>
      </c>
      <c r="M79">
        <v>2.5</v>
      </c>
      <c r="O79">
        <f>ROUNDUP(22.5*60/Tableau1[[#This Row],[Temps de cuisson (min)]]*Tableau1[[#This Row],[nombre de moule dispo ]]*0.85,0)</f>
        <v>0</v>
      </c>
      <c r="Q79" s="13">
        <v>800153</v>
      </c>
      <c r="R79" s="14" t="s">
        <v>256</v>
      </c>
      <c r="S79" s="14">
        <v>1</v>
      </c>
      <c r="U79">
        <v>3201030</v>
      </c>
      <c r="V79" t="s">
        <v>257</v>
      </c>
      <c r="W79">
        <v>1.5</v>
      </c>
      <c r="X79" t="s">
        <v>28</v>
      </c>
      <c r="Y79" t="s">
        <v>29</v>
      </c>
      <c r="Z79">
        <v>101</v>
      </c>
    </row>
    <row r="80" spans="1:26" x14ac:dyDescent="0.25">
      <c r="A80" s="3">
        <v>800129</v>
      </c>
      <c r="B80" t="s">
        <v>258</v>
      </c>
      <c r="C80" s="4">
        <v>0.1389</v>
      </c>
      <c r="D80" s="5">
        <v>2.2999999999999998</v>
      </c>
      <c r="E80" s="5">
        <f t="shared" si="3"/>
        <v>5</v>
      </c>
      <c r="F80" s="6">
        <f>1-Tableau1[[#This Row],[Poids net]]/Tableau1[[#This Row],[poid brut ]]</f>
        <v>0.54</v>
      </c>
      <c r="G80" s="7">
        <v>1</v>
      </c>
      <c r="H80" s="7">
        <v>20</v>
      </c>
      <c r="I80" s="8"/>
      <c r="J80" s="7"/>
      <c r="K80" s="7"/>
      <c r="L80">
        <v>2</v>
      </c>
      <c r="M80">
        <v>2.5</v>
      </c>
      <c r="O80">
        <f>ROUNDUP(22.5*60/Tableau1[[#This Row],[Temps de cuisson (min)]]*Tableau1[[#This Row],[nombre de moule dispo ]]*0.85,0)</f>
        <v>0</v>
      </c>
      <c r="Q80" s="13">
        <v>800154</v>
      </c>
      <c r="R80" s="14" t="s">
        <v>259</v>
      </c>
      <c r="S80" s="14">
        <v>1</v>
      </c>
      <c r="U80">
        <v>3201090</v>
      </c>
      <c r="V80" t="s">
        <v>260</v>
      </c>
      <c r="W80">
        <v>2.0699999999999998</v>
      </c>
      <c r="X80" t="s">
        <v>28</v>
      </c>
      <c r="Y80" t="s">
        <v>29</v>
      </c>
      <c r="Z80">
        <v>101</v>
      </c>
    </row>
    <row r="81" spans="1:26" x14ac:dyDescent="0.25">
      <c r="A81" s="3">
        <v>800130</v>
      </c>
      <c r="B81" t="s">
        <v>261</v>
      </c>
      <c r="C81" s="4">
        <v>0.1389</v>
      </c>
      <c r="D81" s="5">
        <v>0.02</v>
      </c>
      <c r="E81" s="5">
        <f t="shared" si="3"/>
        <v>1</v>
      </c>
      <c r="F81" s="6">
        <f>1-Tableau1[[#This Row],[Poids net]]/Tableau1[[#This Row],[poid brut ]]</f>
        <v>0.98</v>
      </c>
      <c r="G81" s="7">
        <v>1</v>
      </c>
      <c r="H81" s="7">
        <v>20</v>
      </c>
      <c r="I81" s="8"/>
      <c r="J81" s="7"/>
      <c r="K81" s="7"/>
      <c r="L81">
        <v>2</v>
      </c>
      <c r="M81">
        <v>2.5</v>
      </c>
      <c r="O81">
        <f>ROUNDUP(22.5*60/Tableau1[[#This Row],[Temps de cuisson (min)]]*Tableau1[[#This Row],[nombre de moule dispo ]]*0.85,0)</f>
        <v>0</v>
      </c>
      <c r="Q81" s="13">
        <v>800161</v>
      </c>
      <c r="R81" s="14" t="s">
        <v>262</v>
      </c>
      <c r="S81" s="14">
        <v>1</v>
      </c>
      <c r="U81">
        <v>3201630</v>
      </c>
      <c r="V81" t="s">
        <v>257</v>
      </c>
      <c r="W81">
        <v>1.5</v>
      </c>
      <c r="X81" t="s">
        <v>28</v>
      </c>
      <c r="Y81" t="s">
        <v>29</v>
      </c>
      <c r="Z81">
        <v>101</v>
      </c>
    </row>
    <row r="82" spans="1:26" x14ac:dyDescent="0.25">
      <c r="A82" s="3">
        <v>800131</v>
      </c>
      <c r="B82" t="s">
        <v>263</v>
      </c>
      <c r="C82" s="4">
        <v>0.1389</v>
      </c>
      <c r="D82" s="5">
        <v>0.03</v>
      </c>
      <c r="E82" s="5">
        <f t="shared" si="3"/>
        <v>1</v>
      </c>
      <c r="F82" s="6">
        <f>1-Tableau1[[#This Row],[Poids net]]/Tableau1[[#This Row],[poid brut ]]</f>
        <v>0.97</v>
      </c>
      <c r="G82" s="7">
        <v>1</v>
      </c>
      <c r="H82" s="7">
        <v>20</v>
      </c>
      <c r="I82" s="8"/>
      <c r="J82" s="7"/>
      <c r="K82" s="7"/>
      <c r="L82">
        <v>2</v>
      </c>
      <c r="M82">
        <v>2.5</v>
      </c>
      <c r="O82">
        <f>ROUNDUP(22.5*60/Tableau1[[#This Row],[Temps de cuisson (min)]]*Tableau1[[#This Row],[nombre de moule dispo ]]*0.85,0)</f>
        <v>0</v>
      </c>
      <c r="Q82" s="13">
        <v>800164</v>
      </c>
      <c r="R82" s="14" t="s">
        <v>233</v>
      </c>
      <c r="S82" s="14">
        <v>1</v>
      </c>
      <c r="U82">
        <v>3201690</v>
      </c>
      <c r="V82" t="s">
        <v>260</v>
      </c>
      <c r="W82">
        <v>2.0699999999999998</v>
      </c>
      <c r="X82" t="s">
        <v>28</v>
      </c>
      <c r="Y82" t="s">
        <v>264</v>
      </c>
      <c r="Z82">
        <v>101</v>
      </c>
    </row>
    <row r="83" spans="1:26" x14ac:dyDescent="0.25">
      <c r="A83" s="3">
        <v>800132</v>
      </c>
      <c r="B83" t="s">
        <v>265</v>
      </c>
      <c r="C83" s="4">
        <v>0.1389</v>
      </c>
      <c r="D83" s="5">
        <v>4.4999999999999998E-2</v>
      </c>
      <c r="E83" s="5">
        <f t="shared" si="3"/>
        <v>1</v>
      </c>
      <c r="F83" s="6">
        <f>1-Tableau1[[#This Row],[Poids net]]/Tableau1[[#This Row],[poid brut ]]</f>
        <v>0.95499999999999996</v>
      </c>
      <c r="G83" s="7">
        <v>1</v>
      </c>
      <c r="H83" s="7">
        <v>20</v>
      </c>
      <c r="I83" s="8"/>
      <c r="J83" s="7"/>
      <c r="K83" s="7"/>
      <c r="L83">
        <v>2</v>
      </c>
      <c r="M83">
        <v>2.5</v>
      </c>
      <c r="O83">
        <f>ROUNDUP(22.5*60/Tableau1[[#This Row],[Temps de cuisson (min)]]*Tableau1[[#This Row],[nombre de moule dispo ]]*0.85,0)</f>
        <v>0</v>
      </c>
      <c r="Q83" s="13">
        <v>800170</v>
      </c>
      <c r="R83" s="14" t="s">
        <v>266</v>
      </c>
      <c r="S83" s="14">
        <v>1</v>
      </c>
      <c r="U83">
        <v>3202120</v>
      </c>
      <c r="V83" t="s">
        <v>267</v>
      </c>
      <c r="W83">
        <v>3.335</v>
      </c>
      <c r="X83" t="s">
        <v>28</v>
      </c>
      <c r="Y83" t="s">
        <v>29</v>
      </c>
      <c r="Z83">
        <v>101</v>
      </c>
    </row>
    <row r="84" spans="1:26" x14ac:dyDescent="0.25">
      <c r="A84" s="3">
        <v>800133</v>
      </c>
      <c r="B84" t="s">
        <v>268</v>
      </c>
      <c r="C84" s="4">
        <v>0.1389</v>
      </c>
      <c r="D84" s="5">
        <v>0.05</v>
      </c>
      <c r="E84" s="5">
        <f t="shared" si="3"/>
        <v>1</v>
      </c>
      <c r="F84" s="6">
        <f>1-Tableau1[[#This Row],[Poids net]]/Tableau1[[#This Row],[poid brut ]]</f>
        <v>0.95</v>
      </c>
      <c r="G84" s="7">
        <v>1</v>
      </c>
      <c r="H84" s="7">
        <v>20</v>
      </c>
      <c r="I84" s="8"/>
      <c r="J84" s="7"/>
      <c r="K84" s="7"/>
      <c r="L84">
        <v>2</v>
      </c>
      <c r="M84">
        <v>2.5</v>
      </c>
      <c r="O84">
        <f>ROUNDUP(22.5*60/Tableau1[[#This Row],[Temps de cuisson (min)]]*Tableau1[[#This Row],[nombre de moule dispo ]]*0.85,0)</f>
        <v>0</v>
      </c>
      <c r="Q84" s="13">
        <v>800171</v>
      </c>
      <c r="R84" s="14" t="s">
        <v>239</v>
      </c>
      <c r="S84" s="14">
        <v>1</v>
      </c>
      <c r="U84">
        <v>3202160</v>
      </c>
      <c r="V84" t="s">
        <v>269</v>
      </c>
      <c r="W84">
        <v>2.2999999999999998</v>
      </c>
      <c r="X84" t="s">
        <v>28</v>
      </c>
      <c r="Y84" t="s">
        <v>29</v>
      </c>
      <c r="Z84">
        <v>101</v>
      </c>
    </row>
    <row r="85" spans="1:26" x14ac:dyDescent="0.25">
      <c r="A85" s="3">
        <v>800134</v>
      </c>
      <c r="B85" t="s">
        <v>270</v>
      </c>
      <c r="C85" s="4">
        <v>0.1389</v>
      </c>
      <c r="D85" s="5">
        <v>0.06</v>
      </c>
      <c r="E85" s="5">
        <f t="shared" si="3"/>
        <v>1</v>
      </c>
      <c r="F85" s="6">
        <f>1-Tableau1[[#This Row],[Poids net]]/Tableau1[[#This Row],[poid brut ]]</f>
        <v>0.94</v>
      </c>
      <c r="G85" s="7">
        <v>1</v>
      </c>
      <c r="H85" s="7">
        <v>20</v>
      </c>
      <c r="I85" s="8"/>
      <c r="J85" s="7"/>
      <c r="K85" s="7"/>
      <c r="L85">
        <v>2</v>
      </c>
      <c r="M85">
        <v>2.5</v>
      </c>
      <c r="O85">
        <f>ROUNDUP(22.5*60/Tableau1[[#This Row],[Temps de cuisson (min)]]*Tableau1[[#This Row],[nombre de moule dispo ]]*0.85,0)</f>
        <v>0</v>
      </c>
      <c r="Q85" s="13">
        <v>800172</v>
      </c>
      <c r="R85" s="14" t="s">
        <v>271</v>
      </c>
      <c r="S85" s="14">
        <v>1</v>
      </c>
      <c r="U85">
        <v>3202170</v>
      </c>
      <c r="V85" t="s">
        <v>272</v>
      </c>
      <c r="W85">
        <v>3.3</v>
      </c>
      <c r="X85" t="s">
        <v>28</v>
      </c>
      <c r="Y85" t="s">
        <v>29</v>
      </c>
      <c r="Z85">
        <v>101</v>
      </c>
    </row>
    <row r="86" spans="1:26" x14ac:dyDescent="0.25">
      <c r="A86" s="3">
        <v>800137</v>
      </c>
      <c r="B86" t="s">
        <v>273</v>
      </c>
      <c r="C86" s="4">
        <v>0.1389</v>
      </c>
      <c r="D86" s="5">
        <v>0.1</v>
      </c>
      <c r="E86" s="5">
        <f>VLOOKUP(A86,pdsbrut,3,FALSE)</f>
        <v>1</v>
      </c>
      <c r="F86" s="6">
        <f>1-Tableau1[[#This Row],[Poids net]]/Tableau1[[#This Row],[poid brut ]]</f>
        <v>0.9</v>
      </c>
      <c r="G86" s="7">
        <v>1</v>
      </c>
      <c r="H86" s="7">
        <v>20</v>
      </c>
      <c r="I86" s="8"/>
      <c r="J86" s="7"/>
      <c r="K86" s="7"/>
      <c r="L86">
        <v>2</v>
      </c>
      <c r="M86">
        <v>2.5</v>
      </c>
      <c r="O86">
        <f>ROUNDUP(22.5*60/Tableau1[[#This Row],[Temps de cuisson (min)]]*Tableau1[[#This Row],[nombre de moule dispo ]]*0.85,0)</f>
        <v>0</v>
      </c>
      <c r="Q86" s="13">
        <v>800173</v>
      </c>
      <c r="R86" s="14" t="s">
        <v>274</v>
      </c>
      <c r="S86" s="14">
        <v>1</v>
      </c>
      <c r="U86">
        <v>3202190</v>
      </c>
      <c r="V86" t="s">
        <v>275</v>
      </c>
      <c r="W86">
        <v>2.2999999999999998</v>
      </c>
      <c r="X86" t="s">
        <v>28</v>
      </c>
      <c r="Y86" t="s">
        <v>29</v>
      </c>
      <c r="Z86">
        <v>101</v>
      </c>
    </row>
    <row r="87" spans="1:26" x14ac:dyDescent="0.25">
      <c r="A87" s="3">
        <v>800138</v>
      </c>
      <c r="B87" t="s">
        <v>276</v>
      </c>
      <c r="C87" s="4">
        <v>0.1389</v>
      </c>
      <c r="D87" s="5">
        <v>0.11</v>
      </c>
      <c r="E87" s="5">
        <f t="shared" si="3"/>
        <v>1</v>
      </c>
      <c r="F87" s="6">
        <f>1-Tableau1[[#This Row],[Poids net]]/Tableau1[[#This Row],[poid brut ]]</f>
        <v>0.89</v>
      </c>
      <c r="G87" s="7">
        <v>1</v>
      </c>
      <c r="H87" s="7">
        <v>20</v>
      </c>
      <c r="I87" s="8"/>
      <c r="J87" s="7"/>
      <c r="K87" s="7"/>
      <c r="L87">
        <v>2</v>
      </c>
      <c r="M87">
        <v>2.5</v>
      </c>
      <c r="O87">
        <f>ROUNDUP(22.5*60/Tableau1[[#This Row],[Temps de cuisson (min)]]*Tableau1[[#This Row],[nombre de moule dispo ]]*0.85,0)</f>
        <v>0</v>
      </c>
      <c r="Q87" s="13">
        <v>800174</v>
      </c>
      <c r="R87" s="14" t="s">
        <v>277</v>
      </c>
      <c r="S87" s="14">
        <v>1</v>
      </c>
      <c r="U87">
        <v>3202200</v>
      </c>
      <c r="V87" t="s">
        <v>278</v>
      </c>
      <c r="W87">
        <v>3.25</v>
      </c>
      <c r="X87" t="s">
        <v>28</v>
      </c>
      <c r="Y87" t="s">
        <v>29</v>
      </c>
      <c r="Z87">
        <v>101</v>
      </c>
    </row>
    <row r="88" spans="1:26" x14ac:dyDescent="0.25">
      <c r="A88" s="3">
        <v>800140</v>
      </c>
      <c r="B88" t="s">
        <v>279</v>
      </c>
      <c r="C88" s="4">
        <v>2.8500000000000001E-2</v>
      </c>
      <c r="D88" s="5">
        <v>7.0000000000000001E-3</v>
      </c>
      <c r="E88" s="5">
        <f t="shared" si="3"/>
        <v>1</v>
      </c>
      <c r="F88" s="6">
        <f>1-Tableau1[[#This Row],[Poids net]]/Tableau1[[#This Row],[poid brut ]]</f>
        <v>0.99299999999999999</v>
      </c>
      <c r="G88" s="7">
        <v>1</v>
      </c>
      <c r="H88" s="7">
        <v>20</v>
      </c>
      <c r="I88" s="8"/>
      <c r="J88" s="7"/>
      <c r="K88" s="7"/>
      <c r="L88">
        <v>2</v>
      </c>
      <c r="M88">
        <v>2.5</v>
      </c>
      <c r="O88">
        <f>ROUNDUP(22.5*60/Tableau1[[#This Row],[Temps de cuisson (min)]]*Tableau1[[#This Row],[nombre de moule dispo ]]*0.85,0)</f>
        <v>0</v>
      </c>
      <c r="Q88" s="13">
        <v>800175</v>
      </c>
      <c r="R88" s="14" t="s">
        <v>251</v>
      </c>
      <c r="S88" s="14">
        <v>1</v>
      </c>
      <c r="U88">
        <v>3202210</v>
      </c>
      <c r="V88" t="s">
        <v>280</v>
      </c>
      <c r="W88">
        <v>1.84</v>
      </c>
      <c r="X88" t="s">
        <v>28</v>
      </c>
      <c r="Y88" t="s">
        <v>29</v>
      </c>
      <c r="Z88">
        <v>101</v>
      </c>
    </row>
    <row r="89" spans="1:26" x14ac:dyDescent="0.25">
      <c r="A89" s="3">
        <v>800141</v>
      </c>
      <c r="B89" t="s">
        <v>281</v>
      </c>
      <c r="C89" s="4">
        <v>2.8500000000000001E-2</v>
      </c>
      <c r="D89" s="5">
        <v>8.9999999999999993E-3</v>
      </c>
      <c r="E89" s="5" t="e">
        <f t="shared" si="3"/>
        <v>#N/A</v>
      </c>
      <c r="F89" s="6" t="e">
        <f>1-Tableau1[[#This Row],[Poids net]]/Tableau1[[#This Row],[poid brut ]]</f>
        <v>#N/A</v>
      </c>
      <c r="G89" s="7">
        <v>1</v>
      </c>
      <c r="H89" s="7">
        <v>20</v>
      </c>
      <c r="I89" s="8"/>
      <c r="J89" s="7"/>
      <c r="K89" s="7"/>
      <c r="L89">
        <v>2</v>
      </c>
      <c r="M89">
        <v>2.5</v>
      </c>
      <c r="O89">
        <f>ROUNDUP(22.5*60/Tableau1[[#This Row],[Temps de cuisson (min)]]*Tableau1[[#This Row],[nombre de moule dispo ]]*0.85,0)</f>
        <v>0</v>
      </c>
      <c r="Q89" s="13">
        <v>800176</v>
      </c>
      <c r="R89" s="14" t="s">
        <v>254</v>
      </c>
      <c r="S89" s="14">
        <v>1</v>
      </c>
      <c r="U89">
        <v>3202220</v>
      </c>
      <c r="V89" t="s">
        <v>282</v>
      </c>
      <c r="W89">
        <v>2.9</v>
      </c>
      <c r="X89" t="s">
        <v>28</v>
      </c>
      <c r="Y89" t="s">
        <v>29</v>
      </c>
      <c r="Z89">
        <v>101</v>
      </c>
    </row>
    <row r="90" spans="1:26" x14ac:dyDescent="0.25">
      <c r="A90" s="3">
        <v>800142</v>
      </c>
      <c r="B90" t="s">
        <v>283</v>
      </c>
      <c r="C90" s="4">
        <v>0.1389</v>
      </c>
      <c r="D90" s="5">
        <v>0.5</v>
      </c>
      <c r="E90" s="5" t="e">
        <f t="shared" si="3"/>
        <v>#N/A</v>
      </c>
      <c r="F90" s="6" t="e">
        <f>1-Tableau1[[#This Row],[Poids net]]/Tableau1[[#This Row],[poid brut ]]</f>
        <v>#N/A</v>
      </c>
      <c r="G90" s="7">
        <v>1</v>
      </c>
      <c r="H90" s="7">
        <v>20</v>
      </c>
      <c r="I90" s="8"/>
      <c r="J90" s="7"/>
      <c r="K90" s="7"/>
      <c r="L90">
        <v>2</v>
      </c>
      <c r="M90">
        <v>2.5</v>
      </c>
      <c r="O90">
        <f>ROUNDUP(22.5*60/Tableau1[[#This Row],[Temps de cuisson (min)]]*Tableau1[[#This Row],[nombre de moule dispo ]]*0.85,0)</f>
        <v>0</v>
      </c>
      <c r="Q90" s="7">
        <v>800191</v>
      </c>
      <c r="R90" t="s">
        <v>284</v>
      </c>
      <c r="S90">
        <v>1</v>
      </c>
    </row>
    <row r="91" spans="1:26" x14ac:dyDescent="0.25">
      <c r="A91" s="3">
        <v>800149</v>
      </c>
      <c r="B91" t="s">
        <v>285</v>
      </c>
      <c r="C91" s="4">
        <v>0.1389</v>
      </c>
      <c r="D91" s="5">
        <v>0.08</v>
      </c>
      <c r="E91" s="5">
        <f t="shared" si="3"/>
        <v>1</v>
      </c>
      <c r="F91" s="6">
        <f>1-Tableau1[[#This Row],[Poids net]]/Tableau1[[#This Row],[poid brut ]]</f>
        <v>0.92</v>
      </c>
      <c r="G91" s="7">
        <v>1</v>
      </c>
      <c r="H91" s="7">
        <v>20</v>
      </c>
      <c r="I91" s="8"/>
      <c r="J91" s="7"/>
      <c r="K91" s="7"/>
      <c r="L91">
        <v>2</v>
      </c>
      <c r="M91">
        <v>2.5</v>
      </c>
      <c r="O91">
        <f>ROUNDUP(22.5*60/Tableau1[[#This Row],[Temps de cuisson (min)]]*Tableau1[[#This Row],[nombre de moule dispo ]]*0.85,0)</f>
        <v>0</v>
      </c>
      <c r="Q91" s="7"/>
    </row>
    <row r="92" spans="1:26" x14ac:dyDescent="0.25">
      <c r="A92" s="3">
        <v>800151</v>
      </c>
      <c r="B92" t="s">
        <v>286</v>
      </c>
      <c r="C92" s="4">
        <v>0.1389</v>
      </c>
      <c r="D92" s="5">
        <v>8.0000000000000002E-3</v>
      </c>
      <c r="E92" s="5">
        <f t="shared" si="3"/>
        <v>1</v>
      </c>
      <c r="F92" s="6">
        <f>1-Tableau1[[#This Row],[Poids net]]/Tableau1[[#This Row],[poid brut ]]</f>
        <v>0.99199999999999999</v>
      </c>
      <c r="G92" s="7">
        <v>1</v>
      </c>
      <c r="H92" s="7">
        <v>20</v>
      </c>
      <c r="I92" s="8"/>
      <c r="J92" s="7"/>
      <c r="K92" s="7"/>
      <c r="L92">
        <v>2</v>
      </c>
      <c r="M92">
        <v>2.5</v>
      </c>
      <c r="O92">
        <f>ROUNDUP(22.5*60/Tableau1[[#This Row],[Temps de cuisson (min)]]*Tableau1[[#This Row],[nombre de moule dispo ]]*0.85,0)</f>
        <v>0</v>
      </c>
      <c r="Q92" s="7"/>
    </row>
    <row r="93" spans="1:26" x14ac:dyDescent="0.25">
      <c r="A93" s="3">
        <v>800152</v>
      </c>
      <c r="B93" t="s">
        <v>287</v>
      </c>
      <c r="C93" s="4">
        <v>0.1389</v>
      </c>
      <c r="D93" s="5">
        <v>0.01</v>
      </c>
      <c r="E93" s="5">
        <f t="shared" si="3"/>
        <v>1</v>
      </c>
      <c r="F93" s="6">
        <f>1-Tableau1[[#This Row],[Poids net]]/Tableau1[[#This Row],[poid brut ]]</f>
        <v>0.99</v>
      </c>
      <c r="G93" s="7">
        <v>1</v>
      </c>
      <c r="H93" s="7">
        <v>20</v>
      </c>
      <c r="I93" s="8"/>
      <c r="J93" s="7"/>
      <c r="K93" s="7"/>
      <c r="L93">
        <v>2</v>
      </c>
      <c r="M93">
        <v>2.5</v>
      </c>
      <c r="O93">
        <f>ROUNDUP(22.5*60/Tableau1[[#This Row],[Temps de cuisson (min)]]*Tableau1[[#This Row],[nombre de moule dispo ]]*0.85,0)</f>
        <v>0</v>
      </c>
      <c r="Q93" s="7"/>
    </row>
    <row r="94" spans="1:26" x14ac:dyDescent="0.25">
      <c r="A94" s="3">
        <v>800153</v>
      </c>
      <c r="B94" t="s">
        <v>288</v>
      </c>
      <c r="C94" s="4">
        <v>0.1389</v>
      </c>
      <c r="D94" s="5">
        <v>1.7999999999999999E-2</v>
      </c>
      <c r="E94" s="5">
        <f t="shared" si="3"/>
        <v>1</v>
      </c>
      <c r="F94" s="6">
        <f>1-Tableau1[[#This Row],[Poids net]]/Tableau1[[#This Row],[poid brut ]]</f>
        <v>0.98199999999999998</v>
      </c>
      <c r="G94" s="7">
        <v>1</v>
      </c>
      <c r="H94" s="7">
        <v>20</v>
      </c>
      <c r="I94" s="8"/>
      <c r="J94" s="7"/>
      <c r="K94" s="7"/>
      <c r="L94">
        <v>2</v>
      </c>
      <c r="M94">
        <v>2.5</v>
      </c>
      <c r="O94">
        <f>ROUNDUP(22.5*60/Tableau1[[#This Row],[Temps de cuisson (min)]]*Tableau1[[#This Row],[nombre de moule dispo ]]*0.85,0)</f>
        <v>0</v>
      </c>
      <c r="Q94" s="7"/>
    </row>
    <row r="95" spans="1:26" x14ac:dyDescent="0.25">
      <c r="A95" s="3">
        <v>320225</v>
      </c>
      <c r="B95" t="s">
        <v>126</v>
      </c>
      <c r="C95" s="4">
        <v>0.1389</v>
      </c>
      <c r="D95" s="5">
        <v>1.7999999999999999E-2</v>
      </c>
      <c r="E95" s="5">
        <f t="shared" si="3"/>
        <v>2.5</v>
      </c>
      <c r="F95" s="6">
        <f>1-Tableau1[[#This Row],[Poids net]]/Tableau1[[#This Row],[poid brut ]]</f>
        <v>0.99280000000000002</v>
      </c>
      <c r="G95" s="7">
        <v>1</v>
      </c>
      <c r="H95" s="7">
        <v>12</v>
      </c>
      <c r="I95" s="8">
        <v>1</v>
      </c>
      <c r="J95" s="7"/>
      <c r="K95" s="7"/>
      <c r="L95">
        <v>2</v>
      </c>
      <c r="M95">
        <v>2.5</v>
      </c>
      <c r="O95">
        <f>ROUNDUP(22.5*60/Tableau1[[#This Row],[Temps de cuisson (min)]]*Tableau1[[#This Row],[nombre de moule dispo ]]*0.85,0)</f>
        <v>96</v>
      </c>
      <c r="Q95" s="7"/>
    </row>
    <row r="96" spans="1:26" x14ac:dyDescent="0.25">
      <c r="A96" s="3">
        <v>320224</v>
      </c>
      <c r="B96" t="s">
        <v>128</v>
      </c>
      <c r="C96" s="4">
        <v>0.12</v>
      </c>
      <c r="D96" s="5"/>
      <c r="E96" s="5">
        <v>1.38</v>
      </c>
      <c r="F96" s="6">
        <f>1-Tableau1[[#This Row],[Poids net]]/Tableau1[[#This Row],[poid brut ]]</f>
        <v>1</v>
      </c>
      <c r="G96" s="7">
        <v>1</v>
      </c>
      <c r="H96" s="7">
        <v>10</v>
      </c>
      <c r="I96" s="8"/>
      <c r="J96" s="7"/>
      <c r="K96" s="7"/>
      <c r="L96">
        <f>VLOOKUP(Tableau1[[#This Row],[Référence]],Tableau3[],3,FALSE)</f>
        <v>0</v>
      </c>
      <c r="M96">
        <v>1.5</v>
      </c>
      <c r="O96">
        <f>ROUNDUP(22.5*60/Tableau1[[#This Row],[Temps de cuisson (min)]]*Tableau1[[#This Row],[nombre de moule dispo ]]*0.85,0)</f>
        <v>0</v>
      </c>
      <c r="Q96" s="7"/>
    </row>
    <row r="97" spans="1:54" x14ac:dyDescent="0.25">
      <c r="A97" s="3">
        <v>320234</v>
      </c>
      <c r="B97" t="s">
        <v>289</v>
      </c>
      <c r="C97" s="4">
        <v>0.12</v>
      </c>
      <c r="D97" s="5"/>
      <c r="E97" s="5">
        <v>1.38</v>
      </c>
      <c r="F97" s="6">
        <f>1-Tableau1[[#This Row],[Poids net]]/Tableau1[[#This Row],[poid brut ]]</f>
        <v>1</v>
      </c>
      <c r="G97" s="7">
        <v>1</v>
      </c>
      <c r="H97" s="7">
        <v>10</v>
      </c>
      <c r="I97" s="8"/>
      <c r="J97" s="7"/>
      <c r="K97" s="7"/>
      <c r="L97">
        <v>0</v>
      </c>
      <c r="M97">
        <v>1.5</v>
      </c>
      <c r="O97">
        <f>ROUNDUP(22.5*60/Tableau1[[#This Row],[Temps de cuisson (min)]]*Tableau1[[#This Row],[nombre de moule dispo ]]*0.85,0)</f>
        <v>0</v>
      </c>
      <c r="Q97" s="7"/>
    </row>
    <row r="98" spans="1:54" x14ac:dyDescent="0.25">
      <c r="A98" s="3">
        <v>800161</v>
      </c>
      <c r="B98" t="s">
        <v>290</v>
      </c>
      <c r="C98" s="4">
        <v>2.8500000000000001E-2</v>
      </c>
      <c r="D98" s="5">
        <v>0.01</v>
      </c>
      <c r="E98" s="5">
        <f t="shared" si="3"/>
        <v>1</v>
      </c>
      <c r="F98" s="6">
        <f>1-Tableau1[[#This Row],[Poids net]]/Tableau1[[#This Row],[poid brut ]]</f>
        <v>0.99</v>
      </c>
      <c r="G98" s="7">
        <v>1</v>
      </c>
      <c r="H98" s="7">
        <v>20</v>
      </c>
      <c r="I98" s="8"/>
      <c r="J98" s="7"/>
      <c r="K98" s="7"/>
      <c r="L98">
        <v>2</v>
      </c>
      <c r="M98">
        <v>2.5</v>
      </c>
      <c r="O98">
        <f>ROUNDUP(22.5*60/Tableau1[[#This Row],[Temps de cuisson (min)]]*Tableau1[[#This Row],[nombre de moule dispo ]]*0.85,0)</f>
        <v>0</v>
      </c>
      <c r="Q98" s="7"/>
    </row>
    <row r="99" spans="1:54" x14ac:dyDescent="0.25">
      <c r="A99" s="3">
        <v>800164</v>
      </c>
      <c r="B99" t="s">
        <v>291</v>
      </c>
      <c r="C99" s="4">
        <v>0.24</v>
      </c>
      <c r="D99" s="5">
        <v>3.57</v>
      </c>
      <c r="E99" s="5">
        <v>4.2</v>
      </c>
      <c r="F99" s="6">
        <f>1-Tableau1[[#This Row],[Poids net]]/Tableau1[[#This Row],[poid brut ]]</f>
        <v>0.15000000000000002</v>
      </c>
      <c r="G99" s="7">
        <v>1</v>
      </c>
      <c r="H99" s="7">
        <v>45</v>
      </c>
      <c r="I99" s="8">
        <v>1</v>
      </c>
      <c r="J99" s="7"/>
      <c r="K99" s="7"/>
      <c r="L99">
        <v>3</v>
      </c>
      <c r="M99">
        <v>1.5</v>
      </c>
      <c r="O99">
        <f>ROUNDUP(22.5*60/Tableau1[[#This Row],[Temps de cuisson (min)]]*Tableau1[[#This Row],[nombre de moule dispo ]]*0.85,0)</f>
        <v>26</v>
      </c>
      <c r="Q99" s="7"/>
    </row>
    <row r="100" spans="1:54" x14ac:dyDescent="0.25">
      <c r="A100" s="3">
        <v>800190</v>
      </c>
      <c r="B100" t="s">
        <v>292</v>
      </c>
      <c r="C100" s="4">
        <v>0.28999999999999998</v>
      </c>
      <c r="D100" s="5">
        <v>8.1999999999999993</v>
      </c>
      <c r="E100" s="5"/>
      <c r="F100" s="6"/>
      <c r="G100" s="7">
        <v>1</v>
      </c>
      <c r="H100" s="7">
        <v>45</v>
      </c>
      <c r="I100" s="8">
        <v>1</v>
      </c>
      <c r="J100" s="7"/>
      <c r="K100" s="7"/>
      <c r="L100">
        <v>3</v>
      </c>
      <c r="M100">
        <v>4</v>
      </c>
      <c r="O100">
        <f>ROUNDUP(22.5*60/Tableau1[[#This Row],[Temps de cuisson (min)]]*Tableau1[[#This Row],[nombre de moule dispo ]]*0.85,0)</f>
        <v>26</v>
      </c>
      <c r="Q100" s="7"/>
    </row>
    <row r="101" spans="1:54" x14ac:dyDescent="0.25">
      <c r="A101">
        <v>320118</v>
      </c>
      <c r="B101" t="s">
        <v>119</v>
      </c>
      <c r="D101" s="9"/>
      <c r="E101" s="9" t="e">
        <f>VLOOKUP(A101,pdsbrut,3,FALSE)</f>
        <v>#N/A</v>
      </c>
      <c r="F101" s="6" t="e">
        <f>1-Tableau1[[#This Row],[Poids net]]/Tableau1[[#This Row],[poid brut ]]</f>
        <v>#N/A</v>
      </c>
      <c r="G101" s="7"/>
      <c r="H101" s="7" t="e">
        <f>recher</f>
        <v>#NAME?</v>
      </c>
      <c r="I101" s="8"/>
      <c r="J101" s="7"/>
      <c r="K101" s="7"/>
      <c r="L101" t="e">
        <f>VLOOKUP(Tableau1[[#This Row],[Référence]],Tableau3[],3,FALSE)</f>
        <v>#N/A</v>
      </c>
      <c r="O101" t="e">
        <f>ROUNDUP(22.5*60/Tableau1[[#This Row],[Temps de cuisson (min)]]*Tableau1[[#This Row],[nombre de moule dispo ]]*0.85,0)</f>
        <v>#NAME?</v>
      </c>
      <c r="Q101" s="7"/>
    </row>
    <row r="102" spans="1:54" ht="15.75" thickBot="1" x14ac:dyDescent="0.3">
      <c r="D102" s="9"/>
      <c r="E102" s="9"/>
      <c r="F102" s="15"/>
      <c r="G102" s="7"/>
      <c r="I102" s="8"/>
      <c r="J102" s="7"/>
      <c r="Q102" s="7"/>
    </row>
    <row r="103" spans="1:54" ht="17.25" x14ac:dyDescent="0.4">
      <c r="A103" s="16"/>
      <c r="B103" s="16"/>
      <c r="C103" s="16"/>
      <c r="D103" s="17"/>
      <c r="E103" s="17"/>
      <c r="F103" s="18" t="s">
        <v>293</v>
      </c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20"/>
    </row>
    <row r="104" spans="1:54" ht="51" x14ac:dyDescent="0.25">
      <c r="A104" s="16" t="s">
        <v>294</v>
      </c>
      <c r="B104" s="16" t="s">
        <v>295</v>
      </c>
      <c r="C104" s="16" t="s">
        <v>296</v>
      </c>
      <c r="D104" s="17" t="s">
        <v>297</v>
      </c>
      <c r="E104" s="17" t="s">
        <v>298</v>
      </c>
      <c r="F104" s="21" t="s">
        <v>299</v>
      </c>
      <c r="G104" s="22" t="s">
        <v>300</v>
      </c>
      <c r="H104" s="22" t="s">
        <v>301</v>
      </c>
      <c r="I104" s="22" t="s">
        <v>302</v>
      </c>
      <c r="J104" s="22" t="s">
        <v>303</v>
      </c>
      <c r="K104" s="23" t="s">
        <v>304</v>
      </c>
      <c r="L104" s="22" t="s">
        <v>305</v>
      </c>
      <c r="M104" s="22" t="s">
        <v>306</v>
      </c>
      <c r="N104" s="22" t="s">
        <v>307</v>
      </c>
      <c r="O104" s="22" t="s">
        <v>308</v>
      </c>
      <c r="P104" s="22" t="s">
        <v>309</v>
      </c>
      <c r="Q104" s="22" t="s">
        <v>310</v>
      </c>
      <c r="R104" s="22" t="s">
        <v>311</v>
      </c>
      <c r="S104" s="22" t="s">
        <v>312</v>
      </c>
      <c r="T104" s="22" t="s">
        <v>313</v>
      </c>
      <c r="U104" s="22" t="s">
        <v>314</v>
      </c>
      <c r="V104" s="22" t="s">
        <v>315</v>
      </c>
      <c r="W104" s="22" t="s">
        <v>316</v>
      </c>
      <c r="X104" s="22" t="s">
        <v>317</v>
      </c>
      <c r="Y104" s="22" t="s">
        <v>318</v>
      </c>
      <c r="Z104" s="22" t="s">
        <v>319</v>
      </c>
      <c r="AA104" s="24" t="s">
        <v>320</v>
      </c>
      <c r="AB104" s="22" t="s">
        <v>321</v>
      </c>
      <c r="AC104" s="22" t="s">
        <v>322</v>
      </c>
      <c r="AD104" s="22" t="s">
        <v>323</v>
      </c>
      <c r="AE104" s="25" t="s">
        <v>324</v>
      </c>
      <c r="AF104" s="26" t="s">
        <v>325</v>
      </c>
      <c r="AG104" s="22" t="s">
        <v>326</v>
      </c>
      <c r="AH104" s="22" t="s">
        <v>327</v>
      </c>
      <c r="AI104" s="22" t="s">
        <v>328</v>
      </c>
      <c r="AJ104" s="22" t="s">
        <v>329</v>
      </c>
      <c r="AK104" s="22" t="s">
        <v>330</v>
      </c>
      <c r="AL104" s="27" t="s">
        <v>331</v>
      </c>
      <c r="AM104" s="28" t="s">
        <v>332</v>
      </c>
      <c r="AN104" s="29" t="s">
        <v>333</v>
      </c>
      <c r="AO104" s="30" t="s">
        <v>334</v>
      </c>
    </row>
    <row r="105" spans="1:54" ht="25.5" x14ac:dyDescent="0.25">
      <c r="A105" s="16"/>
      <c r="B105" s="16"/>
      <c r="C105" s="16"/>
      <c r="D105" s="17"/>
      <c r="E105" s="17"/>
      <c r="F105" s="31"/>
      <c r="G105" s="32"/>
      <c r="H105" s="32"/>
      <c r="I105" s="32"/>
      <c r="J105" s="33">
        <v>1.5049999999999999</v>
      </c>
      <c r="K105" s="34">
        <v>1.97</v>
      </c>
      <c r="L105" s="35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>
        <v>0.16500000000000001</v>
      </c>
      <c r="AB105" s="32"/>
      <c r="AC105" s="32"/>
      <c r="AD105" s="32"/>
      <c r="AE105" s="36" t="s">
        <v>335</v>
      </c>
      <c r="AF105" s="36" t="s">
        <v>336</v>
      </c>
      <c r="AG105" s="32">
        <v>1.37</v>
      </c>
      <c r="AH105" s="32"/>
      <c r="AI105" s="32"/>
      <c r="AJ105" s="32"/>
      <c r="AK105" s="32"/>
      <c r="AL105" s="33"/>
      <c r="AM105" s="35"/>
      <c r="AN105" s="37"/>
      <c r="AO105" s="38"/>
    </row>
    <row r="106" spans="1:54" ht="30.75" thickBot="1" x14ac:dyDescent="0.3">
      <c r="A106" s="39" t="s">
        <v>0</v>
      </c>
      <c r="B106" s="39" t="s">
        <v>1</v>
      </c>
      <c r="C106" s="39"/>
      <c r="D106" s="40"/>
      <c r="E106" s="41"/>
      <c r="F106" s="42"/>
      <c r="G106" s="43"/>
      <c r="H106" s="44"/>
      <c r="I106" s="45"/>
      <c r="J106" s="43"/>
      <c r="K106" s="44"/>
      <c r="L106" s="44"/>
      <c r="M106" s="44"/>
      <c r="N106" s="44"/>
      <c r="O106" s="44"/>
      <c r="P106" s="44"/>
      <c r="Q106" s="43"/>
      <c r="R106" s="44"/>
      <c r="S106" s="44"/>
      <c r="T106" s="44"/>
      <c r="U106" s="44"/>
      <c r="V106" s="44"/>
      <c r="W106" s="44"/>
      <c r="X106" s="44"/>
      <c r="Y106" s="44"/>
      <c r="Z106" s="44"/>
      <c r="AA106" s="46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44"/>
      <c r="AO106" s="47"/>
    </row>
    <row r="107" spans="1:54" x14ac:dyDescent="0.25">
      <c r="A107" s="48">
        <v>320101</v>
      </c>
      <c r="B107" s="49" t="s">
        <v>25</v>
      </c>
      <c r="C107" s="50"/>
      <c r="D107" s="51"/>
      <c r="E107" s="52"/>
      <c r="F107" s="53"/>
      <c r="G107" s="43"/>
      <c r="H107" s="43"/>
      <c r="I107" s="45"/>
      <c r="J107" s="43"/>
      <c r="K107" s="43">
        <f>2.3-0.33</f>
        <v>1.9699999999999998</v>
      </c>
      <c r="L107" s="43"/>
      <c r="M107" s="43"/>
      <c r="N107" s="43"/>
      <c r="O107" s="43"/>
      <c r="P107" s="43"/>
      <c r="Q107" s="43"/>
      <c r="R107" s="43"/>
      <c r="S107" s="43"/>
      <c r="T107" s="43"/>
      <c r="U107" s="43"/>
      <c r="V107" s="43"/>
      <c r="W107" s="43"/>
      <c r="X107" s="43"/>
      <c r="Y107" s="43"/>
      <c r="Z107" s="43"/>
      <c r="AA107" s="54">
        <f>AA105*2</f>
        <v>0.33</v>
      </c>
      <c r="AB107" s="43"/>
      <c r="AC107" s="43"/>
      <c r="AD107" s="43"/>
      <c r="AE107" s="43"/>
      <c r="AF107" s="43"/>
      <c r="AG107" s="43"/>
      <c r="AH107" s="43"/>
      <c r="AI107" s="43"/>
      <c r="AJ107" s="43"/>
      <c r="AK107" s="43"/>
      <c r="AL107" s="43"/>
      <c r="AM107" s="43"/>
      <c r="AN107" s="43"/>
      <c r="AO107" s="55"/>
      <c r="AP107" s="56"/>
      <c r="AQ107" s="56"/>
      <c r="AR107" s="56"/>
      <c r="AS107" s="56"/>
      <c r="AT107" s="56"/>
      <c r="AU107" s="56"/>
      <c r="AV107" s="56"/>
      <c r="AW107" s="56"/>
      <c r="AX107" s="56"/>
      <c r="AY107" s="56"/>
      <c r="AZ107" s="56"/>
      <c r="BA107" s="56"/>
      <c r="BB107" s="56"/>
    </row>
    <row r="108" spans="1:54" x14ac:dyDescent="0.25">
      <c r="A108" s="57">
        <v>320102</v>
      </c>
      <c r="B108" s="58" t="s">
        <v>31</v>
      </c>
      <c r="C108" s="57"/>
      <c r="D108" s="59"/>
      <c r="E108" s="60"/>
      <c r="F108" s="53"/>
      <c r="G108" s="43"/>
      <c r="H108" s="43"/>
      <c r="I108" s="45"/>
      <c r="J108" s="43"/>
      <c r="K108" s="43"/>
      <c r="L108" s="43"/>
      <c r="M108" s="43"/>
      <c r="N108" s="43"/>
      <c r="O108" s="43"/>
      <c r="P108" s="43"/>
      <c r="Q108" s="43"/>
      <c r="R108" s="43"/>
      <c r="S108" s="43"/>
      <c r="T108" s="43"/>
      <c r="U108" s="43"/>
      <c r="V108" s="43"/>
      <c r="W108" s="43"/>
      <c r="X108" s="43"/>
      <c r="Y108" s="43"/>
      <c r="Z108" s="43"/>
      <c r="AA108" s="54"/>
      <c r="AB108" s="43"/>
      <c r="AC108" s="43"/>
      <c r="AD108" s="43"/>
      <c r="AE108" s="43"/>
      <c r="AF108" s="43"/>
      <c r="AG108" s="43"/>
      <c r="AH108" s="43"/>
      <c r="AI108" s="43"/>
      <c r="AJ108" s="43"/>
      <c r="AK108" s="43"/>
      <c r="AL108" s="43"/>
      <c r="AM108" s="43"/>
      <c r="AN108" s="43"/>
      <c r="AO108" s="55"/>
      <c r="AP108" s="61"/>
      <c r="AQ108" s="61"/>
      <c r="AR108" s="61"/>
      <c r="AS108" s="61"/>
      <c r="AT108" s="61"/>
      <c r="AU108" s="61"/>
      <c r="AV108" s="61"/>
      <c r="AW108" s="61"/>
      <c r="AX108" s="61"/>
      <c r="AY108" s="61"/>
      <c r="AZ108" s="61"/>
      <c r="BA108" s="61"/>
      <c r="BB108" s="61"/>
    </row>
    <row r="109" spans="1:54" x14ac:dyDescent="0.25">
      <c r="A109" s="48">
        <v>320103</v>
      </c>
      <c r="B109" s="49" t="s">
        <v>35</v>
      </c>
      <c r="C109" s="48"/>
      <c r="D109" s="62"/>
      <c r="E109" s="63"/>
      <c r="F109" s="53"/>
      <c r="G109" s="43"/>
      <c r="H109" s="43"/>
      <c r="I109" s="45"/>
      <c r="J109" s="43"/>
      <c r="K109" s="43"/>
      <c r="L109" s="43"/>
      <c r="M109" s="43"/>
      <c r="N109" s="43"/>
      <c r="O109" s="43"/>
      <c r="P109" s="43"/>
      <c r="Q109" s="43"/>
      <c r="R109" s="43"/>
      <c r="S109" s="43"/>
      <c r="T109" s="43"/>
      <c r="U109" s="43"/>
      <c r="V109" s="43"/>
      <c r="W109" s="43"/>
      <c r="X109" s="43"/>
      <c r="Y109" s="43"/>
      <c r="Z109" s="43"/>
      <c r="AA109" s="54">
        <v>0.16500000000000001</v>
      </c>
      <c r="AB109" s="43"/>
      <c r="AC109" s="43"/>
      <c r="AD109" s="43"/>
      <c r="AE109" s="43"/>
      <c r="AF109" s="43"/>
      <c r="AG109" s="43">
        <f>AG105</f>
        <v>1.37</v>
      </c>
      <c r="AH109" s="43"/>
      <c r="AI109" s="43"/>
      <c r="AJ109" s="43"/>
      <c r="AK109" s="43"/>
      <c r="AL109" s="43"/>
      <c r="AM109" s="43"/>
      <c r="AN109" s="43"/>
      <c r="AO109" s="55"/>
      <c r="AP109" s="56"/>
      <c r="AQ109" s="56"/>
      <c r="AR109" s="56"/>
      <c r="AS109" s="56"/>
      <c r="AT109" s="56"/>
      <c r="AU109" s="56"/>
      <c r="AV109" s="56"/>
      <c r="AW109" s="56"/>
      <c r="AX109" s="56"/>
      <c r="AY109" s="56"/>
      <c r="AZ109" s="56"/>
      <c r="BA109" s="56"/>
      <c r="BB109" s="56"/>
    </row>
    <row r="110" spans="1:54" x14ac:dyDescent="0.25">
      <c r="A110" s="57">
        <v>320108</v>
      </c>
      <c r="B110" s="58" t="s">
        <v>39</v>
      </c>
      <c r="C110" s="57"/>
      <c r="D110" s="59"/>
      <c r="E110" s="60"/>
      <c r="F110" s="53"/>
      <c r="G110" s="43"/>
      <c r="H110" s="43"/>
      <c r="I110" s="45"/>
      <c r="J110" s="43"/>
      <c r="K110" s="43"/>
      <c r="L110" s="43"/>
      <c r="M110" s="43"/>
      <c r="N110" s="43"/>
      <c r="O110" s="43"/>
      <c r="P110" s="43"/>
      <c r="Q110" s="43"/>
      <c r="R110" s="43"/>
      <c r="S110" s="43"/>
      <c r="T110" s="43"/>
      <c r="U110" s="43"/>
      <c r="V110" s="43"/>
      <c r="W110" s="43"/>
      <c r="X110" s="43"/>
      <c r="Y110" s="43"/>
      <c r="Z110" s="43"/>
      <c r="AA110" s="54"/>
      <c r="AB110" s="43"/>
      <c r="AC110" s="43"/>
      <c r="AD110" s="43"/>
      <c r="AE110" s="43"/>
      <c r="AF110" s="43"/>
      <c r="AG110" s="43"/>
      <c r="AH110" s="43"/>
      <c r="AI110" s="43"/>
      <c r="AJ110" s="43"/>
      <c r="AK110" s="43"/>
      <c r="AL110" s="43"/>
      <c r="AM110" s="43"/>
      <c r="AN110" s="43"/>
      <c r="AO110" s="55"/>
      <c r="AP110" s="61"/>
      <c r="AQ110" s="61"/>
      <c r="AR110" s="61"/>
      <c r="AS110" s="61"/>
      <c r="AT110" s="61"/>
      <c r="AU110" s="61"/>
      <c r="AV110" s="61"/>
      <c r="AW110" s="61"/>
      <c r="AX110" s="61"/>
      <c r="AY110" s="61"/>
      <c r="AZ110" s="61"/>
      <c r="BA110" s="61"/>
      <c r="BB110" s="61"/>
    </row>
    <row r="111" spans="1:54" x14ac:dyDescent="0.25">
      <c r="A111" s="48">
        <v>320109</v>
      </c>
      <c r="B111" s="49" t="s">
        <v>43</v>
      </c>
      <c r="C111" s="50"/>
      <c r="D111" s="51"/>
      <c r="E111" s="52"/>
      <c r="F111" s="53"/>
      <c r="G111" s="43"/>
      <c r="H111" s="43"/>
      <c r="I111" s="45"/>
      <c r="J111" s="43"/>
      <c r="K111" s="43">
        <f>2.07-0.33</f>
        <v>1.7399999999999998</v>
      </c>
      <c r="L111" s="43"/>
      <c r="M111" s="43"/>
      <c r="N111" s="43"/>
      <c r="O111" s="43"/>
      <c r="P111" s="43"/>
      <c r="Q111" s="43"/>
      <c r="R111" s="43"/>
      <c r="S111" s="43"/>
      <c r="T111" s="43"/>
      <c r="U111" s="43"/>
      <c r="V111" s="43"/>
      <c r="W111" s="43"/>
      <c r="X111" s="43"/>
      <c r="Y111" s="43"/>
      <c r="Z111" s="43"/>
      <c r="AA111" s="54">
        <f>AA105*2</f>
        <v>0.33</v>
      </c>
      <c r="AB111" s="43"/>
      <c r="AC111" s="43"/>
      <c r="AD111" s="43"/>
      <c r="AE111" s="43"/>
      <c r="AF111" s="43"/>
      <c r="AG111" s="43"/>
      <c r="AH111" s="43"/>
      <c r="AI111" s="43"/>
      <c r="AJ111" s="43"/>
      <c r="AK111" s="43"/>
      <c r="AL111" s="43"/>
      <c r="AM111" s="43"/>
      <c r="AN111" s="43"/>
      <c r="AO111" s="55"/>
      <c r="AP111" s="56"/>
      <c r="AQ111" s="56"/>
      <c r="AR111" s="56"/>
      <c r="AS111" s="56"/>
      <c r="AT111" s="56"/>
      <c r="AU111" s="56"/>
      <c r="AV111" s="56"/>
      <c r="AW111" s="56"/>
      <c r="AX111" s="56"/>
      <c r="AY111" s="56"/>
      <c r="AZ111" s="56"/>
      <c r="BA111" s="56"/>
      <c r="BB111" s="56"/>
    </row>
    <row r="112" spans="1:54" x14ac:dyDescent="0.25">
      <c r="A112" s="57">
        <v>320111</v>
      </c>
      <c r="B112" s="58" t="s">
        <v>46</v>
      </c>
      <c r="C112" s="64"/>
      <c r="D112" s="65"/>
      <c r="E112" s="66"/>
      <c r="F112" s="53"/>
      <c r="G112" s="43"/>
      <c r="H112" s="43"/>
      <c r="I112" s="45"/>
      <c r="J112" s="43"/>
      <c r="K112" s="43"/>
      <c r="L112" s="43"/>
      <c r="M112" s="43"/>
      <c r="N112" s="43"/>
      <c r="O112" s="43"/>
      <c r="P112" s="43"/>
      <c r="Q112" s="43"/>
      <c r="R112" s="43"/>
      <c r="S112" s="43"/>
      <c r="T112" s="43"/>
      <c r="U112" s="43"/>
      <c r="V112" s="43"/>
      <c r="W112" s="43"/>
      <c r="X112" s="43"/>
      <c r="Y112" s="43"/>
      <c r="Z112" s="43"/>
      <c r="AA112" s="54"/>
      <c r="AB112" s="43"/>
      <c r="AC112" s="43"/>
      <c r="AD112" s="43"/>
      <c r="AE112" s="43"/>
      <c r="AF112" s="43"/>
      <c r="AG112" s="43"/>
      <c r="AH112" s="43"/>
      <c r="AI112" s="43"/>
      <c r="AJ112" s="43"/>
      <c r="AK112" s="43"/>
      <c r="AL112" s="43"/>
      <c r="AM112" s="43"/>
      <c r="AN112" s="43"/>
      <c r="AO112" s="55"/>
    </row>
    <row r="113" spans="1:54" x14ac:dyDescent="0.25">
      <c r="A113" s="48">
        <v>320163</v>
      </c>
      <c r="B113" s="49" t="s">
        <v>49</v>
      </c>
      <c r="C113" s="50"/>
      <c r="D113" s="51"/>
      <c r="E113" s="52"/>
      <c r="F113" s="53"/>
      <c r="G113" s="43"/>
      <c r="H113" s="43"/>
      <c r="I113" s="45"/>
      <c r="J113" s="43"/>
      <c r="K113" s="43"/>
      <c r="L113" s="43"/>
      <c r="M113" s="43"/>
      <c r="N113" s="43"/>
      <c r="O113" s="43"/>
      <c r="P113" s="43"/>
      <c r="Q113" s="43"/>
      <c r="R113" s="43"/>
      <c r="S113" s="43"/>
      <c r="T113" s="43"/>
      <c r="U113" s="43"/>
      <c r="V113" s="43"/>
      <c r="W113" s="43"/>
      <c r="X113" s="43"/>
      <c r="Y113" s="43"/>
      <c r="Z113" s="43"/>
      <c r="AA113" s="54"/>
      <c r="AB113" s="43"/>
      <c r="AC113" s="43"/>
      <c r="AD113" s="43"/>
      <c r="AE113" s="43"/>
      <c r="AF113" s="43"/>
      <c r="AG113" s="43"/>
      <c r="AH113" s="43"/>
      <c r="AI113" s="43"/>
      <c r="AJ113" s="43"/>
      <c r="AK113" s="43"/>
      <c r="AL113" s="43"/>
      <c r="AM113" s="43"/>
      <c r="AN113" s="43"/>
      <c r="AO113" s="55"/>
    </row>
    <row r="114" spans="1:54" x14ac:dyDescent="0.25">
      <c r="A114" s="57">
        <v>320168</v>
      </c>
      <c r="B114" s="58" t="s">
        <v>53</v>
      </c>
      <c r="C114" s="64"/>
      <c r="D114" s="65"/>
      <c r="E114" s="66"/>
      <c r="F114" s="53"/>
      <c r="G114" s="43"/>
      <c r="H114" s="43"/>
      <c r="I114" s="45"/>
      <c r="J114" s="43"/>
      <c r="K114" s="43"/>
      <c r="L114" s="43"/>
      <c r="M114" s="43"/>
      <c r="N114" s="43"/>
      <c r="O114" s="43"/>
      <c r="P114" s="43"/>
      <c r="Q114" s="43"/>
      <c r="R114" s="43"/>
      <c r="S114" s="43"/>
      <c r="T114" s="43"/>
      <c r="U114" s="43"/>
      <c r="V114" s="43"/>
      <c r="W114" s="43"/>
      <c r="X114" s="43"/>
      <c r="Y114" s="43"/>
      <c r="Z114" s="43"/>
      <c r="AA114" s="54"/>
      <c r="AB114" s="43"/>
      <c r="AC114" s="43"/>
      <c r="AD114" s="43"/>
      <c r="AE114" s="43"/>
      <c r="AF114" s="43"/>
      <c r="AG114" s="43"/>
      <c r="AH114" s="43"/>
      <c r="AI114" s="43"/>
      <c r="AJ114" s="43"/>
      <c r="AK114" s="43"/>
      <c r="AL114" s="43"/>
      <c r="AM114" s="43"/>
      <c r="AN114" s="43"/>
      <c r="AO114" s="55"/>
    </row>
    <row r="115" spans="1:54" x14ac:dyDescent="0.25">
      <c r="A115" s="48">
        <v>320169</v>
      </c>
      <c r="B115" s="49" t="s">
        <v>57</v>
      </c>
      <c r="C115" s="50"/>
      <c r="D115" s="51"/>
      <c r="E115" s="52"/>
      <c r="F115" s="53"/>
      <c r="G115" s="43"/>
      <c r="H115" s="43"/>
      <c r="I115" s="45"/>
      <c r="J115" s="43"/>
      <c r="K115" s="43"/>
      <c r="L115" s="43"/>
      <c r="M115" s="43"/>
      <c r="N115" s="43"/>
      <c r="O115" s="43"/>
      <c r="P115" s="43"/>
      <c r="Q115" s="43"/>
      <c r="R115" s="43"/>
      <c r="S115" s="43"/>
      <c r="T115" s="43"/>
      <c r="U115" s="43"/>
      <c r="V115" s="43"/>
      <c r="W115" s="43"/>
      <c r="X115" s="43"/>
      <c r="Y115" s="43"/>
      <c r="Z115" s="43"/>
      <c r="AA115" s="54"/>
      <c r="AB115" s="43"/>
      <c r="AC115" s="43"/>
      <c r="AD115" s="43"/>
      <c r="AE115" s="43"/>
      <c r="AF115" s="43"/>
      <c r="AG115" s="43"/>
      <c r="AH115" s="43"/>
      <c r="AI115" s="43"/>
      <c r="AJ115" s="43"/>
      <c r="AK115" s="43"/>
      <c r="AL115" s="43"/>
      <c r="AM115" s="43"/>
      <c r="AN115" s="43"/>
      <c r="AO115" s="55"/>
    </row>
    <row r="116" spans="1:54" x14ac:dyDescent="0.25">
      <c r="A116" s="57">
        <v>320201</v>
      </c>
      <c r="B116" s="58" t="s">
        <v>61</v>
      </c>
      <c r="C116" s="64"/>
      <c r="D116" s="65"/>
      <c r="E116" s="66"/>
      <c r="F116" s="53"/>
      <c r="G116" s="43"/>
      <c r="H116" s="43"/>
      <c r="I116" s="45"/>
      <c r="J116" s="43"/>
      <c r="K116" s="43"/>
      <c r="L116" s="43"/>
      <c r="M116" s="43"/>
      <c r="N116" s="43"/>
      <c r="O116" s="43"/>
      <c r="P116" s="43"/>
      <c r="Q116" s="43"/>
      <c r="R116" s="43"/>
      <c r="S116" s="43"/>
      <c r="T116" s="43"/>
      <c r="U116" s="43"/>
      <c r="V116" s="43"/>
      <c r="W116" s="43"/>
      <c r="X116" s="43"/>
      <c r="Y116" s="43"/>
      <c r="Z116" s="43"/>
      <c r="AA116" s="54">
        <f>AA105*2</f>
        <v>0.33</v>
      </c>
      <c r="AB116" s="43"/>
      <c r="AC116" s="43"/>
      <c r="AD116" s="43"/>
      <c r="AE116" s="43"/>
      <c r="AF116" s="43"/>
      <c r="AG116" s="43">
        <f>AG105</f>
        <v>1.37</v>
      </c>
      <c r="AH116" s="43"/>
      <c r="AI116" s="43"/>
      <c r="AJ116" s="43"/>
      <c r="AK116" s="43"/>
      <c r="AL116" s="43"/>
      <c r="AM116" s="43"/>
      <c r="AN116" s="43"/>
      <c r="AO116" s="55"/>
      <c r="AP116" s="56"/>
      <c r="AQ116" s="56"/>
      <c r="AR116" s="56"/>
      <c r="AS116" s="56"/>
      <c r="AT116" s="56"/>
      <c r="AU116" s="56"/>
      <c r="AV116" s="56"/>
      <c r="AW116" s="56"/>
      <c r="AX116" s="56"/>
      <c r="AY116" s="56"/>
      <c r="AZ116" s="56"/>
      <c r="BA116" s="56"/>
      <c r="BB116" s="56"/>
    </row>
    <row r="117" spans="1:54" x14ac:dyDescent="0.25">
      <c r="A117" s="48">
        <v>320202</v>
      </c>
      <c r="B117" s="49" t="s">
        <v>66</v>
      </c>
      <c r="C117" s="50"/>
      <c r="D117" s="51"/>
      <c r="E117" s="52"/>
      <c r="F117" s="53"/>
      <c r="G117" s="43"/>
      <c r="H117" s="43"/>
      <c r="I117" s="45"/>
      <c r="J117" s="43"/>
      <c r="K117" s="43"/>
      <c r="L117" s="43"/>
      <c r="M117" s="43"/>
      <c r="N117" s="43"/>
      <c r="O117" s="43"/>
      <c r="P117" s="43"/>
      <c r="Q117" s="43"/>
      <c r="R117" s="43"/>
      <c r="S117" s="43"/>
      <c r="T117" s="43"/>
      <c r="U117" s="43"/>
      <c r="V117" s="43"/>
      <c r="W117" s="43"/>
      <c r="X117" s="43"/>
      <c r="Y117" s="43"/>
      <c r="Z117" s="43"/>
      <c r="AA117" s="54"/>
      <c r="AB117" s="43"/>
      <c r="AC117" s="43"/>
      <c r="AD117" s="43"/>
      <c r="AE117" s="43"/>
      <c r="AF117" s="43"/>
      <c r="AG117" s="43"/>
      <c r="AH117" s="43"/>
      <c r="AI117" s="43"/>
      <c r="AJ117" s="43"/>
      <c r="AK117" s="43"/>
      <c r="AL117" s="43"/>
      <c r="AM117" s="43"/>
      <c r="AN117" s="43"/>
      <c r="AO117" s="55"/>
    </row>
    <row r="118" spans="1:54" x14ac:dyDescent="0.25">
      <c r="A118" s="57">
        <v>320203</v>
      </c>
      <c r="B118" s="58" t="s">
        <v>70</v>
      </c>
      <c r="C118" s="64"/>
      <c r="D118" s="65"/>
      <c r="E118" s="66"/>
      <c r="F118" s="53"/>
      <c r="G118" s="43"/>
      <c r="H118" s="43"/>
      <c r="I118" s="45"/>
      <c r="J118" s="43"/>
      <c r="K118" s="43"/>
      <c r="L118" s="43"/>
      <c r="M118" s="43"/>
      <c r="N118" s="43" t="s">
        <v>337</v>
      </c>
      <c r="O118" s="43"/>
      <c r="P118" s="43"/>
      <c r="Q118" s="43"/>
      <c r="R118" s="43"/>
      <c r="S118" s="43"/>
      <c r="T118" s="43"/>
      <c r="U118" s="43"/>
      <c r="V118" s="43"/>
      <c r="W118" s="43"/>
      <c r="X118" s="43"/>
      <c r="Y118" s="43"/>
      <c r="Z118" s="43"/>
      <c r="AA118" s="54"/>
      <c r="AB118" s="43"/>
      <c r="AC118" s="43"/>
      <c r="AD118" s="43"/>
      <c r="AE118" s="43"/>
      <c r="AF118" s="43"/>
      <c r="AG118" s="43"/>
      <c r="AH118" s="43"/>
      <c r="AI118" s="43"/>
      <c r="AJ118" s="43"/>
      <c r="AK118" s="43"/>
      <c r="AL118" s="43"/>
      <c r="AM118" s="43"/>
      <c r="AN118" s="43"/>
      <c r="AO118" s="55"/>
      <c r="AP118" s="56"/>
      <c r="AQ118" s="56"/>
      <c r="AR118" s="56"/>
      <c r="AS118" s="56"/>
      <c r="AT118" s="56"/>
      <c r="AU118" s="56"/>
      <c r="AV118" s="56"/>
      <c r="AW118" s="56"/>
      <c r="AX118" s="56"/>
      <c r="AY118" s="56"/>
      <c r="AZ118" s="56"/>
      <c r="BA118" s="56"/>
      <c r="BB118" s="56"/>
    </row>
    <row r="119" spans="1:54" x14ac:dyDescent="0.25">
      <c r="A119" s="48">
        <v>320204</v>
      </c>
      <c r="B119" s="49" t="s">
        <v>73</v>
      </c>
      <c r="C119" s="50"/>
      <c r="D119" s="51"/>
      <c r="E119" s="52"/>
      <c r="F119" s="53"/>
      <c r="G119" s="43"/>
      <c r="H119" s="43"/>
      <c r="I119" s="45"/>
      <c r="J119" s="43"/>
      <c r="K119" s="43"/>
      <c r="L119" s="43"/>
      <c r="M119" s="43"/>
      <c r="N119" s="43"/>
      <c r="O119" s="43"/>
      <c r="P119" s="43"/>
      <c r="Q119" s="43"/>
      <c r="R119" s="43"/>
      <c r="S119" s="43"/>
      <c r="T119" s="43"/>
      <c r="U119" s="43"/>
      <c r="V119" s="43"/>
      <c r="W119" s="43"/>
      <c r="X119" s="43"/>
      <c r="Y119" s="43"/>
      <c r="Z119" s="43"/>
      <c r="AA119" s="54"/>
      <c r="AB119" s="43"/>
      <c r="AC119" s="43"/>
      <c r="AD119" s="43"/>
      <c r="AE119" s="43"/>
      <c r="AF119" s="43"/>
      <c r="AG119" s="43"/>
      <c r="AH119" s="43"/>
      <c r="AI119" s="43"/>
      <c r="AJ119" s="43"/>
      <c r="AK119" s="43"/>
      <c r="AL119" s="43"/>
      <c r="AM119" s="43"/>
      <c r="AN119" s="43"/>
      <c r="AO119" s="55"/>
    </row>
    <row r="120" spans="1:54" x14ac:dyDescent="0.25">
      <c r="A120" s="57">
        <v>320205</v>
      </c>
      <c r="B120" s="58" t="s">
        <v>76</v>
      </c>
      <c r="C120" s="64"/>
      <c r="D120" s="65"/>
      <c r="E120" s="66"/>
      <c r="F120" s="53"/>
      <c r="G120" s="43"/>
      <c r="H120" s="43"/>
      <c r="I120" s="45"/>
      <c r="J120" s="43"/>
      <c r="K120" s="43"/>
      <c r="L120" s="43"/>
      <c r="M120" s="43"/>
      <c r="N120" s="43"/>
      <c r="O120" s="43"/>
      <c r="P120" s="43"/>
      <c r="Q120" s="43"/>
      <c r="R120" s="43"/>
      <c r="S120" s="43"/>
      <c r="T120" s="43"/>
      <c r="U120" s="43"/>
      <c r="V120" s="43"/>
      <c r="W120" s="43"/>
      <c r="X120" s="43"/>
      <c r="Y120" s="43"/>
      <c r="Z120" s="43"/>
      <c r="AA120" s="54"/>
      <c r="AB120" s="43"/>
      <c r="AC120" s="43"/>
      <c r="AD120" s="43"/>
      <c r="AE120" s="43"/>
      <c r="AF120" s="43"/>
      <c r="AG120" s="43"/>
      <c r="AH120" s="43"/>
      <c r="AI120" s="43"/>
      <c r="AJ120" s="43"/>
      <c r="AK120" s="43"/>
      <c r="AL120" s="43"/>
      <c r="AM120" s="43"/>
      <c r="AN120" s="43"/>
      <c r="AO120" s="55"/>
    </row>
    <row r="121" spans="1:54" x14ac:dyDescent="0.25">
      <c r="A121" s="48">
        <v>320207</v>
      </c>
      <c r="B121" s="49" t="s">
        <v>79</v>
      </c>
      <c r="C121" s="50"/>
      <c r="D121" s="51"/>
      <c r="E121" s="52"/>
      <c r="F121" s="53"/>
      <c r="G121" s="43"/>
      <c r="H121" s="43"/>
      <c r="I121" s="45"/>
      <c r="J121" s="43"/>
      <c r="K121" s="43"/>
      <c r="L121" s="43"/>
      <c r="M121" s="43"/>
      <c r="N121" s="43"/>
      <c r="O121" s="43"/>
      <c r="P121" s="43"/>
      <c r="Q121" s="43"/>
      <c r="R121" s="43"/>
      <c r="S121" s="43"/>
      <c r="T121" s="43"/>
      <c r="U121" s="43"/>
      <c r="V121" s="43"/>
      <c r="W121" s="43"/>
      <c r="X121" s="43"/>
      <c r="Y121" s="43"/>
      <c r="Z121" s="43"/>
      <c r="AA121" s="54"/>
      <c r="AB121" s="43"/>
      <c r="AC121" s="43"/>
      <c r="AD121" s="43"/>
      <c r="AE121" s="43"/>
      <c r="AF121" s="43"/>
      <c r="AG121" s="43"/>
      <c r="AH121" s="43"/>
      <c r="AI121" s="43"/>
      <c r="AJ121" s="43"/>
      <c r="AK121" s="43"/>
      <c r="AL121" s="43"/>
      <c r="AM121" s="43"/>
      <c r="AN121" s="43"/>
      <c r="AO121" s="55"/>
    </row>
    <row r="122" spans="1:54" x14ac:dyDescent="0.25">
      <c r="A122" s="57">
        <v>320208</v>
      </c>
      <c r="B122" s="58" t="s">
        <v>82</v>
      </c>
      <c r="C122" s="64"/>
      <c r="D122" s="65"/>
      <c r="E122" s="66"/>
      <c r="F122" s="53"/>
      <c r="G122" s="43"/>
      <c r="H122" s="43"/>
      <c r="I122" s="45"/>
      <c r="J122" s="43"/>
      <c r="K122" s="43"/>
      <c r="L122" s="43"/>
      <c r="M122" s="43"/>
      <c r="N122" s="43"/>
      <c r="O122" s="43"/>
      <c r="P122" s="43"/>
      <c r="Q122" s="43"/>
      <c r="R122" s="43"/>
      <c r="S122" s="43"/>
      <c r="T122" s="43"/>
      <c r="U122" s="43"/>
      <c r="V122" s="43"/>
      <c r="W122" s="43"/>
      <c r="X122" s="43"/>
      <c r="Y122" s="43"/>
      <c r="Z122" s="43"/>
      <c r="AA122" s="54"/>
      <c r="AB122" s="43"/>
      <c r="AC122" s="43"/>
      <c r="AD122" s="43"/>
      <c r="AE122" s="43"/>
      <c r="AF122" s="43"/>
      <c r="AG122" s="43"/>
      <c r="AH122" s="43"/>
      <c r="AI122" s="43"/>
      <c r="AJ122" s="43"/>
      <c r="AK122" s="43"/>
      <c r="AL122" s="43"/>
      <c r="AM122" s="43"/>
      <c r="AN122" s="43"/>
      <c r="AO122" s="55"/>
    </row>
    <row r="123" spans="1:54" x14ac:dyDescent="0.25">
      <c r="A123" s="48">
        <v>320209</v>
      </c>
      <c r="B123" s="49" t="s">
        <v>85</v>
      </c>
      <c r="C123" s="50"/>
      <c r="D123" s="51"/>
      <c r="E123" s="52"/>
      <c r="F123" s="53"/>
      <c r="G123" s="43"/>
      <c r="H123" s="43"/>
      <c r="I123" s="45"/>
      <c r="J123" s="43"/>
      <c r="K123" s="43"/>
      <c r="L123" s="43"/>
      <c r="M123" s="43"/>
      <c r="N123" s="43"/>
      <c r="O123" s="43"/>
      <c r="P123" s="43"/>
      <c r="Q123" s="43"/>
      <c r="R123" s="43"/>
      <c r="S123" s="43"/>
      <c r="T123" s="43"/>
      <c r="U123" s="43"/>
      <c r="V123" s="43"/>
      <c r="W123" s="43"/>
      <c r="X123" s="43"/>
      <c r="Y123" s="43"/>
      <c r="Z123" s="43"/>
      <c r="AA123" s="54"/>
      <c r="AB123" s="43"/>
      <c r="AC123" s="43"/>
      <c r="AD123" s="43"/>
      <c r="AE123" s="43"/>
      <c r="AF123" s="43"/>
      <c r="AG123" s="43"/>
      <c r="AH123" s="43"/>
      <c r="AI123" s="43"/>
      <c r="AJ123" s="43"/>
      <c r="AK123" s="43"/>
      <c r="AL123" s="43"/>
      <c r="AM123" s="43"/>
      <c r="AN123" s="43"/>
      <c r="AO123" s="55"/>
    </row>
    <row r="124" spans="1:54" x14ac:dyDescent="0.25">
      <c r="A124" s="57">
        <v>320210</v>
      </c>
      <c r="B124" s="58" t="s">
        <v>88</v>
      </c>
      <c r="C124" s="64"/>
      <c r="D124" s="65"/>
      <c r="E124" s="66"/>
      <c r="F124" s="53"/>
      <c r="G124" s="43"/>
      <c r="H124" s="43"/>
      <c r="I124" s="45"/>
      <c r="J124" s="43"/>
      <c r="K124" s="43"/>
      <c r="L124" s="43"/>
      <c r="M124" s="43"/>
      <c r="N124" s="43"/>
      <c r="O124" s="43"/>
      <c r="P124" s="43"/>
      <c r="Q124" s="43"/>
      <c r="R124" s="43"/>
      <c r="S124" s="43"/>
      <c r="T124" s="43"/>
      <c r="U124" s="43"/>
      <c r="V124" s="43"/>
      <c r="W124" s="43"/>
      <c r="X124" s="43"/>
      <c r="Y124" s="43"/>
      <c r="Z124" s="43"/>
      <c r="AA124" s="54"/>
      <c r="AB124" s="43"/>
      <c r="AC124" s="43"/>
      <c r="AD124" s="43"/>
      <c r="AE124" s="43"/>
      <c r="AF124" s="43"/>
      <c r="AG124" s="43"/>
      <c r="AH124" s="43"/>
      <c r="AI124" s="43"/>
      <c r="AJ124" s="43"/>
      <c r="AK124" s="43"/>
      <c r="AL124" s="43"/>
      <c r="AM124" s="43"/>
      <c r="AN124" s="43"/>
      <c r="AO124" s="55"/>
    </row>
    <row r="125" spans="1:54" x14ac:dyDescent="0.25">
      <c r="A125" s="48">
        <v>320211</v>
      </c>
      <c r="B125" s="49" t="s">
        <v>91</v>
      </c>
      <c r="C125" s="50"/>
      <c r="D125" s="51"/>
      <c r="E125" s="52"/>
      <c r="F125" s="53"/>
      <c r="G125" s="43"/>
      <c r="H125" s="43"/>
      <c r="I125" s="45"/>
      <c r="J125" s="43"/>
      <c r="K125" s="43"/>
      <c r="L125" s="43"/>
      <c r="M125" s="43"/>
      <c r="N125" s="43"/>
      <c r="O125" s="43"/>
      <c r="P125" s="43"/>
      <c r="Q125" s="43"/>
      <c r="R125" s="43"/>
      <c r="S125" s="43"/>
      <c r="T125" s="43"/>
      <c r="U125" s="43"/>
      <c r="V125" s="43"/>
      <c r="W125" s="43"/>
      <c r="X125" s="43"/>
      <c r="Y125" s="43"/>
      <c r="Z125" s="43"/>
      <c r="AA125" s="54"/>
      <c r="AB125" s="43"/>
      <c r="AC125" s="43"/>
      <c r="AD125" s="43"/>
      <c r="AE125" s="43"/>
      <c r="AF125" s="43"/>
      <c r="AG125" s="43"/>
      <c r="AH125" s="43"/>
      <c r="AI125" s="43"/>
      <c r="AJ125" s="43"/>
      <c r="AK125" s="43"/>
      <c r="AL125" s="43"/>
      <c r="AM125" s="43"/>
      <c r="AN125" s="43"/>
      <c r="AO125" s="55"/>
    </row>
    <row r="126" spans="1:54" ht="15.75" thickBot="1" x14ac:dyDescent="0.3">
      <c r="A126" s="57">
        <v>320212</v>
      </c>
      <c r="B126" s="58" t="s">
        <v>94</v>
      </c>
      <c r="C126" s="64"/>
      <c r="D126" s="65"/>
      <c r="E126" s="66"/>
      <c r="F126" s="67"/>
      <c r="G126" s="68"/>
      <c r="H126" s="68"/>
      <c r="I126" s="69"/>
      <c r="J126" s="68">
        <f>J105*2</f>
        <v>3.01</v>
      </c>
      <c r="K126" s="68"/>
      <c r="L126" s="68"/>
      <c r="M126" s="68"/>
      <c r="N126" s="68"/>
      <c r="O126" s="68"/>
      <c r="P126" s="68"/>
      <c r="Q126" s="68"/>
      <c r="R126" s="68"/>
      <c r="S126" s="68"/>
      <c r="T126" s="68"/>
      <c r="U126" s="68"/>
      <c r="V126" s="68"/>
      <c r="W126" s="68"/>
      <c r="X126" s="68"/>
      <c r="Y126" s="68"/>
      <c r="Z126" s="68"/>
      <c r="AA126" s="70">
        <f>0.165*2</f>
        <v>0.33</v>
      </c>
      <c r="AB126" s="68"/>
      <c r="AC126" s="68"/>
      <c r="AD126" s="68"/>
      <c r="AE126" s="68"/>
      <c r="AF126" s="68"/>
      <c r="AG126" s="68"/>
      <c r="AH126" s="68"/>
      <c r="AI126" s="68"/>
      <c r="AJ126" s="68"/>
      <c r="AK126" s="68"/>
      <c r="AL126" s="68"/>
      <c r="AM126" s="68"/>
      <c r="AN126" s="68"/>
      <c r="AO126" s="71"/>
      <c r="AP126" s="72"/>
      <c r="AQ126" s="72"/>
      <c r="AR126" s="72"/>
      <c r="AS126" s="72"/>
      <c r="AT126" s="72"/>
      <c r="AU126" s="72"/>
      <c r="AV126" s="72"/>
      <c r="AW126" s="72"/>
      <c r="AX126" s="72"/>
      <c r="AY126" s="72"/>
      <c r="AZ126" s="72"/>
      <c r="BA126" s="72"/>
      <c r="BB126" s="72"/>
    </row>
    <row r="127" spans="1:54" x14ac:dyDescent="0.25">
      <c r="A127" s="73">
        <v>320216</v>
      </c>
      <c r="B127" s="74" t="s">
        <v>97</v>
      </c>
      <c r="C127" s="75">
        <v>0.13</v>
      </c>
      <c r="D127" s="76">
        <v>2</v>
      </c>
      <c r="E127" s="76">
        <f t="shared" ref="E127:E132" si="4">VLOOKUP(A127,pdsbrut,3,FALSE)</f>
        <v>2.2999999999999998</v>
      </c>
      <c r="F127" s="77"/>
      <c r="G127" s="7"/>
      <c r="H127" s="7"/>
      <c r="I127" s="8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 t="s">
        <v>338</v>
      </c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</row>
    <row r="128" spans="1:54" x14ac:dyDescent="0.25">
      <c r="A128" s="78">
        <v>320217</v>
      </c>
      <c r="B128" s="79" t="s">
        <v>100</v>
      </c>
      <c r="C128" s="80">
        <v>0.17</v>
      </c>
      <c r="D128" s="81">
        <v>2.875</v>
      </c>
      <c r="E128" s="81">
        <f t="shared" si="4"/>
        <v>3.3</v>
      </c>
      <c r="F128" s="77"/>
      <c r="G128" s="7"/>
      <c r="H128" s="7"/>
      <c r="I128" s="8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</row>
    <row r="129" spans="1:54" x14ac:dyDescent="0.25">
      <c r="A129" s="82">
        <v>320219</v>
      </c>
      <c r="B129" s="83" t="s">
        <v>104</v>
      </c>
      <c r="C129" s="84">
        <v>0.12</v>
      </c>
      <c r="D129" s="85">
        <v>2</v>
      </c>
      <c r="E129" s="85">
        <f t="shared" si="4"/>
        <v>2.2999999999999998</v>
      </c>
      <c r="F129" s="86"/>
      <c r="G129" s="87"/>
      <c r="H129" s="87"/>
      <c r="I129" s="88"/>
      <c r="J129" s="87">
        <f>J105</f>
        <v>1.5049999999999999</v>
      </c>
      <c r="K129" s="87"/>
      <c r="L129" s="87"/>
      <c r="M129" s="87"/>
      <c r="N129" s="87"/>
      <c r="O129" s="87"/>
      <c r="P129" s="87"/>
      <c r="Q129" s="87"/>
      <c r="R129" s="87"/>
      <c r="S129" s="87"/>
      <c r="T129" s="87"/>
      <c r="U129" s="87"/>
      <c r="V129" s="87"/>
      <c r="W129" s="87"/>
      <c r="X129" s="87"/>
      <c r="Y129" s="87"/>
      <c r="Z129" s="87"/>
      <c r="AA129" s="87">
        <v>0.33</v>
      </c>
      <c r="AB129" s="87"/>
      <c r="AC129" s="87"/>
      <c r="AD129" s="87"/>
      <c r="AE129" s="87"/>
      <c r="AF129" s="87"/>
      <c r="AG129" s="87"/>
      <c r="AH129" s="87"/>
      <c r="AI129" s="87"/>
      <c r="AJ129" s="87"/>
      <c r="AK129" s="87"/>
      <c r="AL129" s="87"/>
      <c r="AM129" s="87"/>
      <c r="AN129" s="87"/>
      <c r="AO129" s="87"/>
      <c r="AP129" s="56"/>
      <c r="AQ129" s="56"/>
      <c r="AR129" s="56"/>
      <c r="AS129" s="56"/>
      <c r="AT129" s="56"/>
      <c r="AU129" s="56"/>
      <c r="AV129" s="56"/>
      <c r="AW129" s="56"/>
      <c r="AX129" s="56"/>
      <c r="AY129" s="56"/>
      <c r="AZ129" s="56"/>
      <c r="BA129" s="56"/>
      <c r="BB129" s="56"/>
    </row>
    <row r="130" spans="1:54" x14ac:dyDescent="0.25">
      <c r="A130" s="78">
        <v>320220</v>
      </c>
      <c r="B130" s="79" t="s">
        <v>107</v>
      </c>
      <c r="C130" s="80">
        <v>0.12</v>
      </c>
      <c r="D130" s="81">
        <v>2.8</v>
      </c>
      <c r="E130" s="81">
        <f t="shared" si="4"/>
        <v>3.25</v>
      </c>
      <c r="F130" s="77"/>
      <c r="G130" s="7"/>
      <c r="H130" s="7"/>
      <c r="I130" s="8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</row>
    <row r="131" spans="1:54" x14ac:dyDescent="0.25">
      <c r="A131" s="82">
        <v>320221</v>
      </c>
      <c r="B131" s="83" t="s">
        <v>110</v>
      </c>
      <c r="C131" s="84">
        <v>0.12</v>
      </c>
      <c r="D131" s="85">
        <v>1.6</v>
      </c>
      <c r="E131" s="85">
        <f t="shared" si="4"/>
        <v>1.84</v>
      </c>
      <c r="F131" s="86"/>
      <c r="G131" s="87"/>
      <c r="H131" s="87"/>
      <c r="I131" s="88"/>
      <c r="J131" s="87">
        <f>J105*1.5</f>
        <v>2.2574999999999998</v>
      </c>
      <c r="K131" s="87"/>
      <c r="L131" s="87"/>
      <c r="M131" s="87"/>
      <c r="N131" s="87"/>
      <c r="O131" s="87"/>
      <c r="P131" s="87"/>
      <c r="Q131" s="87"/>
      <c r="R131" s="87"/>
      <c r="S131" s="87"/>
      <c r="T131" s="87"/>
      <c r="U131" s="87"/>
      <c r="V131" s="87"/>
      <c r="W131" s="87"/>
      <c r="X131" s="87"/>
      <c r="Y131" s="87"/>
      <c r="Z131" s="87"/>
      <c r="AA131" s="87"/>
      <c r="AB131" s="87"/>
      <c r="AC131" s="87"/>
      <c r="AD131" s="87"/>
      <c r="AE131" s="87"/>
      <c r="AF131" s="87"/>
      <c r="AG131" s="87"/>
      <c r="AH131" s="87"/>
      <c r="AI131" s="87"/>
      <c r="AJ131" s="87"/>
      <c r="AK131" s="87"/>
      <c r="AL131" s="87"/>
      <c r="AM131" s="87"/>
      <c r="AN131" s="87"/>
      <c r="AO131" s="87"/>
      <c r="AP131" s="56"/>
      <c r="AQ131" s="56"/>
      <c r="AR131" s="56"/>
      <c r="AS131" s="56"/>
      <c r="AT131" s="56"/>
      <c r="AU131" s="56"/>
      <c r="AV131" s="56"/>
      <c r="AW131" s="56"/>
      <c r="AX131" s="56"/>
      <c r="AY131" s="56"/>
      <c r="AZ131" s="56"/>
      <c r="BA131" s="56"/>
      <c r="BB131" s="56"/>
    </row>
    <row r="132" spans="1:54" x14ac:dyDescent="0.25">
      <c r="A132" s="89">
        <v>320222</v>
      </c>
      <c r="B132" s="90" t="s">
        <v>113</v>
      </c>
      <c r="C132" s="91">
        <v>0.12</v>
      </c>
      <c r="D132" s="92">
        <v>2.52</v>
      </c>
      <c r="E132" s="92">
        <f t="shared" si="4"/>
        <v>2.9</v>
      </c>
      <c r="F132" s="86"/>
      <c r="G132" s="87"/>
      <c r="H132" s="87"/>
      <c r="I132" s="88"/>
      <c r="J132" s="87">
        <f>J105*2</f>
        <v>3.01</v>
      </c>
      <c r="K132" s="87"/>
      <c r="L132" s="87"/>
      <c r="M132" s="87"/>
      <c r="N132" s="87"/>
      <c r="O132" s="87"/>
      <c r="P132" s="87"/>
      <c r="Q132" s="87"/>
      <c r="R132" s="87"/>
      <c r="S132" s="87"/>
      <c r="T132" s="87"/>
      <c r="U132" s="87"/>
      <c r="V132" s="87"/>
      <c r="W132" s="87"/>
      <c r="X132" s="87"/>
      <c r="Y132" s="87"/>
      <c r="Z132" s="87"/>
      <c r="AA132" s="87">
        <v>0.16500000000000001</v>
      </c>
      <c r="AB132" s="87"/>
      <c r="AC132" s="87"/>
      <c r="AD132" s="87"/>
      <c r="AE132" s="87"/>
      <c r="AF132" s="87"/>
      <c r="AG132" s="87"/>
      <c r="AH132" s="87"/>
      <c r="AI132" s="87"/>
      <c r="AJ132" s="87"/>
      <c r="AK132" s="87"/>
      <c r="AL132" s="87"/>
      <c r="AM132" s="87"/>
      <c r="AN132" s="87"/>
      <c r="AO132" s="87"/>
      <c r="AP132" s="56"/>
      <c r="AQ132" s="56"/>
      <c r="AR132" s="56"/>
      <c r="AS132" s="56"/>
      <c r="AT132" s="56"/>
      <c r="AU132" s="56"/>
      <c r="AV132" s="56"/>
      <c r="AW132" s="56"/>
      <c r="AX132" s="56"/>
      <c r="AY132" s="56"/>
      <c r="AZ132" s="56"/>
      <c r="BA132" s="56"/>
      <c r="BB132" s="56"/>
    </row>
    <row r="133" spans="1:54" x14ac:dyDescent="0.25">
      <c r="A133" s="82">
        <v>320230</v>
      </c>
      <c r="B133" s="83" t="s">
        <v>116</v>
      </c>
      <c r="C133" s="84">
        <v>0.12</v>
      </c>
      <c r="D133" s="85">
        <v>2.8</v>
      </c>
      <c r="E133" s="85">
        <v>3.25</v>
      </c>
      <c r="F133" s="86"/>
      <c r="G133" s="87"/>
      <c r="H133" s="87"/>
      <c r="I133" s="88"/>
      <c r="J133" s="87">
        <f>J105*2</f>
        <v>3.01</v>
      </c>
      <c r="K133" s="87"/>
      <c r="L133" s="87"/>
      <c r="M133" s="87"/>
      <c r="N133" s="87"/>
      <c r="O133" s="87"/>
      <c r="P133" s="87"/>
      <c r="Q133" s="87"/>
      <c r="R133" s="87"/>
      <c r="S133" s="87"/>
      <c r="T133" s="87"/>
      <c r="U133" s="87"/>
      <c r="V133" s="87"/>
      <c r="W133" s="87"/>
      <c r="X133" s="87"/>
      <c r="Y133" s="87"/>
      <c r="Z133" s="87"/>
      <c r="AA133" s="87">
        <v>0.33</v>
      </c>
      <c r="AB133" s="87"/>
      <c r="AC133" s="87"/>
      <c r="AD133" s="87"/>
      <c r="AE133" s="87"/>
      <c r="AF133" s="87"/>
      <c r="AG133" s="87"/>
      <c r="AH133" s="87"/>
      <c r="AI133" s="87"/>
      <c r="AJ133" s="87"/>
      <c r="AK133" s="87"/>
      <c r="AL133" s="87"/>
      <c r="AM133" s="87"/>
      <c r="AN133" s="87"/>
      <c r="AO133" s="87"/>
      <c r="AP133" s="56"/>
      <c r="AQ133" s="56"/>
      <c r="AR133" s="56"/>
      <c r="AS133" s="56"/>
      <c r="AT133" s="56"/>
      <c r="AU133" s="56"/>
      <c r="AV133" s="56"/>
      <c r="AW133" s="56"/>
      <c r="AX133" s="56"/>
      <c r="AY133" s="56"/>
      <c r="AZ133" s="56"/>
      <c r="BA133" s="56"/>
      <c r="BB133" s="56"/>
    </row>
    <row r="134" spans="1:54" x14ac:dyDescent="0.25">
      <c r="A134" s="93">
        <v>320238</v>
      </c>
      <c r="B134" s="90" t="s">
        <v>119</v>
      </c>
      <c r="C134" s="90">
        <v>0.23</v>
      </c>
      <c r="D134" s="92">
        <v>3.9</v>
      </c>
      <c r="E134" s="94" t="e">
        <f>VLOOKUP(A134,pdsbrut,3,FALSE)</f>
        <v>#N/A</v>
      </c>
      <c r="F134" s="86"/>
      <c r="G134" s="87"/>
      <c r="H134" s="87"/>
      <c r="I134" s="88"/>
      <c r="J134" s="87"/>
      <c r="K134" s="87"/>
      <c r="L134" s="87"/>
      <c r="M134" s="87"/>
      <c r="N134" s="87"/>
      <c r="O134" s="87"/>
      <c r="P134" s="87">
        <v>2</v>
      </c>
      <c r="Q134" s="87"/>
      <c r="R134" s="87"/>
      <c r="S134" s="87"/>
      <c r="T134" s="87"/>
      <c r="U134" s="87"/>
      <c r="V134" s="87"/>
      <c r="W134" s="87"/>
      <c r="X134" s="87"/>
      <c r="Y134" s="87"/>
      <c r="Z134" s="87"/>
      <c r="AA134" s="87">
        <f>0.165*4.5</f>
        <v>0.74250000000000005</v>
      </c>
      <c r="AB134" s="87">
        <v>1</v>
      </c>
      <c r="AC134" s="87"/>
      <c r="AD134" s="87"/>
      <c r="AE134" s="87"/>
      <c r="AF134" s="87"/>
      <c r="AG134" s="87"/>
      <c r="AH134" s="87"/>
      <c r="AI134" s="87"/>
      <c r="AJ134" s="87"/>
      <c r="AK134" s="87"/>
      <c r="AL134" s="87"/>
      <c r="AM134" s="87"/>
      <c r="AN134" s="87"/>
      <c r="AO134" s="87"/>
      <c r="AP134" s="56"/>
      <c r="AQ134" s="56"/>
      <c r="AR134" s="56"/>
      <c r="AS134" s="56"/>
      <c r="AT134" s="56"/>
      <c r="AU134" s="56"/>
      <c r="AV134" s="56"/>
      <c r="AW134" s="56"/>
      <c r="AX134" s="56"/>
      <c r="AY134" s="56"/>
      <c r="AZ134" s="56"/>
      <c r="BA134" s="56"/>
      <c r="BB134" s="56"/>
    </row>
    <row r="135" spans="1:54" x14ac:dyDescent="0.25">
      <c r="A135" s="73">
        <v>320302</v>
      </c>
      <c r="B135" s="74" t="s">
        <v>122</v>
      </c>
      <c r="C135" s="75">
        <v>0.28999999999999998</v>
      </c>
      <c r="D135" s="76">
        <v>8.5</v>
      </c>
      <c r="E135" s="76">
        <f>VLOOKUP(A135,pdsbrut,3,FALSE)</f>
        <v>9.7750000000000004</v>
      </c>
      <c r="F135" s="77"/>
      <c r="G135" s="7"/>
      <c r="H135" s="7"/>
      <c r="I135" s="8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</row>
    <row r="136" spans="1:54" ht="45" x14ac:dyDescent="0.25">
      <c r="A136" s="89">
        <v>320304</v>
      </c>
      <c r="B136" s="90" t="s">
        <v>125</v>
      </c>
      <c r="C136" s="91">
        <v>0.28999999999999998</v>
      </c>
      <c r="D136" s="95">
        <v>5</v>
      </c>
      <c r="E136" s="95">
        <v>6.1070000000000002</v>
      </c>
      <c r="F136" s="86"/>
      <c r="G136" s="87"/>
      <c r="H136" s="87"/>
      <c r="I136" s="88"/>
      <c r="J136" s="87"/>
      <c r="K136" s="87"/>
      <c r="L136" s="87"/>
      <c r="M136" s="87"/>
      <c r="N136" s="87"/>
      <c r="O136" s="87"/>
      <c r="P136" s="87"/>
      <c r="Q136" s="87"/>
      <c r="R136" s="87"/>
      <c r="S136" s="87"/>
      <c r="T136" s="87">
        <v>1</v>
      </c>
      <c r="U136" s="87"/>
      <c r="V136" s="87"/>
      <c r="W136" s="87"/>
      <c r="X136" s="87"/>
      <c r="Y136" s="87"/>
      <c r="Z136" s="87"/>
      <c r="AA136" s="87"/>
      <c r="AB136" s="87"/>
      <c r="AC136" s="87"/>
      <c r="AD136" s="87"/>
      <c r="AE136" s="87"/>
      <c r="AF136" s="87"/>
      <c r="AG136" s="96" t="s">
        <v>339</v>
      </c>
      <c r="AH136" s="87"/>
      <c r="AI136" s="87"/>
      <c r="AJ136" s="87"/>
      <c r="AK136" s="87"/>
      <c r="AL136" s="87"/>
      <c r="AM136" s="87"/>
      <c r="AN136" s="87"/>
      <c r="AO136" s="87"/>
      <c r="AP136" s="56"/>
      <c r="AQ136" s="56"/>
      <c r="AR136" s="56"/>
      <c r="AS136" s="56"/>
      <c r="AT136" s="56"/>
      <c r="AU136" s="56"/>
      <c r="AV136" s="56"/>
      <c r="AW136" s="56"/>
      <c r="AX136" s="56"/>
      <c r="AY136" s="56"/>
      <c r="AZ136" s="56"/>
      <c r="BA136" s="56"/>
      <c r="BB136" s="56"/>
    </row>
    <row r="137" spans="1:54" x14ac:dyDescent="0.25">
      <c r="A137" s="73">
        <v>320401</v>
      </c>
      <c r="B137" s="74" t="s">
        <v>127</v>
      </c>
      <c r="C137" s="75">
        <v>4.4999999999999998E-2</v>
      </c>
      <c r="D137" s="76">
        <v>0.4</v>
      </c>
      <c r="E137" s="76" t="e">
        <f>VLOOKUP(A137,pdsbrut,3,FALSE)</f>
        <v>#N/A</v>
      </c>
      <c r="F137" s="77"/>
      <c r="G137" s="7"/>
      <c r="H137" s="7"/>
      <c r="I137" s="8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</row>
    <row r="138" spans="1:54" x14ac:dyDescent="0.25">
      <c r="A138" s="78">
        <v>320501</v>
      </c>
      <c r="B138" s="79" t="s">
        <v>131</v>
      </c>
      <c r="C138" s="80">
        <v>0.64</v>
      </c>
      <c r="D138" s="97">
        <v>9.2799999999999994</v>
      </c>
      <c r="E138" s="81">
        <v>9.5</v>
      </c>
      <c r="F138" s="77"/>
      <c r="G138" s="7"/>
      <c r="H138" s="7"/>
      <c r="I138" s="8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</row>
    <row r="139" spans="1:54" x14ac:dyDescent="0.25">
      <c r="A139" s="73">
        <v>320540</v>
      </c>
      <c r="B139" s="74" t="s">
        <v>134</v>
      </c>
      <c r="C139" s="75">
        <v>0.64</v>
      </c>
      <c r="D139" s="98">
        <v>9.2799999999999994</v>
      </c>
      <c r="E139" s="76">
        <v>9.5</v>
      </c>
      <c r="F139" s="77"/>
      <c r="G139" s="7"/>
      <c r="H139" s="7"/>
      <c r="I139" s="8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</row>
    <row r="140" spans="1:54" x14ac:dyDescent="0.25">
      <c r="A140" s="78">
        <v>330201</v>
      </c>
      <c r="B140" s="79" t="s">
        <v>137</v>
      </c>
      <c r="C140" s="80">
        <v>0.23230000000000001</v>
      </c>
      <c r="D140" s="81">
        <v>5</v>
      </c>
      <c r="E140" s="81">
        <f t="shared" ref="E140:E147" si="5">VLOOKUP(A140,pdsbrut,3,FALSE)</f>
        <v>5.75</v>
      </c>
      <c r="F140" s="77"/>
      <c r="G140" s="7"/>
      <c r="H140" s="7"/>
      <c r="I140" s="8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</row>
    <row r="141" spans="1:54" x14ac:dyDescent="0.25">
      <c r="A141" s="73">
        <v>330202</v>
      </c>
      <c r="B141" s="74" t="s">
        <v>140</v>
      </c>
      <c r="C141" s="75">
        <v>9.0200000000000002E-2</v>
      </c>
      <c r="D141" s="76">
        <v>1.5</v>
      </c>
      <c r="E141" s="76">
        <f t="shared" si="5"/>
        <v>2.2999999999999998</v>
      </c>
      <c r="F141" s="77"/>
      <c r="G141" s="7"/>
      <c r="H141" s="7"/>
      <c r="I141" s="8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</row>
    <row r="142" spans="1:54" x14ac:dyDescent="0.25">
      <c r="A142" s="89">
        <v>330203</v>
      </c>
      <c r="B142" s="90" t="s">
        <v>142</v>
      </c>
      <c r="C142" s="91">
        <v>0.28999999999999998</v>
      </c>
      <c r="D142" s="92">
        <v>6</v>
      </c>
      <c r="E142" s="92">
        <f t="shared" si="5"/>
        <v>7.4749999999999996</v>
      </c>
      <c r="F142" s="86"/>
      <c r="G142" s="87"/>
      <c r="H142" s="87"/>
      <c r="I142" s="88"/>
      <c r="J142" s="87"/>
      <c r="K142" s="87"/>
      <c r="L142" s="87"/>
      <c r="M142" s="87"/>
      <c r="N142" s="87"/>
      <c r="O142" s="87"/>
      <c r="P142" s="87"/>
      <c r="Q142" s="87"/>
      <c r="R142" s="87"/>
      <c r="S142" s="87"/>
      <c r="T142" s="87"/>
      <c r="U142" s="87"/>
      <c r="V142" s="87"/>
      <c r="W142" s="87"/>
      <c r="X142" s="87"/>
      <c r="Y142" s="87"/>
      <c r="Z142" s="87"/>
      <c r="AA142" s="87"/>
      <c r="AB142" s="87"/>
      <c r="AC142" s="87"/>
      <c r="AD142" s="87"/>
      <c r="AE142" s="87"/>
      <c r="AF142" s="87"/>
      <c r="AG142" s="87"/>
      <c r="AH142" s="87"/>
      <c r="AI142" s="87"/>
      <c r="AJ142" s="87"/>
      <c r="AK142" s="87"/>
      <c r="AL142" s="87"/>
      <c r="AM142" s="87"/>
      <c r="AN142" s="87"/>
      <c r="AO142" s="87"/>
      <c r="AP142" s="56"/>
      <c r="AQ142" s="56"/>
      <c r="AR142" s="56"/>
      <c r="AS142" s="56"/>
      <c r="AT142" s="56"/>
      <c r="AU142" s="56"/>
      <c r="AV142" s="56"/>
      <c r="AW142" s="56"/>
      <c r="AX142" s="56"/>
      <c r="AY142" s="56"/>
      <c r="AZ142" s="56"/>
      <c r="BA142" s="56"/>
      <c r="BB142" s="56"/>
    </row>
    <row r="143" spans="1:54" x14ac:dyDescent="0.25">
      <c r="A143" s="73">
        <v>330204</v>
      </c>
      <c r="B143" s="74" t="s">
        <v>145</v>
      </c>
      <c r="C143" s="75">
        <v>0.11</v>
      </c>
      <c r="D143" s="76">
        <v>1.7</v>
      </c>
      <c r="E143" s="76">
        <f t="shared" si="5"/>
        <v>1.9550000000000001</v>
      </c>
      <c r="F143" s="77"/>
      <c r="G143" s="7"/>
      <c r="H143" s="7"/>
      <c r="I143" s="8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</row>
    <row r="144" spans="1:54" x14ac:dyDescent="0.25">
      <c r="A144" s="78">
        <v>330205</v>
      </c>
      <c r="B144" s="79" t="s">
        <v>148</v>
      </c>
      <c r="C144" s="80">
        <v>0.28999999999999998</v>
      </c>
      <c r="D144" s="81">
        <v>7.5</v>
      </c>
      <c r="E144" s="81">
        <f t="shared" si="5"/>
        <v>8.51</v>
      </c>
      <c r="F144" s="77"/>
      <c r="G144" s="7"/>
      <c r="H144" s="7"/>
      <c r="I144" s="8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</row>
    <row r="145" spans="1:54" x14ac:dyDescent="0.25">
      <c r="A145" s="82">
        <v>330207</v>
      </c>
      <c r="B145" s="83" t="s">
        <v>151</v>
      </c>
      <c r="C145" s="84">
        <v>0.46</v>
      </c>
      <c r="D145" s="85">
        <v>10</v>
      </c>
      <c r="E145" s="85">
        <f t="shared" si="5"/>
        <v>12.074999999999999</v>
      </c>
      <c r="F145" s="86"/>
      <c r="G145" s="87"/>
      <c r="H145" s="87"/>
      <c r="I145" s="88"/>
      <c r="J145" s="87"/>
      <c r="K145" s="87"/>
      <c r="L145" s="87"/>
      <c r="M145" s="87"/>
      <c r="N145" s="87"/>
      <c r="O145" s="87"/>
      <c r="P145" s="87"/>
      <c r="Q145" s="87"/>
      <c r="R145" s="87"/>
      <c r="S145" s="87"/>
      <c r="T145" s="87"/>
      <c r="U145" s="87"/>
      <c r="V145" s="87"/>
      <c r="W145" s="87"/>
      <c r="X145" s="87" t="s">
        <v>340</v>
      </c>
      <c r="Y145" s="87"/>
      <c r="Z145" s="87"/>
      <c r="AA145" s="87"/>
      <c r="AB145" s="87"/>
      <c r="AC145" s="87">
        <v>1.5</v>
      </c>
      <c r="AD145" s="87"/>
      <c r="AE145" s="87"/>
      <c r="AF145" s="87"/>
      <c r="AG145" s="87"/>
      <c r="AH145" s="87"/>
      <c r="AI145" s="87"/>
      <c r="AJ145" s="87"/>
      <c r="AK145" s="87"/>
      <c r="AL145" s="87"/>
      <c r="AM145" s="87"/>
      <c r="AN145" s="87"/>
      <c r="AO145" s="87"/>
      <c r="AP145" s="56"/>
      <c r="AQ145" s="56"/>
      <c r="AR145" s="56"/>
      <c r="AS145" s="56"/>
      <c r="AT145" s="56"/>
      <c r="AU145" s="56"/>
      <c r="AV145" s="56"/>
      <c r="AW145" s="56"/>
      <c r="AX145" s="56"/>
      <c r="AY145" s="56"/>
      <c r="AZ145" s="56"/>
      <c r="BA145" s="56"/>
      <c r="BB145" s="56"/>
    </row>
    <row r="146" spans="1:54" x14ac:dyDescent="0.25">
      <c r="A146" s="89">
        <v>330209</v>
      </c>
      <c r="B146" s="90" t="s">
        <v>152</v>
      </c>
      <c r="C146" s="91">
        <v>0.31</v>
      </c>
      <c r="D146" s="92">
        <v>7.2</v>
      </c>
      <c r="E146" s="92">
        <f t="shared" si="5"/>
        <v>8.2799999999999994</v>
      </c>
      <c r="F146" s="86"/>
      <c r="G146" s="87"/>
      <c r="H146" s="87"/>
      <c r="I146" s="88"/>
      <c r="J146" s="87"/>
      <c r="K146" s="87"/>
      <c r="L146" s="87"/>
      <c r="M146" s="87"/>
      <c r="N146" s="87"/>
      <c r="O146" s="87"/>
      <c r="P146" s="87"/>
      <c r="Q146" s="87"/>
      <c r="R146" s="87"/>
      <c r="S146" s="87"/>
      <c r="T146" s="87"/>
      <c r="U146" s="87"/>
      <c r="V146" s="87" t="s">
        <v>340</v>
      </c>
      <c r="W146" s="87"/>
      <c r="X146" s="87"/>
      <c r="Y146" s="87"/>
      <c r="Z146" s="87"/>
      <c r="AA146" s="87">
        <f>0.165*3</f>
        <v>0.495</v>
      </c>
      <c r="AB146" s="87"/>
      <c r="AC146" s="87">
        <v>1</v>
      </c>
      <c r="AD146" s="87"/>
      <c r="AE146" s="87"/>
      <c r="AF146" s="87"/>
      <c r="AG146" s="87"/>
      <c r="AH146" s="87"/>
      <c r="AI146" s="87"/>
      <c r="AJ146" s="87"/>
      <c r="AK146" s="87"/>
      <c r="AL146" s="87"/>
      <c r="AM146" s="87"/>
      <c r="AN146" s="87"/>
      <c r="AO146" s="87"/>
      <c r="AP146" s="56"/>
      <c r="AQ146" s="56"/>
      <c r="AR146" s="56"/>
      <c r="AS146" s="56"/>
      <c r="AT146" s="56"/>
      <c r="AU146" s="56"/>
      <c r="AV146" s="56"/>
      <c r="AW146" s="56"/>
      <c r="AX146" s="56"/>
      <c r="AY146" s="56"/>
      <c r="AZ146" s="56"/>
      <c r="BA146" s="56"/>
      <c r="BB146" s="56"/>
    </row>
    <row r="147" spans="1:54" x14ac:dyDescent="0.25">
      <c r="A147" s="73">
        <v>330483</v>
      </c>
      <c r="B147" s="74" t="s">
        <v>155</v>
      </c>
      <c r="C147" s="75">
        <v>4.4999999999999998E-2</v>
      </c>
      <c r="D147" s="76">
        <v>1.2</v>
      </c>
      <c r="E147" s="76">
        <f t="shared" si="5"/>
        <v>1.2</v>
      </c>
      <c r="F147" s="77"/>
      <c r="G147" s="7"/>
      <c r="H147" s="7"/>
      <c r="I147" s="8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</row>
    <row r="148" spans="1:54" x14ac:dyDescent="0.25">
      <c r="A148" s="78">
        <v>400806</v>
      </c>
      <c r="B148" s="79" t="s">
        <v>158</v>
      </c>
      <c r="C148" s="80">
        <v>0.12809999999999999</v>
      </c>
      <c r="D148" s="81">
        <v>0.32</v>
      </c>
      <c r="E148" s="81"/>
      <c r="F148" s="77"/>
      <c r="G148" s="7"/>
      <c r="H148" s="7"/>
      <c r="I148" s="8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</row>
    <row r="149" spans="1:54" x14ac:dyDescent="0.25">
      <c r="A149" s="73">
        <v>408006</v>
      </c>
      <c r="B149" s="74" t="s">
        <v>161</v>
      </c>
      <c r="C149" s="75">
        <v>7.0400000000000004E-2</v>
      </c>
      <c r="D149" s="76">
        <v>0.1</v>
      </c>
      <c r="E149" s="76">
        <f>VLOOKUP(A149,pdsbrut,3,FALSE)</f>
        <v>1</v>
      </c>
      <c r="F149" s="77"/>
      <c r="G149" s="7"/>
      <c r="H149" s="7"/>
      <c r="I149" s="8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</row>
    <row r="150" spans="1:54" x14ac:dyDescent="0.25">
      <c r="A150" s="78">
        <v>471201</v>
      </c>
      <c r="B150" s="79" t="s">
        <v>164</v>
      </c>
      <c r="C150" s="80">
        <v>0.08</v>
      </c>
      <c r="D150" s="81">
        <v>1</v>
      </c>
      <c r="E150" s="81">
        <f>VLOOKUP(A150,pdsbrut,3,FALSE)</f>
        <v>1.33</v>
      </c>
      <c r="F150" s="77"/>
      <c r="G150" s="7"/>
      <c r="H150" s="7"/>
      <c r="I150" s="8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</row>
    <row r="151" spans="1:54" x14ac:dyDescent="0.25">
      <c r="A151" s="73">
        <v>471202</v>
      </c>
      <c r="B151" s="74" t="s">
        <v>167</v>
      </c>
      <c r="C151" s="75">
        <v>6.7000000000000004E-2</v>
      </c>
      <c r="D151" s="76">
        <v>1</v>
      </c>
      <c r="E151" s="76">
        <f>VLOOKUP(A151,pdsbrut,3,FALSE)</f>
        <v>1.33</v>
      </c>
      <c r="F151" s="77"/>
      <c r="G151" s="7"/>
      <c r="H151" s="7"/>
      <c r="I151" s="8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</row>
    <row r="152" spans="1:54" x14ac:dyDescent="0.25">
      <c r="A152" s="78">
        <v>471301</v>
      </c>
      <c r="B152" s="79" t="s">
        <v>170</v>
      </c>
      <c r="C152" s="80">
        <v>0.24</v>
      </c>
      <c r="D152" s="81">
        <v>3</v>
      </c>
      <c r="E152" s="81">
        <v>3.1</v>
      </c>
      <c r="F152" s="77"/>
      <c r="G152" s="7"/>
      <c r="H152" s="7"/>
      <c r="I152" s="8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</row>
    <row r="153" spans="1:54" x14ac:dyDescent="0.25">
      <c r="A153" s="73">
        <v>471302</v>
      </c>
      <c r="B153" s="74" t="s">
        <v>173</v>
      </c>
      <c r="C153" s="75">
        <v>0.24</v>
      </c>
      <c r="D153" s="76">
        <v>3</v>
      </c>
      <c r="E153" s="76">
        <f>VLOOKUP(A153,pdsbrut,3,FALSE)</f>
        <v>1</v>
      </c>
      <c r="F153" s="77"/>
      <c r="G153" s="7"/>
      <c r="H153" s="7"/>
      <c r="I153" s="8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</row>
    <row r="154" spans="1:54" x14ac:dyDescent="0.25">
      <c r="A154" s="78">
        <v>471303</v>
      </c>
      <c r="B154" s="79" t="s">
        <v>176</v>
      </c>
      <c r="C154" s="80">
        <v>0.24</v>
      </c>
      <c r="D154" s="81">
        <v>3</v>
      </c>
      <c r="E154" s="81">
        <f>VLOOKUP(A154,pdsbrut,3,FALSE)</f>
        <v>1</v>
      </c>
      <c r="F154" s="77"/>
      <c r="G154" s="7"/>
      <c r="H154" s="7"/>
      <c r="I154" s="8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</row>
    <row r="155" spans="1:54" x14ac:dyDescent="0.25">
      <c r="A155" s="73">
        <v>471304</v>
      </c>
      <c r="B155" s="74" t="s">
        <v>179</v>
      </c>
      <c r="C155" s="75">
        <v>0.24</v>
      </c>
      <c r="D155" s="76">
        <v>3</v>
      </c>
      <c r="E155" s="76">
        <f>VLOOKUP(A155,pdsbrut,3,FALSE)</f>
        <v>1</v>
      </c>
      <c r="F155" s="77"/>
      <c r="G155" s="7"/>
      <c r="H155" s="7"/>
      <c r="I155" s="8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</row>
    <row r="156" spans="1:54" x14ac:dyDescent="0.25">
      <c r="A156" s="89">
        <v>471480</v>
      </c>
      <c r="B156" s="90" t="s">
        <v>182</v>
      </c>
      <c r="C156" s="91">
        <v>0.09</v>
      </c>
      <c r="D156" s="92">
        <v>0.52</v>
      </c>
      <c r="E156" s="92">
        <f>VLOOKUP(A156,pdsbrut,3,FALSE)</f>
        <v>1</v>
      </c>
      <c r="F156" s="86" t="s">
        <v>341</v>
      </c>
      <c r="G156" s="87"/>
      <c r="H156" s="87"/>
      <c r="I156" s="88"/>
      <c r="J156" s="87"/>
      <c r="K156" s="87"/>
      <c r="L156" s="87"/>
      <c r="M156" s="87"/>
      <c r="N156" s="87"/>
      <c r="O156" s="87"/>
      <c r="P156" s="87"/>
      <c r="Q156" s="87"/>
      <c r="R156" s="87"/>
      <c r="S156" s="87"/>
      <c r="T156" s="87"/>
      <c r="U156" s="87"/>
      <c r="V156" s="87"/>
      <c r="W156" s="87"/>
      <c r="X156" s="87"/>
      <c r="Y156" s="87"/>
      <c r="Z156" s="87"/>
      <c r="AA156" s="87"/>
      <c r="AB156" s="87"/>
      <c r="AC156" s="87"/>
      <c r="AD156" s="87"/>
      <c r="AE156" s="87"/>
      <c r="AF156" s="87"/>
      <c r="AG156" s="87"/>
      <c r="AH156" s="87"/>
      <c r="AI156" s="87"/>
      <c r="AJ156" s="87"/>
      <c r="AK156" s="87"/>
      <c r="AL156" s="87"/>
      <c r="AM156" s="87"/>
      <c r="AN156" s="87"/>
      <c r="AO156" s="87"/>
      <c r="AP156" s="56"/>
      <c r="AQ156" s="56"/>
      <c r="AR156" s="56"/>
      <c r="AS156" s="56"/>
      <c r="AT156" s="56"/>
      <c r="AU156" s="56"/>
      <c r="AV156" s="56"/>
      <c r="AW156" s="56"/>
      <c r="AX156" s="56"/>
      <c r="AY156" s="56"/>
      <c r="AZ156" s="56"/>
      <c r="BA156" s="56"/>
      <c r="BB156" s="56"/>
    </row>
    <row r="157" spans="1:54" x14ac:dyDescent="0.25">
      <c r="A157" s="73">
        <v>520600</v>
      </c>
      <c r="B157" s="74" t="s">
        <v>185</v>
      </c>
      <c r="C157" s="75">
        <v>0.06</v>
      </c>
      <c r="D157" s="76">
        <v>1.5</v>
      </c>
      <c r="E157" s="76">
        <v>1.6379999999999999</v>
      </c>
      <c r="F157" s="77"/>
      <c r="G157" s="7"/>
      <c r="H157" s="7"/>
      <c r="I157" s="8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</row>
    <row r="158" spans="1:54" x14ac:dyDescent="0.25">
      <c r="A158" s="78">
        <v>520601</v>
      </c>
      <c r="B158" s="79" t="s">
        <v>188</v>
      </c>
      <c r="C158" s="80">
        <v>0.06</v>
      </c>
      <c r="D158" s="81">
        <v>1.5</v>
      </c>
      <c r="E158" s="81">
        <v>1.6379999999999999</v>
      </c>
      <c r="F158" s="77"/>
      <c r="G158" s="7"/>
      <c r="H158" s="7"/>
      <c r="I158" s="8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</row>
    <row r="159" spans="1:54" x14ac:dyDescent="0.25">
      <c r="A159" s="73">
        <v>520605</v>
      </c>
      <c r="B159" s="74" t="s">
        <v>190</v>
      </c>
      <c r="C159" s="75">
        <v>0.06</v>
      </c>
      <c r="D159" s="76">
        <v>1.5</v>
      </c>
      <c r="E159" s="76">
        <v>1.6379999999999999</v>
      </c>
      <c r="F159" s="77"/>
      <c r="G159" s="7"/>
      <c r="H159" s="7"/>
      <c r="I159" s="8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</row>
    <row r="160" spans="1:54" x14ac:dyDescent="0.25">
      <c r="A160" s="78">
        <v>520701</v>
      </c>
      <c r="B160" s="79" t="s">
        <v>192</v>
      </c>
      <c r="C160" s="80">
        <v>0.17</v>
      </c>
      <c r="D160" s="81">
        <v>2</v>
      </c>
      <c r="E160" s="81">
        <v>2.17</v>
      </c>
      <c r="F160" s="77"/>
      <c r="G160" s="7"/>
      <c r="H160" s="7"/>
      <c r="I160" s="8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</row>
    <row r="161" spans="1:54" x14ac:dyDescent="0.25">
      <c r="A161" s="73">
        <v>520702</v>
      </c>
      <c r="B161" s="74" t="s">
        <v>194</v>
      </c>
      <c r="C161" s="75">
        <v>0.17</v>
      </c>
      <c r="D161" s="76">
        <v>4</v>
      </c>
      <c r="E161" s="76">
        <v>4.3499999999999996</v>
      </c>
      <c r="F161" s="77"/>
      <c r="G161" s="7"/>
      <c r="H161" s="7"/>
      <c r="I161" s="8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</row>
    <row r="162" spans="1:54" x14ac:dyDescent="0.25">
      <c r="A162" s="78">
        <v>520705</v>
      </c>
      <c r="B162" s="79" t="s">
        <v>196</v>
      </c>
      <c r="C162" s="80">
        <v>0.17</v>
      </c>
      <c r="D162" s="81">
        <v>2</v>
      </c>
      <c r="E162" s="81">
        <f>VLOOKUP(A162,pdsbrut,3,FALSE)</f>
        <v>1</v>
      </c>
      <c r="F162" s="77"/>
      <c r="G162" s="7"/>
      <c r="H162" s="7"/>
      <c r="I162" s="8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</row>
    <row r="163" spans="1:54" x14ac:dyDescent="0.25">
      <c r="A163" s="73">
        <v>520801</v>
      </c>
      <c r="B163" s="74" t="s">
        <v>188</v>
      </c>
      <c r="C163" s="75">
        <v>0.06</v>
      </c>
      <c r="D163" s="76">
        <v>1.5</v>
      </c>
      <c r="E163" s="76">
        <v>1.6379999999999999</v>
      </c>
      <c r="F163" s="77"/>
      <c r="G163" s="7"/>
      <c r="H163" s="7"/>
      <c r="I163" s="8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</row>
    <row r="164" spans="1:54" x14ac:dyDescent="0.25">
      <c r="A164" s="89">
        <v>530300</v>
      </c>
      <c r="B164" s="90" t="s">
        <v>199</v>
      </c>
      <c r="C164" s="91">
        <v>0.06</v>
      </c>
      <c r="D164" s="92">
        <v>1.3</v>
      </c>
      <c r="E164" s="92">
        <v>1.5209999999999999</v>
      </c>
      <c r="F164" s="86"/>
      <c r="G164" s="87"/>
      <c r="H164" s="87"/>
      <c r="I164" s="88"/>
      <c r="J164" s="87"/>
      <c r="K164" s="87"/>
      <c r="L164" s="87"/>
      <c r="M164" s="87"/>
      <c r="N164" s="87"/>
      <c r="O164" s="87"/>
      <c r="P164" s="87"/>
      <c r="Q164" s="87"/>
      <c r="R164" s="87"/>
      <c r="S164" s="87"/>
      <c r="T164" s="87"/>
      <c r="U164" s="87"/>
      <c r="V164" s="87"/>
      <c r="W164" s="87"/>
      <c r="X164" s="87"/>
      <c r="Y164" s="87"/>
      <c r="Z164" s="87"/>
      <c r="AA164" s="87"/>
      <c r="AB164" s="87"/>
      <c r="AC164" s="87"/>
      <c r="AD164" s="87">
        <v>4</v>
      </c>
      <c r="AE164" s="87"/>
      <c r="AF164" s="87"/>
      <c r="AG164" s="87"/>
      <c r="AH164" s="87"/>
      <c r="AI164" s="87"/>
      <c r="AJ164" s="87"/>
      <c r="AK164" s="87"/>
      <c r="AL164" s="87"/>
      <c r="AM164" s="87"/>
      <c r="AN164" s="87"/>
      <c r="AO164" s="87"/>
      <c r="AP164" s="56"/>
      <c r="AQ164" s="56"/>
      <c r="AR164" s="56"/>
      <c r="AS164" s="56"/>
      <c r="AT164" s="56"/>
      <c r="AU164" s="56"/>
      <c r="AV164" s="56"/>
      <c r="AW164" s="56"/>
      <c r="AX164" s="56"/>
      <c r="AY164" s="56"/>
      <c r="AZ164" s="56"/>
      <c r="BA164" s="56"/>
      <c r="BB164" s="56"/>
    </row>
    <row r="165" spans="1:54" x14ac:dyDescent="0.25">
      <c r="A165" s="73">
        <v>530303</v>
      </c>
      <c r="B165" s="74" t="s">
        <v>201</v>
      </c>
      <c r="C165" s="75">
        <v>0.06</v>
      </c>
      <c r="D165" s="76">
        <v>2.75</v>
      </c>
      <c r="E165" s="76">
        <v>3</v>
      </c>
      <c r="F165" s="77"/>
      <c r="G165" s="7"/>
      <c r="H165" s="7"/>
      <c r="I165" s="8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</row>
    <row r="166" spans="1:54" x14ac:dyDescent="0.25">
      <c r="A166" s="89">
        <v>800101</v>
      </c>
      <c r="B166" s="90" t="s">
        <v>203</v>
      </c>
      <c r="C166" s="91">
        <v>0.08</v>
      </c>
      <c r="D166" s="92">
        <v>0.5</v>
      </c>
      <c r="E166" s="92">
        <f>VLOOKUP(A166,pdsbrut,3,FALSE)</f>
        <v>0.24</v>
      </c>
      <c r="F166" s="86" t="s">
        <v>342</v>
      </c>
      <c r="G166" s="87"/>
      <c r="H166" s="87"/>
      <c r="I166" s="88"/>
      <c r="J166" s="87"/>
      <c r="K166" s="87"/>
      <c r="L166" s="87"/>
      <c r="M166" s="87"/>
      <c r="N166" s="87"/>
      <c r="O166" s="87"/>
      <c r="P166" s="87"/>
      <c r="Q166" s="87"/>
      <c r="R166" s="87"/>
      <c r="S166" s="87"/>
      <c r="T166" s="87"/>
      <c r="U166" s="87"/>
      <c r="V166" s="87"/>
      <c r="W166" s="87"/>
      <c r="X166" s="87"/>
      <c r="Y166" s="87"/>
      <c r="Z166" s="87"/>
      <c r="AA166" s="87"/>
      <c r="AB166" s="87"/>
      <c r="AC166" s="87"/>
      <c r="AD166" s="87"/>
      <c r="AE166" s="87"/>
      <c r="AF166" s="87"/>
      <c r="AG166" s="87"/>
      <c r="AH166" s="87"/>
      <c r="AI166" s="87"/>
      <c r="AJ166" s="87"/>
      <c r="AK166" s="87"/>
      <c r="AL166" s="87"/>
      <c r="AM166" s="87"/>
      <c r="AN166" s="87"/>
      <c r="AO166" s="87"/>
      <c r="AP166" s="56"/>
      <c r="AQ166" s="56"/>
      <c r="AR166" s="56"/>
      <c r="AS166" s="56"/>
      <c r="AT166" s="56"/>
      <c r="AU166" s="56"/>
      <c r="AV166" s="56"/>
      <c r="AW166" s="56"/>
      <c r="AX166" s="56"/>
      <c r="AY166" s="56"/>
      <c r="AZ166" s="56"/>
      <c r="BA166" s="56"/>
      <c r="BB166" s="56"/>
    </row>
    <row r="167" spans="1:54" x14ac:dyDescent="0.25">
      <c r="A167" s="82">
        <v>800103</v>
      </c>
      <c r="B167" s="83" t="s">
        <v>205</v>
      </c>
      <c r="C167" s="84">
        <v>0.01</v>
      </c>
      <c r="D167" s="85">
        <v>0.5</v>
      </c>
      <c r="E167" s="85">
        <f>VLOOKUP(A167,pdsbrut,3,FALSE)</f>
        <v>0.24</v>
      </c>
      <c r="F167" s="86" t="s">
        <v>342</v>
      </c>
      <c r="G167" s="87"/>
      <c r="H167" s="87"/>
      <c r="I167" s="88"/>
      <c r="J167" s="87"/>
      <c r="K167" s="87"/>
      <c r="L167" s="87"/>
      <c r="M167" s="87"/>
      <c r="N167" s="87"/>
      <c r="O167" s="87"/>
      <c r="P167" s="87"/>
      <c r="Q167" s="87"/>
      <c r="R167" s="87"/>
      <c r="S167" s="87"/>
      <c r="T167" s="87"/>
      <c r="U167" s="87"/>
      <c r="V167" s="87"/>
      <c r="W167" s="87"/>
      <c r="X167" s="87"/>
      <c r="Y167" s="87"/>
      <c r="Z167" s="87"/>
      <c r="AA167" s="87"/>
      <c r="AB167" s="87"/>
      <c r="AC167" s="87"/>
      <c r="AD167" s="87"/>
      <c r="AE167" s="87"/>
      <c r="AF167" s="87"/>
      <c r="AG167" s="87"/>
      <c r="AH167" s="87"/>
      <c r="AI167" s="87"/>
      <c r="AJ167" s="87"/>
      <c r="AK167" s="87"/>
      <c r="AL167" s="87"/>
      <c r="AM167" s="87"/>
      <c r="AN167" s="87"/>
      <c r="AO167" s="87"/>
      <c r="AP167" s="56"/>
      <c r="AQ167" s="56"/>
      <c r="AR167" s="56"/>
      <c r="AS167" s="56"/>
      <c r="AT167" s="56"/>
      <c r="AU167" s="56"/>
      <c r="AV167" s="56"/>
      <c r="AW167" s="56"/>
      <c r="AX167" s="56"/>
      <c r="AY167" s="56"/>
      <c r="AZ167" s="56"/>
      <c r="BA167" s="56"/>
      <c r="BB167" s="56"/>
    </row>
    <row r="168" spans="1:54" x14ac:dyDescent="0.25">
      <c r="A168" s="89">
        <v>800108</v>
      </c>
      <c r="B168" s="90" t="s">
        <v>207</v>
      </c>
      <c r="C168" s="91">
        <v>0.01</v>
      </c>
      <c r="D168" s="92">
        <v>0.05</v>
      </c>
      <c r="E168" s="92">
        <v>5.5E-2</v>
      </c>
      <c r="F168" s="86"/>
      <c r="G168" s="87"/>
      <c r="H168" s="87"/>
      <c r="I168" s="88"/>
      <c r="J168" s="87"/>
      <c r="K168" s="87"/>
      <c r="L168" s="87"/>
      <c r="M168" s="87"/>
      <c r="N168" s="87"/>
      <c r="O168" s="87"/>
      <c r="P168" s="87"/>
      <c r="Q168" s="87"/>
      <c r="R168" s="87"/>
      <c r="S168" s="87"/>
      <c r="T168" s="87"/>
      <c r="U168" s="87"/>
      <c r="V168" s="87"/>
      <c r="W168" s="87"/>
      <c r="X168" s="87"/>
      <c r="Y168" s="87"/>
      <c r="Z168" s="87"/>
      <c r="AA168" s="87"/>
      <c r="AB168" s="87"/>
      <c r="AC168" s="87"/>
      <c r="AD168" s="87"/>
      <c r="AE168" s="87"/>
      <c r="AF168" s="87"/>
      <c r="AG168" s="87"/>
      <c r="AH168" s="87"/>
      <c r="AI168" s="87"/>
      <c r="AJ168" s="87"/>
      <c r="AK168" s="87"/>
      <c r="AL168" s="87">
        <v>1</v>
      </c>
      <c r="AM168" s="87"/>
      <c r="AN168" s="87"/>
      <c r="AO168" s="87"/>
      <c r="AP168" s="56"/>
      <c r="AQ168" s="56"/>
      <c r="AR168" s="56"/>
      <c r="AS168" s="56"/>
      <c r="AT168" s="56"/>
      <c r="AU168" s="56"/>
      <c r="AV168" s="56"/>
      <c r="AW168" s="56"/>
      <c r="AX168" s="56"/>
      <c r="AY168" s="56"/>
      <c r="AZ168" s="56"/>
      <c r="BA168" s="56"/>
      <c r="BB168" s="56"/>
    </row>
    <row r="169" spans="1:54" x14ac:dyDescent="0.25">
      <c r="A169" s="82">
        <v>800109</v>
      </c>
      <c r="B169" s="83" t="s">
        <v>210</v>
      </c>
      <c r="C169" s="84">
        <v>0.01</v>
      </c>
      <c r="D169" s="85">
        <v>0.125</v>
      </c>
      <c r="E169" s="85">
        <v>0.14000000000000001</v>
      </c>
      <c r="F169" s="86"/>
      <c r="G169" s="87"/>
      <c r="H169" s="87"/>
      <c r="I169" s="88"/>
      <c r="J169" s="87"/>
      <c r="K169" s="87"/>
      <c r="L169" s="87"/>
      <c r="M169" s="87"/>
      <c r="N169" s="87"/>
      <c r="O169" s="87"/>
      <c r="P169" s="87"/>
      <c r="Q169" s="87"/>
      <c r="R169" s="87"/>
      <c r="S169" s="87"/>
      <c r="T169" s="87"/>
      <c r="U169" s="87"/>
      <c r="V169" s="87"/>
      <c r="W169" s="87"/>
      <c r="X169" s="87"/>
      <c r="Y169" s="87"/>
      <c r="Z169" s="87"/>
      <c r="AA169" s="87"/>
      <c r="AB169" s="87"/>
      <c r="AC169" s="87"/>
      <c r="AD169" s="87"/>
      <c r="AE169" s="87"/>
      <c r="AF169" s="87"/>
      <c r="AG169" s="87"/>
      <c r="AH169" s="87"/>
      <c r="AI169" s="87"/>
      <c r="AJ169" s="87"/>
      <c r="AK169" s="87"/>
      <c r="AL169" s="87" t="s">
        <v>343</v>
      </c>
      <c r="AM169" s="87"/>
      <c r="AN169" s="87"/>
      <c r="AO169" s="87"/>
      <c r="AP169" s="56"/>
      <c r="AQ169" s="56"/>
      <c r="AR169" s="56"/>
      <c r="AS169" s="56"/>
      <c r="AT169" s="56"/>
      <c r="AU169" s="56"/>
      <c r="AV169" s="56"/>
      <c r="AW169" s="56"/>
      <c r="AX169" s="56"/>
      <c r="AY169" s="56"/>
      <c r="AZ169" s="56"/>
      <c r="BA169" s="56"/>
      <c r="BB169" s="56"/>
    </row>
    <row r="170" spans="1:54" x14ac:dyDescent="0.25">
      <c r="A170" s="78">
        <v>800110</v>
      </c>
      <c r="B170" s="79" t="s">
        <v>213</v>
      </c>
      <c r="C170" s="80">
        <v>0.2009</v>
      </c>
      <c r="D170" s="81">
        <v>0.32</v>
      </c>
      <c r="E170" s="81" t="e">
        <f t="shared" ref="E170:E177" si="6">VLOOKUP(A170,pdsbrut,3,FALSE)</f>
        <v>#N/A</v>
      </c>
      <c r="F170" s="77"/>
      <c r="G170" s="7"/>
      <c r="H170" s="7"/>
      <c r="I170" s="8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</row>
    <row r="171" spans="1:54" x14ac:dyDescent="0.25">
      <c r="A171" s="73">
        <v>800112</v>
      </c>
      <c r="B171" s="74" t="s">
        <v>216</v>
      </c>
      <c r="C171" s="75">
        <v>0.2009</v>
      </c>
      <c r="D171" s="76">
        <v>0.14000000000000001</v>
      </c>
      <c r="E171" s="76" t="e">
        <f t="shared" si="6"/>
        <v>#N/A</v>
      </c>
      <c r="F171" s="77"/>
      <c r="G171" s="7"/>
      <c r="H171" s="7"/>
      <c r="I171" s="8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</row>
    <row r="172" spans="1:54" x14ac:dyDescent="0.25">
      <c r="A172" s="78">
        <v>800113</v>
      </c>
      <c r="B172" s="79" t="s">
        <v>219</v>
      </c>
      <c r="C172" s="80">
        <v>0.23230000000000001</v>
      </c>
      <c r="D172" s="81">
        <v>11.5</v>
      </c>
      <c r="E172" s="81" t="e">
        <f t="shared" si="6"/>
        <v>#N/A</v>
      </c>
      <c r="F172" s="77"/>
      <c r="G172" s="7"/>
      <c r="H172" s="7"/>
      <c r="I172" s="8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</row>
    <row r="173" spans="1:54" x14ac:dyDescent="0.25">
      <c r="A173" s="73">
        <v>800114</v>
      </c>
      <c r="B173" s="74" t="s">
        <v>222</v>
      </c>
      <c r="C173" s="75">
        <v>4.4999999999999998E-2</v>
      </c>
      <c r="D173" s="76">
        <v>0.05</v>
      </c>
      <c r="E173" s="76" t="e">
        <f t="shared" si="6"/>
        <v>#N/A</v>
      </c>
      <c r="F173" s="77"/>
      <c r="G173" s="7"/>
      <c r="H173" s="7"/>
      <c r="I173" s="8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</row>
    <row r="174" spans="1:54" x14ac:dyDescent="0.25">
      <c r="A174" s="78">
        <v>800115</v>
      </c>
      <c r="B174" s="79" t="s">
        <v>225</v>
      </c>
      <c r="C174" s="80">
        <v>1.61E-2</v>
      </c>
      <c r="D174" s="81">
        <v>0.08</v>
      </c>
      <c r="E174" s="81" t="e">
        <f t="shared" si="6"/>
        <v>#N/A</v>
      </c>
      <c r="F174" s="77"/>
      <c r="G174" s="7"/>
      <c r="H174" s="7"/>
      <c r="I174" s="8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</row>
    <row r="175" spans="1:54" x14ac:dyDescent="0.25">
      <c r="A175" s="73">
        <v>800116</v>
      </c>
      <c r="B175" s="74" t="s">
        <v>228</v>
      </c>
      <c r="C175" s="75">
        <v>0.23230000000000001</v>
      </c>
      <c r="D175" s="76">
        <v>7.65</v>
      </c>
      <c r="E175" s="76">
        <f t="shared" si="6"/>
        <v>3</v>
      </c>
      <c r="F175" s="77"/>
      <c r="G175" s="7"/>
      <c r="H175" s="7"/>
      <c r="I175" s="8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</row>
    <row r="176" spans="1:54" x14ac:dyDescent="0.25">
      <c r="A176" s="78">
        <v>800118</v>
      </c>
      <c r="B176" s="79" t="s">
        <v>231</v>
      </c>
      <c r="C176" s="80">
        <v>0.23230000000000001</v>
      </c>
      <c r="D176" s="81">
        <v>8</v>
      </c>
      <c r="E176" s="81" t="e">
        <f t="shared" si="6"/>
        <v>#N/A</v>
      </c>
      <c r="F176" s="77"/>
      <c r="G176" s="7"/>
      <c r="H176" s="7"/>
      <c r="I176" s="8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</row>
    <row r="177" spans="1:41" x14ac:dyDescent="0.25">
      <c r="A177" s="73">
        <v>800120</v>
      </c>
      <c r="B177" s="74" t="s">
        <v>234</v>
      </c>
      <c r="C177" s="75">
        <v>0.1389</v>
      </c>
      <c r="D177" s="76">
        <v>0.09</v>
      </c>
      <c r="E177" s="76" t="e">
        <f t="shared" si="6"/>
        <v>#N/A</v>
      </c>
      <c r="F177" s="77"/>
      <c r="G177" s="7"/>
      <c r="H177" s="7"/>
      <c r="I177" s="8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</row>
    <row r="178" spans="1:41" x14ac:dyDescent="0.25">
      <c r="A178" s="78">
        <v>800121</v>
      </c>
      <c r="B178" s="79" t="s">
        <v>237</v>
      </c>
      <c r="C178" s="80">
        <v>3.3500000000000002E-2</v>
      </c>
      <c r="D178" s="81">
        <v>1.2E-2</v>
      </c>
      <c r="E178" s="81">
        <v>0.02</v>
      </c>
      <c r="F178" s="77"/>
      <c r="G178" s="7"/>
      <c r="H178" s="7"/>
      <c r="I178" s="8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</row>
    <row r="179" spans="1:41" x14ac:dyDescent="0.25">
      <c r="A179" s="73">
        <v>800123</v>
      </c>
      <c r="B179" s="74" t="s">
        <v>240</v>
      </c>
      <c r="C179" s="75">
        <v>4.4999999999999998E-2</v>
      </c>
      <c r="D179" s="76">
        <v>1.4999999999999999E-2</v>
      </c>
      <c r="E179" s="76" t="e">
        <f t="shared" ref="E179:E199" si="7">VLOOKUP(A179,pdsbrut,3,FALSE)</f>
        <v>#N/A</v>
      </c>
      <c r="F179" s="77"/>
      <c r="G179" s="7"/>
      <c r="H179" s="7"/>
      <c r="I179" s="8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</row>
    <row r="180" spans="1:41" x14ac:dyDescent="0.25">
      <c r="A180" s="78">
        <v>800124</v>
      </c>
      <c r="B180" s="79" t="s">
        <v>243</v>
      </c>
      <c r="C180" s="80">
        <v>0.23230000000000001</v>
      </c>
      <c r="D180" s="81">
        <v>7.0000000000000001E-3</v>
      </c>
      <c r="E180" s="81" t="e">
        <f t="shared" si="7"/>
        <v>#N/A</v>
      </c>
      <c r="F180" s="77"/>
      <c r="G180" s="7"/>
      <c r="H180" s="7"/>
      <c r="I180" s="8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</row>
    <row r="181" spans="1:41" x14ac:dyDescent="0.25">
      <c r="A181" s="73">
        <v>800125</v>
      </c>
      <c r="B181" s="74" t="s">
        <v>246</v>
      </c>
      <c r="C181" s="75">
        <v>0.1389</v>
      </c>
      <c r="D181" s="76">
        <v>0.82</v>
      </c>
      <c r="E181" s="76">
        <f t="shared" si="7"/>
        <v>3.25</v>
      </c>
      <c r="F181" s="77"/>
      <c r="G181" s="7"/>
      <c r="H181" s="7"/>
      <c r="I181" s="8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</row>
    <row r="182" spans="1:41" x14ac:dyDescent="0.25">
      <c r="A182" s="78">
        <v>800126</v>
      </c>
      <c r="B182" s="79" t="s">
        <v>249</v>
      </c>
      <c r="C182" s="80">
        <v>0.1389</v>
      </c>
      <c r="D182" s="81">
        <v>0.5</v>
      </c>
      <c r="E182" s="81">
        <f t="shared" si="7"/>
        <v>3.25</v>
      </c>
      <c r="F182" s="77"/>
      <c r="G182" s="7"/>
      <c r="H182" s="7"/>
      <c r="I182" s="8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</row>
    <row r="183" spans="1:41" x14ac:dyDescent="0.25">
      <c r="A183" s="73">
        <v>800127</v>
      </c>
      <c r="B183" s="74" t="s">
        <v>252</v>
      </c>
      <c r="C183" s="75">
        <v>0.1389</v>
      </c>
      <c r="D183" s="76">
        <v>0.38</v>
      </c>
      <c r="E183" s="76">
        <f t="shared" si="7"/>
        <v>3.25</v>
      </c>
      <c r="F183" s="77"/>
      <c r="G183" s="7"/>
      <c r="H183" s="7"/>
      <c r="I183" s="8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</row>
    <row r="184" spans="1:41" x14ac:dyDescent="0.25">
      <c r="A184" s="78">
        <v>800128</v>
      </c>
      <c r="B184" s="79" t="s">
        <v>255</v>
      </c>
      <c r="C184" s="80">
        <v>0.1389</v>
      </c>
      <c r="D184" s="81">
        <v>1.25</v>
      </c>
      <c r="E184" s="81">
        <f t="shared" si="7"/>
        <v>4</v>
      </c>
      <c r="F184" s="77"/>
      <c r="G184" s="7"/>
      <c r="H184" s="7"/>
      <c r="I184" s="8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</row>
    <row r="185" spans="1:41" x14ac:dyDescent="0.25">
      <c r="A185" s="73">
        <v>800129</v>
      </c>
      <c r="B185" s="74" t="s">
        <v>258</v>
      </c>
      <c r="C185" s="75">
        <v>0.1389</v>
      </c>
      <c r="D185" s="76">
        <v>2.2999999999999998</v>
      </c>
      <c r="E185" s="76">
        <f t="shared" si="7"/>
        <v>5</v>
      </c>
      <c r="F185" s="77"/>
      <c r="G185" s="7"/>
      <c r="H185" s="7"/>
      <c r="I185" s="8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</row>
    <row r="186" spans="1:41" x14ac:dyDescent="0.25">
      <c r="A186" s="78">
        <v>800130</v>
      </c>
      <c r="B186" s="79" t="s">
        <v>261</v>
      </c>
      <c r="C186" s="80">
        <v>0.1389</v>
      </c>
      <c r="D186" s="81">
        <v>0.02</v>
      </c>
      <c r="E186" s="81">
        <f t="shared" si="7"/>
        <v>1</v>
      </c>
      <c r="F186" s="77"/>
      <c r="G186" s="7"/>
      <c r="H186" s="7"/>
      <c r="I186" s="8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</row>
    <row r="187" spans="1:41" x14ac:dyDescent="0.25">
      <c r="A187" s="73">
        <v>800131</v>
      </c>
      <c r="B187" s="74" t="s">
        <v>263</v>
      </c>
      <c r="C187" s="75">
        <v>0.1389</v>
      </c>
      <c r="D187" s="76">
        <v>0.03</v>
      </c>
      <c r="E187" s="76">
        <f t="shared" si="7"/>
        <v>1</v>
      </c>
      <c r="F187" s="77"/>
      <c r="G187" s="7"/>
      <c r="H187" s="7"/>
      <c r="I187" s="8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</row>
    <row r="188" spans="1:41" x14ac:dyDescent="0.25">
      <c r="A188" s="78">
        <v>800132</v>
      </c>
      <c r="B188" s="79" t="s">
        <v>265</v>
      </c>
      <c r="C188" s="80">
        <v>0.1389</v>
      </c>
      <c r="D188" s="81">
        <v>4.4999999999999998E-2</v>
      </c>
      <c r="E188" s="81">
        <f t="shared" si="7"/>
        <v>1</v>
      </c>
      <c r="F188" s="77"/>
      <c r="G188" s="7"/>
      <c r="H188" s="7"/>
      <c r="I188" s="8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</row>
    <row r="189" spans="1:41" x14ac:dyDescent="0.25">
      <c r="A189" s="73">
        <v>800133</v>
      </c>
      <c r="B189" s="74" t="s">
        <v>268</v>
      </c>
      <c r="C189" s="75">
        <v>0.1389</v>
      </c>
      <c r="D189" s="76">
        <v>0.05</v>
      </c>
      <c r="E189" s="76">
        <f t="shared" si="7"/>
        <v>1</v>
      </c>
      <c r="F189" s="77"/>
      <c r="G189" s="7"/>
      <c r="H189" s="7"/>
      <c r="I189" s="8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</row>
    <row r="190" spans="1:41" x14ac:dyDescent="0.25">
      <c r="A190" s="78">
        <v>800134</v>
      </c>
      <c r="B190" s="79" t="s">
        <v>270</v>
      </c>
      <c r="C190" s="80">
        <v>0.1389</v>
      </c>
      <c r="D190" s="81">
        <v>0.06</v>
      </c>
      <c r="E190" s="81">
        <f t="shared" si="7"/>
        <v>1</v>
      </c>
      <c r="F190" s="77"/>
      <c r="G190" s="7"/>
      <c r="H190" s="7"/>
      <c r="I190" s="8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</row>
    <row r="191" spans="1:41" x14ac:dyDescent="0.25">
      <c r="A191" s="73">
        <v>800137</v>
      </c>
      <c r="B191" s="74" t="s">
        <v>273</v>
      </c>
      <c r="C191" s="75">
        <v>0.1389</v>
      </c>
      <c r="D191" s="76">
        <v>0.1</v>
      </c>
      <c r="E191" s="76">
        <f t="shared" si="7"/>
        <v>1</v>
      </c>
      <c r="F191" s="77"/>
      <c r="G191" s="7"/>
      <c r="H191" s="7"/>
      <c r="I191" s="8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</row>
    <row r="192" spans="1:41" x14ac:dyDescent="0.25">
      <c r="A192" s="78">
        <v>800138</v>
      </c>
      <c r="B192" s="79" t="s">
        <v>276</v>
      </c>
      <c r="C192" s="80">
        <v>0.1389</v>
      </c>
      <c r="D192" s="81">
        <v>0.11</v>
      </c>
      <c r="E192" s="81">
        <f t="shared" si="7"/>
        <v>1</v>
      </c>
      <c r="F192" s="77"/>
      <c r="G192" s="7"/>
      <c r="H192" s="7"/>
      <c r="I192" s="8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</row>
    <row r="193" spans="1:54" x14ac:dyDescent="0.25">
      <c r="A193" s="73">
        <v>800140</v>
      </c>
      <c r="B193" s="74" t="s">
        <v>279</v>
      </c>
      <c r="C193" s="75">
        <v>2.8500000000000001E-2</v>
      </c>
      <c r="D193" s="76">
        <v>7.0000000000000001E-3</v>
      </c>
      <c r="E193" s="76">
        <f t="shared" si="7"/>
        <v>1</v>
      </c>
      <c r="F193" s="77"/>
      <c r="G193" s="7"/>
      <c r="H193" s="7"/>
      <c r="I193" s="8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</row>
    <row r="194" spans="1:54" x14ac:dyDescent="0.25">
      <c r="A194" s="78">
        <v>800141</v>
      </c>
      <c r="B194" s="79" t="s">
        <v>281</v>
      </c>
      <c r="C194" s="80">
        <v>2.8500000000000001E-2</v>
      </c>
      <c r="D194" s="81">
        <v>8.9999999999999993E-3</v>
      </c>
      <c r="E194" s="81" t="e">
        <f t="shared" si="7"/>
        <v>#N/A</v>
      </c>
      <c r="F194" s="77"/>
      <c r="G194" s="7"/>
      <c r="H194" s="7"/>
      <c r="I194" s="8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</row>
    <row r="195" spans="1:54" x14ac:dyDescent="0.25">
      <c r="A195" s="73">
        <v>800142</v>
      </c>
      <c r="B195" s="74" t="s">
        <v>283</v>
      </c>
      <c r="C195" s="75">
        <v>0.1389</v>
      </c>
      <c r="D195" s="76">
        <v>0.5</v>
      </c>
      <c r="E195" s="76" t="e">
        <f t="shared" si="7"/>
        <v>#N/A</v>
      </c>
      <c r="F195" s="77"/>
      <c r="G195" s="7"/>
      <c r="H195" s="7"/>
      <c r="I195" s="8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</row>
    <row r="196" spans="1:54" x14ac:dyDescent="0.25">
      <c r="A196" s="78">
        <v>800149</v>
      </c>
      <c r="B196" s="79" t="s">
        <v>285</v>
      </c>
      <c r="C196" s="80">
        <v>0.1389</v>
      </c>
      <c r="D196" s="81">
        <v>0.08</v>
      </c>
      <c r="E196" s="81">
        <f t="shared" si="7"/>
        <v>1</v>
      </c>
      <c r="F196" s="77"/>
      <c r="G196" s="7"/>
      <c r="H196" s="7"/>
      <c r="I196" s="8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</row>
    <row r="197" spans="1:54" x14ac:dyDescent="0.25">
      <c r="A197" s="73">
        <v>800151</v>
      </c>
      <c r="B197" s="74" t="s">
        <v>286</v>
      </c>
      <c r="C197" s="75">
        <v>0.1389</v>
      </c>
      <c r="D197" s="76">
        <v>8.0000000000000002E-3</v>
      </c>
      <c r="E197" s="76">
        <f t="shared" si="7"/>
        <v>1</v>
      </c>
      <c r="F197" s="77"/>
      <c r="G197" s="7"/>
      <c r="H197" s="7"/>
      <c r="I197" s="8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</row>
    <row r="198" spans="1:54" x14ac:dyDescent="0.25">
      <c r="A198" s="78">
        <v>800152</v>
      </c>
      <c r="B198" s="79" t="s">
        <v>287</v>
      </c>
      <c r="C198" s="80">
        <v>0.1389</v>
      </c>
      <c r="D198" s="81">
        <v>0.01</v>
      </c>
      <c r="E198" s="81">
        <f t="shared" si="7"/>
        <v>1</v>
      </c>
      <c r="F198" s="77"/>
      <c r="G198" s="7"/>
      <c r="H198" s="7"/>
      <c r="I198" s="8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</row>
    <row r="199" spans="1:54" x14ac:dyDescent="0.25">
      <c r="A199" s="73">
        <v>800153</v>
      </c>
      <c r="B199" s="74" t="s">
        <v>288</v>
      </c>
      <c r="C199" s="75">
        <v>0.1389</v>
      </c>
      <c r="D199" s="76">
        <v>1.7999999999999999E-2</v>
      </c>
      <c r="E199" s="76">
        <f t="shared" si="7"/>
        <v>1</v>
      </c>
      <c r="F199" s="77"/>
      <c r="G199" s="7"/>
      <c r="H199" s="7"/>
      <c r="I199" s="8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</row>
    <row r="200" spans="1:54" x14ac:dyDescent="0.25">
      <c r="A200" s="78">
        <v>320225</v>
      </c>
      <c r="B200" s="79" t="s">
        <v>126</v>
      </c>
      <c r="C200" s="80">
        <v>0.1389</v>
      </c>
      <c r="D200" s="81">
        <v>1.7999999999999999E-2</v>
      </c>
      <c r="E200" s="81">
        <f>VLOOKUP(A200,pdsbrut,3,FALSE)</f>
        <v>2.5</v>
      </c>
      <c r="F200" s="77"/>
      <c r="G200" s="7"/>
      <c r="H200" s="7"/>
      <c r="I200" s="8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</row>
    <row r="201" spans="1:54" x14ac:dyDescent="0.25">
      <c r="A201" s="73">
        <v>320224</v>
      </c>
      <c r="B201" s="74" t="s">
        <v>128</v>
      </c>
      <c r="C201" s="75">
        <v>0.12</v>
      </c>
      <c r="D201" s="76"/>
      <c r="E201" s="76">
        <v>1.38</v>
      </c>
      <c r="F201" s="77"/>
      <c r="G201" s="7"/>
      <c r="H201" s="7"/>
      <c r="I201" s="8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</row>
    <row r="202" spans="1:54" x14ac:dyDescent="0.25">
      <c r="A202" s="89">
        <v>320234</v>
      </c>
      <c r="B202" s="90" t="s">
        <v>289</v>
      </c>
      <c r="C202" s="91">
        <v>0.12</v>
      </c>
      <c r="D202" s="92"/>
      <c r="E202" s="92">
        <v>1.38</v>
      </c>
      <c r="F202" s="86"/>
      <c r="G202" s="87"/>
      <c r="H202" s="87"/>
      <c r="I202" s="88"/>
      <c r="J202" s="87"/>
      <c r="K202" s="87"/>
      <c r="L202" s="87"/>
      <c r="M202" s="87"/>
      <c r="N202" s="87"/>
      <c r="O202" s="87"/>
      <c r="P202" s="87"/>
      <c r="Q202" s="87"/>
      <c r="R202" s="87"/>
      <c r="S202" s="87"/>
      <c r="T202" s="87"/>
      <c r="U202" s="87"/>
      <c r="V202" s="87"/>
      <c r="W202" s="87"/>
      <c r="X202" s="87"/>
      <c r="Y202" s="87"/>
      <c r="Z202" s="87"/>
      <c r="AA202" s="87"/>
      <c r="AB202" s="87"/>
      <c r="AC202" s="87"/>
      <c r="AD202" s="87"/>
      <c r="AE202" s="87"/>
      <c r="AF202" s="87"/>
      <c r="AG202" s="87" t="s">
        <v>344</v>
      </c>
      <c r="AH202" s="87"/>
      <c r="AI202" s="87"/>
      <c r="AJ202" s="87"/>
      <c r="AK202" s="87"/>
      <c r="AL202" s="87"/>
      <c r="AM202" s="87"/>
      <c r="AN202" s="87"/>
      <c r="AO202" s="87"/>
      <c r="AP202" s="56"/>
      <c r="AQ202" s="56"/>
      <c r="AR202" s="56"/>
      <c r="AS202" s="56"/>
      <c r="AT202" s="56"/>
      <c r="AU202" s="56"/>
      <c r="AV202" s="56"/>
      <c r="AW202" s="56"/>
      <c r="AX202" s="56"/>
      <c r="AY202" s="56"/>
      <c r="AZ202" s="56"/>
      <c r="BA202" s="56"/>
      <c r="BB202" s="56"/>
    </row>
    <row r="203" spans="1:54" x14ac:dyDescent="0.25">
      <c r="A203" s="73">
        <v>800161</v>
      </c>
      <c r="B203" s="74" t="s">
        <v>290</v>
      </c>
      <c r="C203" s="75">
        <v>2.8500000000000001E-2</v>
      </c>
      <c r="D203" s="76">
        <v>0.01</v>
      </c>
      <c r="E203" s="76">
        <f t="shared" ref="E203" si="8">VLOOKUP(A203,pdsbrut,3,FALSE)</f>
        <v>1</v>
      </c>
      <c r="F203" s="77"/>
      <c r="G203" s="7"/>
      <c r="H203" s="7"/>
      <c r="I203" s="8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</row>
    <row r="204" spans="1:54" x14ac:dyDescent="0.25">
      <c r="A204" s="99">
        <v>800164</v>
      </c>
      <c r="B204" s="100" t="s">
        <v>291</v>
      </c>
      <c r="C204" s="101">
        <v>0.24</v>
      </c>
      <c r="D204" s="102">
        <v>3.57</v>
      </c>
      <c r="E204" s="102">
        <v>4.2</v>
      </c>
      <c r="F204" s="103" t="s">
        <v>345</v>
      </c>
      <c r="G204" s="104"/>
      <c r="H204" s="104"/>
      <c r="I204" s="105"/>
      <c r="J204" s="104"/>
      <c r="K204" s="104"/>
      <c r="L204" s="104"/>
      <c r="M204" s="104"/>
      <c r="N204" s="104"/>
      <c r="O204" s="104"/>
      <c r="P204" s="104"/>
      <c r="Q204" s="104"/>
      <c r="R204" s="104"/>
      <c r="S204" s="104"/>
      <c r="T204" s="104"/>
      <c r="U204" s="104"/>
      <c r="V204" s="104"/>
      <c r="W204" s="104"/>
      <c r="X204" s="104"/>
      <c r="Y204" s="104"/>
      <c r="Z204" s="104"/>
      <c r="AA204" s="104"/>
      <c r="AB204" s="104"/>
      <c r="AC204" s="104"/>
      <c r="AD204" s="104"/>
      <c r="AE204" s="104"/>
      <c r="AF204" s="104"/>
      <c r="AG204" s="104"/>
      <c r="AH204" s="104"/>
      <c r="AI204" s="104"/>
      <c r="AJ204" s="104"/>
      <c r="AK204" s="104"/>
      <c r="AL204" s="104"/>
      <c r="AM204" s="104"/>
      <c r="AN204" s="104"/>
      <c r="AO204" s="104"/>
      <c r="AP204" s="106"/>
      <c r="AQ204" s="106"/>
      <c r="AR204" s="106"/>
      <c r="AS204" s="106"/>
      <c r="AT204" s="106"/>
      <c r="AU204" s="106"/>
      <c r="AV204" s="106"/>
      <c r="AW204" s="106"/>
      <c r="AX204" s="106"/>
      <c r="AY204" s="106"/>
      <c r="AZ204" s="106"/>
      <c r="BA204" s="106"/>
      <c r="BB204" s="106"/>
    </row>
    <row r="205" spans="1:54" x14ac:dyDescent="0.25">
      <c r="A205" s="73">
        <v>800190</v>
      </c>
      <c r="B205" s="74" t="s">
        <v>292</v>
      </c>
      <c r="C205" s="75">
        <v>0.28999999999999998</v>
      </c>
      <c r="D205" s="76">
        <v>8.1999999999999993</v>
      </c>
      <c r="E205" s="76"/>
      <c r="F205" s="15"/>
      <c r="G205" s="7"/>
      <c r="I205" s="8"/>
      <c r="J205" s="7"/>
      <c r="Q205" s="7"/>
    </row>
    <row r="206" spans="1:54" x14ac:dyDescent="0.25">
      <c r="A206" s="79">
        <v>320118</v>
      </c>
      <c r="B206" s="79" t="s">
        <v>119</v>
      </c>
      <c r="C206" s="79"/>
      <c r="D206" s="107"/>
      <c r="E206" s="107" t="e">
        <f>VLOOKUP(A206,pdsbrut,3,FALSE)</f>
        <v>#N/A</v>
      </c>
      <c r="F206" s="15"/>
      <c r="G206" s="7"/>
      <c r="I206" s="8"/>
      <c r="J206" s="7"/>
      <c r="Q206" s="7"/>
    </row>
    <row r="207" spans="1:54" x14ac:dyDescent="0.25">
      <c r="D207" s="9"/>
      <c r="E207" s="9"/>
      <c r="F207" s="15"/>
      <c r="G207" s="7"/>
      <c r="I207" s="8"/>
      <c r="J207" s="7"/>
      <c r="Q207" s="7"/>
    </row>
    <row r="208" spans="1:54" x14ac:dyDescent="0.25">
      <c r="D208" s="9"/>
      <c r="E208" s="9"/>
      <c r="F208" s="15"/>
      <c r="G208" s="7"/>
      <c r="H208" t="s">
        <v>346</v>
      </c>
      <c r="I208" s="8"/>
      <c r="J208" s="7"/>
      <c r="Q208" s="7"/>
      <c r="AA208">
        <f>AA126*A208</f>
        <v>0</v>
      </c>
    </row>
    <row r="209" spans="1:51" ht="60" x14ac:dyDescent="0.25">
      <c r="D209" s="9"/>
      <c r="E209" s="9"/>
      <c r="F209" s="15"/>
      <c r="G209" s="7"/>
      <c r="I209" s="8"/>
      <c r="J209" s="108"/>
      <c r="K209" s="108"/>
      <c r="L209" s="108"/>
      <c r="M209" s="108"/>
      <c r="N209" s="108"/>
      <c r="O209" s="108"/>
      <c r="P209" s="108"/>
      <c r="Q209" s="108"/>
      <c r="R209" s="108"/>
      <c r="S209" s="108"/>
      <c r="T209" s="108"/>
      <c r="U209" s="108"/>
      <c r="V209" s="108"/>
      <c r="W209" s="108"/>
      <c r="X209" s="108"/>
      <c r="Y209" s="108"/>
      <c r="Z209" s="108"/>
      <c r="AA209" s="108" t="s">
        <v>347</v>
      </c>
    </row>
    <row r="210" spans="1:51" x14ac:dyDescent="0.25">
      <c r="A210" s="109" t="s">
        <v>348</v>
      </c>
      <c r="D210" s="9"/>
      <c r="E210" s="9"/>
      <c r="F210" s="15"/>
      <c r="G210" s="7"/>
      <c r="I210" s="8"/>
      <c r="J210" s="7"/>
      <c r="Q210" s="7"/>
      <c r="Y210" s="110"/>
      <c r="AA210" t="e">
        <f>AA208*100/B210</f>
        <v>#DIV/0!</v>
      </c>
    </row>
    <row r="211" spans="1:51" x14ac:dyDescent="0.25">
      <c r="B211" s="99">
        <v>800164</v>
      </c>
      <c r="D211" s="9">
        <f>VLOOKUP(B211,A170:R206,5,)</f>
        <v>4.2</v>
      </c>
      <c r="E211" s="9"/>
      <c r="F211" s="15"/>
      <c r="G211" s="7"/>
      <c r="I211" s="8"/>
      <c r="J211" s="7" t="s">
        <v>349</v>
      </c>
      <c r="Q211" s="7"/>
    </row>
    <row r="212" spans="1:51" x14ac:dyDescent="0.25">
      <c r="D212" s="9"/>
      <c r="E212" s="9"/>
      <c r="F212" s="15"/>
      <c r="G212" s="7"/>
      <c r="I212" s="8"/>
      <c r="J212" s="7"/>
      <c r="Q212" s="7"/>
    </row>
    <row r="213" spans="1:51" x14ac:dyDescent="0.25">
      <c r="A213" s="111"/>
      <c r="D213" s="9"/>
      <c r="E213" s="9"/>
      <c r="F213" s="15"/>
      <c r="G213" s="7"/>
      <c r="I213" s="8"/>
      <c r="J213" s="7"/>
      <c r="Q213" s="7"/>
    </row>
    <row r="214" spans="1:51" x14ac:dyDescent="0.25">
      <c r="A214" s="112"/>
      <c r="B214" s="113"/>
      <c r="D214" s="9"/>
      <c r="E214" s="9"/>
      <c r="F214" s="15"/>
      <c r="G214" s="7"/>
      <c r="I214" s="8"/>
      <c r="J214" s="7"/>
      <c r="Q214" s="7"/>
    </row>
    <row r="215" spans="1:51" x14ac:dyDescent="0.25">
      <c r="A215" s="114"/>
      <c r="B215" s="115"/>
      <c r="D215" s="9"/>
      <c r="E215" s="9"/>
      <c r="F215" s="15"/>
      <c r="G215" s="7"/>
      <c r="I215" s="8"/>
      <c r="J215" s="7"/>
      <c r="Q215" s="7"/>
    </row>
    <row r="216" spans="1:51" x14ac:dyDescent="0.25">
      <c r="A216" s="112"/>
      <c r="B216" s="113"/>
      <c r="D216" s="9"/>
      <c r="E216" s="9"/>
      <c r="F216" s="15"/>
      <c r="G216" s="7"/>
      <c r="I216" s="8"/>
      <c r="J216" s="7"/>
      <c r="Q216" s="7"/>
    </row>
    <row r="217" spans="1:51" x14ac:dyDescent="0.25">
      <c r="A217" s="114"/>
      <c r="B217" s="115"/>
      <c r="D217" s="9"/>
      <c r="E217" s="9"/>
      <c r="F217" s="15"/>
      <c r="G217" s="7"/>
      <c r="I217" s="8"/>
      <c r="Q217" s="7"/>
    </row>
    <row r="218" spans="1:51" x14ac:dyDescent="0.25">
      <c r="A218" s="112"/>
      <c r="B218" s="113"/>
      <c r="D218" s="9"/>
      <c r="E218" s="9"/>
      <c r="F218" s="15"/>
      <c r="G218" s="7"/>
      <c r="I218" s="8"/>
      <c r="J218" s="7"/>
      <c r="Q218" s="7"/>
    </row>
    <row r="219" spans="1:51" x14ac:dyDescent="0.25">
      <c r="A219" s="114"/>
      <c r="B219" s="116"/>
      <c r="D219" s="9"/>
      <c r="E219" s="7">
        <f t="shared" ref="E219:M219" si="9">INDEX($A$126:$Z$126, COLUMN(A1))</f>
        <v>320212</v>
      </c>
      <c r="F219" s="7" t="str">
        <f t="shared" si="9"/>
        <v>AUGE 12L Gaveta</v>
      </c>
      <c r="G219" s="7">
        <f t="shared" si="9"/>
        <v>0</v>
      </c>
      <c r="H219" s="7">
        <f t="shared" si="9"/>
        <v>0</v>
      </c>
      <c r="I219" s="7">
        <f t="shared" si="9"/>
        <v>0</v>
      </c>
      <c r="J219" s="7">
        <f t="shared" si="9"/>
        <v>0</v>
      </c>
      <c r="K219" s="7">
        <f t="shared" si="9"/>
        <v>0</v>
      </c>
      <c r="L219" s="7">
        <f t="shared" si="9"/>
        <v>0</v>
      </c>
      <c r="M219" s="7">
        <f t="shared" si="9"/>
        <v>0</v>
      </c>
      <c r="N219" s="7">
        <f>INDEX($A$126:$AJ$126, COLUMN(J1))</f>
        <v>3.01</v>
      </c>
      <c r="O219" s="7">
        <f t="shared" ref="O219:AY219" si="10">INDEX($A$126:$AJ$126, COLUMN(K1))</f>
        <v>0</v>
      </c>
      <c r="P219" s="7">
        <f t="shared" si="10"/>
        <v>0</v>
      </c>
      <c r="Q219" s="7">
        <f t="shared" si="10"/>
        <v>0</v>
      </c>
      <c r="R219" s="7">
        <f t="shared" si="10"/>
        <v>0</v>
      </c>
      <c r="S219" s="7">
        <f t="shared" si="10"/>
        <v>0</v>
      </c>
      <c r="T219" s="7">
        <f t="shared" si="10"/>
        <v>0</v>
      </c>
      <c r="U219" s="7">
        <f t="shared" si="10"/>
        <v>0</v>
      </c>
      <c r="V219" s="7">
        <f t="shared" si="10"/>
        <v>0</v>
      </c>
      <c r="W219" s="7">
        <f t="shared" si="10"/>
        <v>0</v>
      </c>
      <c r="X219" s="7">
        <f t="shared" si="10"/>
        <v>0</v>
      </c>
      <c r="Y219" s="7">
        <f t="shared" si="10"/>
        <v>0</v>
      </c>
      <c r="Z219" s="7">
        <f t="shared" si="10"/>
        <v>0</v>
      </c>
      <c r="AA219" s="7">
        <f t="shared" si="10"/>
        <v>0</v>
      </c>
      <c r="AB219" s="7">
        <f t="shared" si="10"/>
        <v>0</v>
      </c>
      <c r="AC219" s="7">
        <f t="shared" si="10"/>
        <v>0</v>
      </c>
      <c r="AD219" s="7">
        <f t="shared" si="10"/>
        <v>0</v>
      </c>
      <c r="AE219" s="7">
        <f t="shared" si="10"/>
        <v>0.33</v>
      </c>
      <c r="AF219" s="7">
        <f t="shared" si="10"/>
        <v>0</v>
      </c>
      <c r="AG219" s="7">
        <f t="shared" si="10"/>
        <v>0</v>
      </c>
      <c r="AH219" s="7">
        <f t="shared" si="10"/>
        <v>0</v>
      </c>
      <c r="AI219" s="7">
        <f t="shared" si="10"/>
        <v>0</v>
      </c>
      <c r="AJ219" s="7">
        <f t="shared" si="10"/>
        <v>0</v>
      </c>
      <c r="AK219" s="7">
        <f t="shared" si="10"/>
        <v>0</v>
      </c>
      <c r="AL219" s="7">
        <f t="shared" si="10"/>
        <v>0</v>
      </c>
      <c r="AM219" s="7">
        <f t="shared" si="10"/>
        <v>0</v>
      </c>
      <c r="AN219" s="7">
        <f t="shared" si="10"/>
        <v>0</v>
      </c>
      <c r="AO219" s="7" t="e">
        <f t="shared" si="10"/>
        <v>#REF!</v>
      </c>
      <c r="AP219" s="7" t="e">
        <f t="shared" si="10"/>
        <v>#REF!</v>
      </c>
      <c r="AQ219" s="7" t="e">
        <f t="shared" si="10"/>
        <v>#REF!</v>
      </c>
      <c r="AR219" s="7" t="e">
        <f t="shared" si="10"/>
        <v>#REF!</v>
      </c>
      <c r="AS219" s="7" t="e">
        <f t="shared" si="10"/>
        <v>#REF!</v>
      </c>
      <c r="AT219" s="7" t="e">
        <f t="shared" si="10"/>
        <v>#REF!</v>
      </c>
      <c r="AU219" s="7" t="e">
        <f t="shared" si="10"/>
        <v>#REF!</v>
      </c>
      <c r="AV219" s="7" t="e">
        <f t="shared" si="10"/>
        <v>#REF!</v>
      </c>
      <c r="AW219" s="7" t="e">
        <f t="shared" si="10"/>
        <v>#REF!</v>
      </c>
      <c r="AX219" s="7" t="e">
        <f t="shared" si="10"/>
        <v>#REF!</v>
      </c>
      <c r="AY219" s="7" t="e">
        <f t="shared" si="10"/>
        <v>#REF!</v>
      </c>
    </row>
    <row r="220" spans="1:51" x14ac:dyDescent="0.25">
      <c r="A220" s="112"/>
      <c r="B220" s="113"/>
      <c r="D220" s="9"/>
      <c r="E220" s="9"/>
      <c r="F220" s="15"/>
      <c r="G220" s="7"/>
      <c r="I220" s="8"/>
      <c r="J220" s="7"/>
      <c r="Q220" s="7"/>
    </row>
    <row r="221" spans="1:51" x14ac:dyDescent="0.25">
      <c r="A221" s="114"/>
      <c r="B221" s="116"/>
      <c r="D221" s="9"/>
      <c r="E221" s="9"/>
      <c r="F221" s="15"/>
      <c r="G221" s="7"/>
      <c r="I221" s="8"/>
      <c r="J221" s="7"/>
      <c r="Q221" s="7"/>
    </row>
    <row r="222" spans="1:51" x14ac:dyDescent="0.25">
      <c r="A222" s="112"/>
      <c r="B222" s="113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</row>
  </sheetData>
  <mergeCells count="1">
    <mergeCell ref="F103:AO103"/>
  </mergeCells>
  <pageMargins left="0.7" right="0.7" top="0.75" bottom="0.75" header="0.3" footer="0.3"/>
  <legacyDrawing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2"/>
  <sheetViews>
    <sheetView tabSelected="1" topLeftCell="A20" zoomScale="70" zoomScaleNormal="70" workbookViewId="0">
      <selection activeCell="L17" sqref="L17"/>
    </sheetView>
  </sheetViews>
  <sheetFormatPr baseColWidth="10" defaultRowHeight="15" x14ac:dyDescent="0.25"/>
  <sheetData>
    <row r="1" spans="1:24" ht="24" thickBot="1" x14ac:dyDescent="0.3">
      <c r="A1" s="117" t="s">
        <v>350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9"/>
      <c r="N1" s="118" t="s">
        <v>351</v>
      </c>
      <c r="O1" s="119"/>
      <c r="P1" s="8"/>
      <c r="Q1" s="120"/>
      <c r="R1" s="120"/>
      <c r="S1" s="120"/>
      <c r="T1" s="120"/>
      <c r="U1" s="120"/>
      <c r="V1" s="120"/>
      <c r="W1" s="120"/>
      <c r="X1" s="120"/>
    </row>
    <row r="2" spans="1:24" ht="15.75" thickBot="1" x14ac:dyDescent="0.3">
      <c r="A2" s="120"/>
      <c r="B2" s="8"/>
      <c r="C2" s="8"/>
      <c r="D2" s="8"/>
      <c r="E2" s="8"/>
      <c r="F2" s="8"/>
      <c r="G2" s="8"/>
      <c r="H2" s="8"/>
      <c r="I2" s="8"/>
      <c r="J2" s="121" t="s">
        <v>352</v>
      </c>
      <c r="K2" s="8"/>
      <c r="L2" s="8"/>
      <c r="M2" s="8"/>
      <c r="N2" s="8" t="s">
        <v>353</v>
      </c>
      <c r="O2" s="122">
        <f ca="1">TODAY()</f>
        <v>45587</v>
      </c>
      <c r="P2" s="8"/>
      <c r="Q2" s="120"/>
      <c r="R2" s="120"/>
      <c r="S2" s="120"/>
      <c r="T2" s="120"/>
      <c r="U2" s="120"/>
      <c r="V2" s="120"/>
      <c r="W2" s="120"/>
      <c r="X2" s="120"/>
    </row>
    <row r="3" spans="1:24" ht="29.25" thickBot="1" x14ac:dyDescent="0.3">
      <c r="A3" s="123" t="s">
        <v>354</v>
      </c>
      <c r="B3" s="124"/>
      <c r="C3" s="8"/>
      <c r="D3" s="125" t="s">
        <v>355</v>
      </c>
      <c r="E3" s="126"/>
      <c r="F3" s="127">
        <f>SUM(B19:O19)/8</f>
        <v>82.325000000000003</v>
      </c>
      <c r="G3" s="125" t="s">
        <v>356</v>
      </c>
      <c r="H3" s="126"/>
      <c r="I3" s="128">
        <f>SUM(B26:O26)</f>
        <v>23.82</v>
      </c>
      <c r="J3" s="129">
        <f>I3*20</f>
        <v>476.4</v>
      </c>
      <c r="K3" s="8"/>
      <c r="L3" s="8"/>
      <c r="M3" s="8"/>
      <c r="N3" s="130" t="s">
        <v>357</v>
      </c>
      <c r="O3" s="131">
        <f>'[1]Zone 1'!O3</f>
        <v>42</v>
      </c>
      <c r="P3" s="8"/>
      <c r="Q3" s="120"/>
      <c r="R3" s="120"/>
      <c r="S3" s="120"/>
      <c r="T3" s="120"/>
      <c r="U3" s="120"/>
      <c r="V3" s="120"/>
      <c r="W3" s="120"/>
      <c r="X3" s="120"/>
    </row>
    <row r="4" spans="1:24" ht="15.75" x14ac:dyDescent="0.25">
      <c r="A4" s="132" t="s">
        <v>358</v>
      </c>
      <c r="B4" s="133">
        <v>7.5</v>
      </c>
      <c r="C4" s="8"/>
      <c r="D4" s="134" t="s">
        <v>359</v>
      </c>
      <c r="E4" s="134"/>
      <c r="F4" s="135">
        <f>+SUM(B25:O25)/60</f>
        <v>7.8650000000000002</v>
      </c>
      <c r="G4" s="136">
        <f>F4/B4</f>
        <v>1.0486666666666666</v>
      </c>
      <c r="H4" s="136"/>
      <c r="I4" s="8"/>
      <c r="J4" s="8"/>
      <c r="K4" s="8"/>
      <c r="L4" s="137" t="s">
        <v>360</v>
      </c>
      <c r="M4" s="137"/>
      <c r="N4" s="137"/>
      <c r="O4" s="137"/>
      <c r="P4" s="8"/>
      <c r="Q4" s="120"/>
      <c r="R4" s="120"/>
      <c r="S4" s="120"/>
      <c r="T4" s="120"/>
      <c r="U4" s="120"/>
      <c r="V4" s="120"/>
      <c r="W4" s="120"/>
      <c r="X4" s="120"/>
    </row>
    <row r="5" spans="1:24" x14ac:dyDescent="0.25">
      <c r="A5" s="132" t="s">
        <v>361</v>
      </c>
      <c r="B5" s="138">
        <v>0.85</v>
      </c>
      <c r="C5" s="8"/>
      <c r="D5" s="134" t="s">
        <v>362</v>
      </c>
      <c r="E5" s="134"/>
      <c r="F5" s="139">
        <f>SUM(B19:O19)</f>
        <v>658.6</v>
      </c>
      <c r="G5" s="140"/>
      <c r="H5" s="140"/>
      <c r="I5" s="141"/>
      <c r="J5" s="141"/>
      <c r="K5" s="8"/>
      <c r="L5" s="142" t="s">
        <v>363</v>
      </c>
      <c r="M5" s="142"/>
      <c r="N5" s="143" t="e">
        <f>SUM(B30:O30)/$B$4</f>
        <v>#VALUE!</v>
      </c>
      <c r="O5" s="143"/>
      <c r="P5" s="8"/>
      <c r="Q5" s="144" t="s">
        <v>364</v>
      </c>
      <c r="R5" s="120">
        <v>4.5</v>
      </c>
      <c r="S5" s="120"/>
      <c r="T5" s="120"/>
      <c r="U5" s="120"/>
      <c r="V5" s="120"/>
      <c r="W5" s="120"/>
      <c r="X5" s="120"/>
    </row>
    <row r="6" spans="1:24" x14ac:dyDescent="0.25">
      <c r="A6" s="132" t="s">
        <v>365</v>
      </c>
      <c r="B6" s="133">
        <v>1.1000000000000001</v>
      </c>
      <c r="C6" s="8"/>
      <c r="D6" s="140"/>
      <c r="E6" s="140"/>
      <c r="F6" s="145"/>
      <c r="G6" s="120"/>
      <c r="H6" s="8"/>
      <c r="I6" s="8"/>
      <c r="J6" s="8"/>
      <c r="K6" s="8"/>
      <c r="L6" s="142" t="s">
        <v>366</v>
      </c>
      <c r="M6" s="142"/>
      <c r="N6" s="143" t="e">
        <f>SUM(B32:O32)/$B$4</f>
        <v>#VALUE!</v>
      </c>
      <c r="O6" s="143"/>
      <c r="P6" s="8"/>
      <c r="Q6" s="120"/>
      <c r="R6" s="120"/>
      <c r="S6" s="120"/>
      <c r="T6" s="120"/>
      <c r="U6" s="120"/>
      <c r="V6" s="120"/>
      <c r="W6" s="120"/>
      <c r="X6" s="120"/>
    </row>
    <row r="7" spans="1:24" x14ac:dyDescent="0.25">
      <c r="A7" s="132" t="s">
        <v>367</v>
      </c>
      <c r="B7" s="133">
        <v>1</v>
      </c>
      <c r="C7" s="8"/>
      <c r="D7" s="146"/>
      <c r="E7" s="146"/>
      <c r="F7" s="146"/>
      <c r="G7" s="146"/>
      <c r="H7" s="8"/>
      <c r="I7" s="8"/>
      <c r="J7" s="8"/>
      <c r="K7" s="8"/>
      <c r="L7" s="142" t="s">
        <v>368</v>
      </c>
      <c r="M7" s="142"/>
      <c r="N7" s="143" t="e">
        <f>SUM(B34:O34)/$B$4</f>
        <v>#VALUE!</v>
      </c>
      <c r="O7" s="143"/>
      <c r="P7" s="8"/>
      <c r="Q7" s="120"/>
      <c r="R7" s="120"/>
      <c r="S7" s="120"/>
      <c r="T7" s="120"/>
      <c r="U7" s="120"/>
      <c r="V7" s="120"/>
      <c r="W7" s="120"/>
      <c r="X7" s="120"/>
    </row>
    <row r="8" spans="1:24" ht="15.75" thickBot="1" x14ac:dyDescent="0.3">
      <c r="A8" s="147" t="s">
        <v>369</v>
      </c>
      <c r="B8" s="148"/>
      <c r="C8" s="8"/>
      <c r="D8" s="140"/>
      <c r="E8" s="140"/>
      <c r="F8" s="145"/>
      <c r="G8" s="120"/>
      <c r="H8" s="8"/>
      <c r="I8" s="8"/>
      <c r="J8" s="8"/>
      <c r="K8" s="8"/>
      <c r="L8" s="149" t="s">
        <v>370</v>
      </c>
      <c r="M8" s="149"/>
      <c r="N8" s="150" t="e">
        <f>SUM(B36:O36)/$B$4</f>
        <v>#VALUE!</v>
      </c>
      <c r="O8" s="150"/>
      <c r="P8" s="8"/>
      <c r="Q8" s="120"/>
      <c r="R8" s="120"/>
      <c r="S8" s="120"/>
      <c r="T8" s="120"/>
      <c r="U8" s="120"/>
      <c r="V8" s="120"/>
      <c r="W8" s="120"/>
      <c r="X8" s="120"/>
    </row>
    <row r="9" spans="1:24" x14ac:dyDescent="0.25">
      <c r="A9" s="120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120"/>
      <c r="R9" s="120"/>
      <c r="S9" s="120"/>
      <c r="T9" s="120"/>
      <c r="U9" s="120"/>
      <c r="V9" s="120"/>
      <c r="W9" s="120"/>
      <c r="X9" s="120"/>
    </row>
    <row r="10" spans="1:24" ht="15.75" x14ac:dyDescent="0.25">
      <c r="A10" s="151" t="s">
        <v>371</v>
      </c>
      <c r="B10" s="152" t="s">
        <v>372</v>
      </c>
      <c r="C10" s="153"/>
      <c r="D10" s="153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4"/>
      <c r="P10" s="8"/>
      <c r="Q10" s="120"/>
      <c r="R10" s="120"/>
      <c r="S10" s="120"/>
      <c r="T10" s="120"/>
      <c r="U10" s="120"/>
      <c r="V10" s="120"/>
      <c r="W10" s="120"/>
      <c r="X10" s="120"/>
    </row>
    <row r="11" spans="1:24" x14ac:dyDescent="0.25">
      <c r="A11" s="155"/>
      <c r="B11" s="156">
        <v>7</v>
      </c>
      <c r="C11" s="156">
        <v>24</v>
      </c>
      <c r="D11" s="156">
        <v>39</v>
      </c>
      <c r="E11" s="156">
        <v>25</v>
      </c>
      <c r="F11" s="156">
        <v>4</v>
      </c>
      <c r="G11" s="156">
        <v>3</v>
      </c>
      <c r="H11" s="156">
        <v>8</v>
      </c>
      <c r="I11" s="156">
        <v>8</v>
      </c>
      <c r="J11" s="156"/>
      <c r="K11" s="156"/>
      <c r="L11" s="156"/>
      <c r="M11" s="156"/>
      <c r="N11" s="156"/>
      <c r="O11" s="156"/>
      <c r="P11" s="145"/>
      <c r="Q11" s="155"/>
      <c r="R11" s="155"/>
      <c r="S11" s="155"/>
      <c r="T11" s="155"/>
      <c r="U11" s="155"/>
      <c r="V11" s="155"/>
      <c r="W11" s="155"/>
      <c r="X11" s="155"/>
    </row>
    <row r="12" spans="1:24" ht="18.75" x14ac:dyDescent="0.25">
      <c r="A12" s="157" t="s">
        <v>373</v>
      </c>
      <c r="B12" s="158" t="s">
        <v>208</v>
      </c>
      <c r="C12" s="158" t="s">
        <v>374</v>
      </c>
      <c r="D12" s="158" t="s">
        <v>208</v>
      </c>
      <c r="E12" s="158" t="s">
        <v>208</v>
      </c>
      <c r="F12" s="158" t="s">
        <v>374</v>
      </c>
      <c r="G12" s="158"/>
      <c r="H12" s="158" t="s">
        <v>374</v>
      </c>
      <c r="I12" s="158"/>
      <c r="J12" s="158"/>
      <c r="K12" s="158"/>
      <c r="L12" s="158"/>
      <c r="M12" s="158"/>
      <c r="N12" s="158"/>
      <c r="O12" s="158"/>
      <c r="P12" s="8"/>
      <c r="Q12" s="120"/>
      <c r="R12" s="120"/>
      <c r="S12" s="120"/>
      <c r="T12" s="120"/>
      <c r="U12" s="120"/>
      <c r="V12" s="120"/>
      <c r="W12" s="120"/>
      <c r="X12" s="120"/>
    </row>
    <row r="13" spans="1:24" ht="26.25" x14ac:dyDescent="0.25">
      <c r="A13" s="159" t="s">
        <v>375</v>
      </c>
      <c r="B13" s="160">
        <v>15</v>
      </c>
      <c r="C13" s="160">
        <v>14</v>
      </c>
      <c r="D13" s="160">
        <v>8</v>
      </c>
      <c r="E13" s="160">
        <v>14</v>
      </c>
      <c r="F13" s="160">
        <v>14</v>
      </c>
      <c r="G13" s="160"/>
      <c r="H13" s="161">
        <v>14</v>
      </c>
      <c r="I13" s="160"/>
      <c r="J13" s="160"/>
      <c r="K13" s="160"/>
      <c r="L13" s="160"/>
      <c r="M13" s="160"/>
      <c r="N13" s="160"/>
      <c r="O13" s="160"/>
      <c r="P13" s="8"/>
      <c r="Q13" s="120"/>
      <c r="R13" s="120"/>
      <c r="S13" s="120"/>
      <c r="T13" s="120"/>
      <c r="U13" s="120"/>
      <c r="V13" s="120"/>
      <c r="W13" s="120"/>
      <c r="X13" s="120"/>
    </row>
    <row r="14" spans="1:24" ht="15.75" x14ac:dyDescent="0.25">
      <c r="A14" s="159" t="s">
        <v>376</v>
      </c>
      <c r="B14" s="162">
        <v>530300</v>
      </c>
      <c r="C14" s="162">
        <v>520600</v>
      </c>
      <c r="D14" s="162">
        <v>530303</v>
      </c>
      <c r="E14" s="162">
        <v>520600</v>
      </c>
      <c r="F14" s="162">
        <v>320202</v>
      </c>
      <c r="G14" s="162">
        <v>320201</v>
      </c>
      <c r="H14" s="163">
        <v>320212</v>
      </c>
      <c r="I14" s="162">
        <v>320220</v>
      </c>
      <c r="J14" s="162"/>
      <c r="K14" s="162"/>
      <c r="L14" s="162"/>
      <c r="M14" s="162"/>
      <c r="N14" s="162"/>
      <c r="O14" s="162"/>
      <c r="P14" s="8"/>
      <c r="Q14" s="120"/>
      <c r="R14" s="120"/>
      <c r="S14" s="120"/>
      <c r="T14" s="120"/>
      <c r="U14" s="120"/>
      <c r="V14" s="120"/>
      <c r="W14" s="120"/>
      <c r="X14" s="120"/>
    </row>
    <row r="15" spans="1:24" ht="45" x14ac:dyDescent="0.25">
      <c r="A15" s="159" t="s">
        <v>1</v>
      </c>
      <c r="B15" s="164" t="str">
        <f>IF(B14&lt;&gt;"",VLOOKUP(B14,[1]!Tableau1[#Data],2,FALSE),"")</f>
        <v>PIED DE POTEAU CVM</v>
      </c>
      <c r="C15" s="164" t="str">
        <f>IF(C14&lt;&gt;"",VLOOKUP(C14,[1]!Tableau1[#Data],2,FALSE),"")</f>
        <v>PIED POUR CONE CVM non monté</v>
      </c>
      <c r="D15" s="164" t="str">
        <f>IF(D14&lt;&gt;"",VLOOKUP(D14,[1]!Tableau1[#Data],2,FALSE),"")</f>
        <v>PIED DE POTEAU SOFOP</v>
      </c>
      <c r="E15" s="164" t="str">
        <f>IF(E14&lt;&gt;"",VLOOKUP(E14,[1]!Tableau1[#Data],2,FALSE),"")</f>
        <v>PIED POUR CONE CVM non monté</v>
      </c>
      <c r="F15" s="164" t="str">
        <f>IF(F14&lt;&gt;"",VLOOKUP(F14,[1]!Tableau1[#Data],2,FALSE),"")</f>
        <v>AUGE 10L</v>
      </c>
      <c r="G15" s="164" t="str">
        <f>IF(G14&lt;&gt;"",VLOOKUP(G14,[1]!Tableau1[#Data],2,FALSE),"")</f>
        <v>AUGE 7L</v>
      </c>
      <c r="H15" s="165" t="str">
        <f>IF(H14&lt;&gt;"",VLOOKUP(H14,[1]!Tableau1[#Data],2,FALSE),"")</f>
        <v>AUGE 12L Gaveta</v>
      </c>
      <c r="I15" s="164" t="str">
        <f>IF(I14&lt;&gt;"",VLOOKUP(I14,[1]!Tableau1[#Data],2,FALSE),"")</f>
        <v>AUGE 15L Gaveta</v>
      </c>
      <c r="J15" s="164" t="str">
        <f>IF(J14&lt;&gt;"",VLOOKUP(J14,[1]!Tableau1[#Data],2,FALSE),"")</f>
        <v/>
      </c>
      <c r="K15" s="164" t="str">
        <f>IF(K14&lt;&gt;"",VLOOKUP(K14,[1]!Tableau1[#Data],2,FALSE),"")</f>
        <v/>
      </c>
      <c r="L15" s="164" t="str">
        <f>IF(L14&lt;&gt;"",VLOOKUP(L14,[1]!Tableau1[#Data],2,FALSE),"")</f>
        <v/>
      </c>
      <c r="M15" s="164" t="str">
        <f>IF(M14&lt;&gt;"",VLOOKUP(M14,[1]!Tableau1[#Data],2,FALSE),"")</f>
        <v/>
      </c>
      <c r="N15" s="164" t="str">
        <f>IF(N14&lt;&gt;"",VLOOKUP(N14,[1]!Tableau1[#Data],2,FALSE),"")</f>
        <v/>
      </c>
      <c r="O15" s="164" t="str">
        <f>IF(O14&lt;&gt;"",VLOOKUP(O14,[1]!Tableau1[#Data],2,FALSE),"")</f>
        <v/>
      </c>
      <c r="P15" s="8"/>
      <c r="Q15" s="120"/>
      <c r="R15" s="120"/>
      <c r="S15" s="120"/>
      <c r="T15" s="120"/>
      <c r="U15" s="120"/>
      <c r="V15" s="120"/>
      <c r="W15" s="120"/>
      <c r="X15" s="120"/>
    </row>
    <row r="16" spans="1:24" x14ac:dyDescent="0.25">
      <c r="A16" s="159" t="s">
        <v>377</v>
      </c>
      <c r="B16" s="166">
        <v>4</v>
      </c>
      <c r="C16" s="166">
        <f>IF(ISNA(VLOOKUP(C14,[1]!Tableau1[#Data],7,FALSE)),0,VLOOKUP(C14,[1]!Tableau1[#Data],7,FALSE))</f>
        <v>8</v>
      </c>
      <c r="D16" s="166">
        <f>IF(ISNA(VLOOKUP(D14,[1]!Tableau1[#Data],7,FALSE)),0,VLOOKUP(D14,[1]!Tableau1[#Data],7,FALSE))</f>
        <v>8</v>
      </c>
      <c r="E16" s="166">
        <f>IF(ISNA(VLOOKUP(E14,[1]!Tableau1[#Data],7,FALSE)),0,VLOOKUP(E14,[1]!Tableau1[#Data],7,FALSE))</f>
        <v>8</v>
      </c>
      <c r="F16" s="166">
        <v>1</v>
      </c>
      <c r="G16" s="166">
        <f>IF(ISNA(VLOOKUP(G14,[1]!Tableau1[#Data],7,FALSE)),0,VLOOKUP(G14,[1]!Tableau1[#Data],7,FALSE))</f>
        <v>2</v>
      </c>
      <c r="H16" s="167">
        <f>IF(ISNA(VLOOKUP(H14,[1]!Tableau1[#Data],7,FALSE)),0,VLOOKUP(H14,[1]!Tableau1[#Data],7,FALSE))</f>
        <v>1</v>
      </c>
      <c r="I16" s="166">
        <f>IF(ISNA(VLOOKUP(I14,[1]!Tableau1[#Data],7,FALSE)),0,VLOOKUP(I14,[1]!Tableau1[#Data],7,FALSE))</f>
        <v>1</v>
      </c>
      <c r="J16" s="166">
        <f>IF(ISNA(VLOOKUP(J14,[1]!Tableau1[#Data],7,FALSE)),0,VLOOKUP(J14,[1]!Tableau1[#Data],7,FALSE))</f>
        <v>0</v>
      </c>
      <c r="K16" s="166">
        <f>IF(ISNA(VLOOKUP(K14,[1]!Tableau1[#Data],7,FALSE)),0,VLOOKUP(K14,[1]!Tableau1[#Data],7,FALSE))</f>
        <v>0</v>
      </c>
      <c r="L16" s="166">
        <f>IF(ISNA(VLOOKUP(L14,[1]!Tableau1[#Data],7,FALSE)),0,VLOOKUP(L14,[1]!Tableau1[#Data],7,FALSE))</f>
        <v>0</v>
      </c>
      <c r="M16" s="166">
        <f>IF(ISNA(VLOOKUP(M14,[1]!Tableau1[#Data],7,FALSE)),0,VLOOKUP(M14,[1]!Tableau1[#Data],7,FALSE))</f>
        <v>0</v>
      </c>
      <c r="N16" s="166">
        <f>IF(ISNA(VLOOKUP(N14,[1]!Tableau1[#Data],7,FALSE)),0,VLOOKUP(N14,[1]!Tableau1[#Data],7,FALSE))</f>
        <v>0</v>
      </c>
      <c r="O16" s="166">
        <f>IF(ISNA(VLOOKUP(O14,[1]!Tableau1[#Data],7,FALSE)),0,VLOOKUP(O14,[1]!Tableau1[#Data],7,FALSE))</f>
        <v>0</v>
      </c>
      <c r="P16" s="8"/>
      <c r="Q16" s="120"/>
      <c r="R16" s="120"/>
      <c r="S16" s="120"/>
      <c r="T16" s="120"/>
      <c r="U16" s="120"/>
      <c r="V16" s="120"/>
      <c r="W16" s="120"/>
      <c r="X16" s="120"/>
    </row>
    <row r="17" spans="1:24" ht="90" x14ac:dyDescent="0.25">
      <c r="A17" s="168" t="s">
        <v>378</v>
      </c>
      <c r="B17" s="169">
        <v>20</v>
      </c>
      <c r="C17" s="169">
        <v>20</v>
      </c>
      <c r="D17" s="169">
        <v>20</v>
      </c>
      <c r="E17" s="169">
        <v>20</v>
      </c>
      <c r="F17" s="169">
        <v>20</v>
      </c>
      <c r="G17" s="169">
        <v>20</v>
      </c>
      <c r="H17" s="170">
        <f>IF(H12="x",ROUNDDOWN(($B$4*60/(H20+H22)/$B$7/$B$6)*$B$5,0),"")</f>
        <v>20</v>
      </c>
      <c r="I17" s="169" t="str">
        <f t="shared" ref="I17:O17" si="0">IF(I12="x",ROUNDDOWN(($B$4*60/(I20+I22)/$B$7/$B$6)*$B$5,0),"")</f>
        <v/>
      </c>
      <c r="J17" s="169" t="str">
        <f t="shared" si="0"/>
        <v/>
      </c>
      <c r="K17" s="169" t="str">
        <f t="shared" si="0"/>
        <v/>
      </c>
      <c r="L17" s="169" t="str">
        <f t="shared" si="0"/>
        <v/>
      </c>
      <c r="M17" s="169" t="str">
        <f t="shared" si="0"/>
        <v/>
      </c>
      <c r="N17" s="169" t="str">
        <f t="shared" si="0"/>
        <v/>
      </c>
      <c r="O17" s="169" t="str">
        <f t="shared" si="0"/>
        <v/>
      </c>
      <c r="P17" s="8"/>
      <c r="Q17" s="120"/>
      <c r="R17" s="120"/>
      <c r="S17" s="120"/>
      <c r="T17" s="120"/>
      <c r="U17" s="120"/>
      <c r="V17" s="120"/>
      <c r="W17" s="120"/>
      <c r="X17" s="120"/>
    </row>
    <row r="18" spans="1:24" x14ac:dyDescent="0.25">
      <c r="A18" s="159" t="s">
        <v>379</v>
      </c>
      <c r="B18" s="8">
        <f>IF(B14&lt;&gt;"",VLOOKUP(B14,[1]!Tableau1[#Data],4,FALSE),"")</f>
        <v>1.3</v>
      </c>
      <c r="C18" s="8">
        <f>IF(C14&lt;&gt;"",VLOOKUP(C14,[1]!Tableau1[#Data],4,FALSE),"")</f>
        <v>1.5</v>
      </c>
      <c r="D18" s="8">
        <f>IF(D14&lt;&gt;"",VLOOKUP(D14,[1]!Tableau1[#Data],4,FALSE),"")</f>
        <v>2.75</v>
      </c>
      <c r="E18" s="8">
        <f>IF(E14&lt;&gt;"",VLOOKUP(E14,[1]!Tableau1[#Data],4,FALSE),"")</f>
        <v>1.5</v>
      </c>
      <c r="F18" s="8">
        <f>IF(F14&lt;&gt;"",VLOOKUP(F14,[1]!Tableau1[#Data],4,FALSE),"")</f>
        <v>2</v>
      </c>
      <c r="G18" s="8">
        <f>IF(G14&lt;&gt;"",VLOOKUP(G14,[1]!Tableau1[#Data],4,FALSE),"")</f>
        <v>1.5</v>
      </c>
      <c r="H18" s="171">
        <f>IF(H14&lt;&gt;"",VLOOKUP(H14,[1]!Tableau1[#Data],4,FALSE),"")</f>
        <v>2.9</v>
      </c>
      <c r="I18" s="8">
        <f>IF(I14&lt;&gt;"",VLOOKUP(I14,[1]!Tableau1[#Data],4,FALSE),"")</f>
        <v>2.8</v>
      </c>
      <c r="J18" s="8" t="str">
        <f>IF(J14&lt;&gt;"",VLOOKUP(J14,[1]!Tableau1[#Data],4,FALSE),"")</f>
        <v/>
      </c>
      <c r="K18" s="8" t="str">
        <f>IF(K14&lt;&gt;"",VLOOKUP(K14,[1]!Tableau1[#Data],4,FALSE),"")</f>
        <v/>
      </c>
      <c r="L18" s="8" t="str">
        <f>IF(L14&lt;&gt;"",VLOOKUP(L14,[1]!Tableau1[#Data],4,FALSE),"")</f>
        <v/>
      </c>
      <c r="M18" s="8" t="str">
        <f>IF(M14&lt;&gt;"",VLOOKUP(M14,[1]!Tableau1[#Data],4,FALSE),"")</f>
        <v/>
      </c>
      <c r="N18" s="8" t="str">
        <f>IF(N14&lt;&gt;"",VLOOKUP(N14,[1]!Tableau1[#Data],4,FALSE),"")</f>
        <v/>
      </c>
      <c r="O18" s="8" t="str">
        <f>IF(O14&lt;&gt;"",VLOOKUP(O14,[1]!Tableau1[#Data],4,FALSE),"")</f>
        <v/>
      </c>
      <c r="P18" s="8"/>
      <c r="Q18" s="120"/>
      <c r="R18" s="120"/>
      <c r="S18" s="120"/>
      <c r="T18" s="120"/>
      <c r="U18" s="120"/>
      <c r="V18" s="120"/>
      <c r="W18" s="120"/>
      <c r="X18" s="120"/>
    </row>
    <row r="19" spans="1:24" ht="21" x14ac:dyDescent="0.25">
      <c r="A19" s="172" t="s">
        <v>380</v>
      </c>
      <c r="B19" s="173">
        <f>IF(B12&lt;&gt;"",B16*B18*B13,"")</f>
        <v>78</v>
      </c>
      <c r="C19" s="173">
        <f>IF(C12&lt;&gt;"",C16*C18*C13,"")</f>
        <v>168</v>
      </c>
      <c r="D19" s="173">
        <f t="shared" ref="D19:O19" si="1">IF(D12&lt;&gt;"",D16*D18*D13,"")</f>
        <v>176</v>
      </c>
      <c r="E19" s="173">
        <f t="shared" si="1"/>
        <v>168</v>
      </c>
      <c r="F19" s="173">
        <f t="shared" si="1"/>
        <v>28</v>
      </c>
      <c r="G19" s="173" t="str">
        <f>IF(G12&lt;&gt;"",G16*G18*G13,"")</f>
        <v/>
      </c>
      <c r="H19" s="174">
        <f>IF(H12&lt;&gt;"",H16*H18*H13,"")</f>
        <v>40.6</v>
      </c>
      <c r="I19" s="173" t="str">
        <f t="shared" si="1"/>
        <v/>
      </c>
      <c r="J19" s="173" t="str">
        <f t="shared" si="1"/>
        <v/>
      </c>
      <c r="K19" s="173" t="str">
        <f t="shared" si="1"/>
        <v/>
      </c>
      <c r="L19" s="173" t="str">
        <f t="shared" si="1"/>
        <v/>
      </c>
      <c r="M19" s="173" t="str">
        <f t="shared" si="1"/>
        <v/>
      </c>
      <c r="N19" s="173" t="str">
        <f t="shared" si="1"/>
        <v/>
      </c>
      <c r="O19" s="173" t="str">
        <f t="shared" si="1"/>
        <v/>
      </c>
      <c r="P19" s="8"/>
      <c r="Q19" s="120"/>
      <c r="R19" s="120"/>
      <c r="S19" s="120"/>
      <c r="T19" s="120"/>
      <c r="U19" s="120"/>
      <c r="V19" s="120"/>
      <c r="W19" s="120"/>
      <c r="X19" s="120"/>
    </row>
    <row r="20" spans="1:24" ht="111" x14ac:dyDescent="0.25">
      <c r="A20" s="168" t="s">
        <v>381</v>
      </c>
      <c r="B20" s="8">
        <f>IF(ISNA(VLOOKUP(B14,[1]!Tableau1[#Data],8,FALSE)),"",VLOOKUP(B14,[1]!Tableau1[#Data],8,FALSE))</f>
        <v>20</v>
      </c>
      <c r="C20" s="8">
        <f>IF(ISNA(VLOOKUP(C14,[1]!Tableau1[#Data],8,FALSE)),"",VLOOKUP(C14,[1]!Tableau1[#Data],8,FALSE))</f>
        <v>20</v>
      </c>
      <c r="D20" s="8">
        <f>IF(ISNA(VLOOKUP(D14,[1]!Tableau1[#Data],8,FALSE)),"",VLOOKUP(D14,[1]!Tableau1[#Data],8,FALSE))</f>
        <v>60</v>
      </c>
      <c r="E20" s="8">
        <f>IF(ISNA(VLOOKUP(E14,[1]!Tableau1[#Data],8,FALSE)),"",VLOOKUP(E14,[1]!Tableau1[#Data],8,FALSE))</f>
        <v>20</v>
      </c>
      <c r="F20" s="8">
        <f>IF(ISNA(VLOOKUP(F14,[1]!Tableau1[#Data],8,FALSE)),"",VLOOKUP(F14,[1]!Tableau1[#Data],8,FALSE))</f>
        <v>18</v>
      </c>
      <c r="G20" s="8">
        <f>IF(ISNA(VLOOKUP(G14,[1]!Tableau1[#Data],8,FALSE)),"",VLOOKUP(G14,[1]!Tableau1[#Data],8,FALSE))</f>
        <v>15</v>
      </c>
      <c r="H20" s="171">
        <f>IF(ISNA(VLOOKUP(H14,[1]!Tableau1[#Data],8,FALSE)),"",VLOOKUP(H14,[1]!Tableau1[#Data],8,FALSE))</f>
        <v>15</v>
      </c>
      <c r="I20" s="8">
        <f>IF(ISNA(VLOOKUP(I14,[1]!Tableau1[#Data],8,FALSE)),"",VLOOKUP(I14,[1]!Tableau1[#Data],8,FALSE))</f>
        <v>15</v>
      </c>
      <c r="J20" s="8" t="str">
        <f>IF(ISNA(VLOOKUP(J14,[1]!Tableau1[#Data],8,FALSE)),"",VLOOKUP(J14,[1]!Tableau1[#Data],8,FALSE))</f>
        <v/>
      </c>
      <c r="K20" s="8" t="str">
        <f>IF(ISNA(VLOOKUP(K14,[1]!Tableau1[#Data],8,FALSE)),"",VLOOKUP(K14,[1]!Tableau1[#Data],8,FALSE))</f>
        <v/>
      </c>
      <c r="L20" s="8" t="str">
        <f>IF(ISNA(VLOOKUP(L14,[1]!Tableau1[#Data],8,FALSE)),"",VLOOKUP(L14,[1]!Tableau1[#Data],8,FALSE))</f>
        <v/>
      </c>
      <c r="M20" s="8" t="str">
        <f>IF(ISNA(VLOOKUP(M14,[1]!Tableau1[#Data],8,FALSE)),"",VLOOKUP(M14,[1]!Tableau1[#Data],8,FALSE))</f>
        <v/>
      </c>
      <c r="N20" s="8" t="str">
        <f>IF(ISNA(VLOOKUP(N14,[1]!Tableau1[#Data],8,FALSE)),"",VLOOKUP(N14,[1]!Tableau1[#Data],8,FALSE))</f>
        <v/>
      </c>
      <c r="O20" s="8" t="str">
        <f>IF(ISNA(VLOOKUP(O14,[1]!Tableau1[#Data],8,FALSE)),"",VLOOKUP(O14,[1]!Tableau1[#Data],8,FALSE))</f>
        <v/>
      </c>
      <c r="P20" s="8"/>
      <c r="Q20" s="120"/>
      <c r="R20" s="120"/>
      <c r="S20" s="120"/>
      <c r="T20" s="120"/>
      <c r="U20" s="120"/>
      <c r="V20" s="120"/>
      <c r="W20" s="120"/>
      <c r="X20" s="120"/>
    </row>
    <row r="21" spans="1:24" ht="45" x14ac:dyDescent="0.25">
      <c r="A21" s="175" t="s">
        <v>382</v>
      </c>
      <c r="B21" s="176">
        <f t="shared" ref="B21:O21" si="2">IF(B14&lt;&gt;"",B13*B16,"")</f>
        <v>60</v>
      </c>
      <c r="C21" s="176">
        <f t="shared" si="2"/>
        <v>112</v>
      </c>
      <c r="D21" s="176">
        <f t="shared" si="2"/>
        <v>64</v>
      </c>
      <c r="E21" s="176">
        <f t="shared" si="2"/>
        <v>112</v>
      </c>
      <c r="F21" s="176">
        <f t="shared" si="2"/>
        <v>14</v>
      </c>
      <c r="G21" s="176">
        <f t="shared" si="2"/>
        <v>0</v>
      </c>
      <c r="H21" s="177">
        <f t="shared" si="2"/>
        <v>14</v>
      </c>
      <c r="I21" s="176">
        <f t="shared" si="2"/>
        <v>0</v>
      </c>
      <c r="J21" s="176" t="str">
        <f t="shared" si="2"/>
        <v/>
      </c>
      <c r="K21" s="176" t="str">
        <f t="shared" si="2"/>
        <v/>
      </c>
      <c r="L21" s="176" t="str">
        <f t="shared" si="2"/>
        <v/>
      </c>
      <c r="M21" s="176" t="str">
        <f t="shared" si="2"/>
        <v/>
      </c>
      <c r="N21" s="176" t="str">
        <f t="shared" si="2"/>
        <v/>
      </c>
      <c r="O21" s="176" t="str">
        <f t="shared" si="2"/>
        <v/>
      </c>
      <c r="P21" s="178"/>
      <c r="Q21" s="178"/>
      <c r="R21" s="178"/>
      <c r="S21" s="178"/>
      <c r="T21" s="178"/>
      <c r="U21" s="178"/>
      <c r="V21" s="178"/>
      <c r="W21" s="178"/>
      <c r="X21" s="178"/>
    </row>
    <row r="22" spans="1:24" ht="76.5" x14ac:dyDescent="0.25">
      <c r="A22" s="179" t="s">
        <v>383</v>
      </c>
      <c r="B22" s="180">
        <f>IF(B14&lt;&gt;"",VLOOKUP(B$14,[1]!Tableau1[#Data],12,FALSE),"")</f>
        <v>2</v>
      </c>
      <c r="C22" s="180">
        <f>IF(C14&lt;&gt;"",VLOOKUP(C$14,[1]!Tableau1[#Data],12,FALSE),"")</f>
        <v>2</v>
      </c>
      <c r="D22" s="180">
        <f>IF(D14&lt;&gt;"",VLOOKUP(D$14,[1]!Tableau1[#Data],12,FALSE),"")</f>
        <v>2.5</v>
      </c>
      <c r="E22" s="180">
        <f>IF(E14&lt;&gt;"",VLOOKUP(E$14,[1]!Tableau1[#Data],12,FALSE),"")</f>
        <v>2</v>
      </c>
      <c r="F22" s="180">
        <f>IF(F14&lt;&gt;"",VLOOKUP(F$14,[1]!Tableau1[#Data],12,FALSE),"")</f>
        <v>3</v>
      </c>
      <c r="G22" s="180">
        <f>IF(G14&lt;&gt;"",VLOOKUP(G$14,[1]!Tableau1[#Data],12,FALSE),"")</f>
        <v>3</v>
      </c>
      <c r="H22" s="171">
        <f>IF(H14&lt;&gt;"",VLOOKUP(H$14,[1]!Tableau1[#Data],12,FALSE),"")</f>
        <v>2</v>
      </c>
      <c r="I22" s="180">
        <f>IF(I14&lt;&gt;"",VLOOKUP(I$14,[1]!Tableau1[#Data],12,FALSE),"")</f>
        <v>2</v>
      </c>
      <c r="J22" s="180" t="str">
        <f>IF(J14&lt;&gt;"",VLOOKUP(J$14,[1]!Tableau1[#Data],12,FALSE),"")</f>
        <v/>
      </c>
      <c r="K22" s="180" t="str">
        <f>IF(K14&lt;&gt;"",VLOOKUP(K$14,[1]!Tableau1[#Data],12,FALSE),"")</f>
        <v/>
      </c>
      <c r="L22" s="180" t="str">
        <f>IF(L14&lt;&gt;"",VLOOKUP(L$14,[1]!Tableau1[#Data],12,FALSE),"")</f>
        <v/>
      </c>
      <c r="M22" s="180" t="str">
        <f>IF(M14&lt;&gt;"",VLOOKUP(M$14,[1]!Tableau1[#Data],12,FALSE),"")</f>
        <v/>
      </c>
      <c r="N22" s="180" t="str">
        <f>IF(N14&lt;&gt;"",VLOOKUP(N$14,[1]!Tableau1[#Data],12,FALSE),"")</f>
        <v/>
      </c>
      <c r="O22" s="180" t="str">
        <f>IF(O14&lt;&gt;"",VLOOKUP(O$14,[1]!Tableau1[#Data],12,FALSE),"")</f>
        <v/>
      </c>
      <c r="P22" s="181"/>
      <c r="Q22" s="182"/>
      <c r="R22" s="120"/>
      <c r="S22" s="120"/>
      <c r="T22" s="120"/>
      <c r="U22" s="120"/>
      <c r="V22" s="120"/>
      <c r="W22" s="120"/>
      <c r="X22" s="120"/>
    </row>
    <row r="23" spans="1:24" ht="89.25" x14ac:dyDescent="0.25">
      <c r="A23" s="179" t="s">
        <v>384</v>
      </c>
      <c r="B23" s="180">
        <f>IF(B14&lt;&gt;"",VLOOKUP(B$14,[1]!Tableau1[#Data],13,FALSE),"")</f>
        <v>4</v>
      </c>
      <c r="C23" s="180">
        <f>IF(C14&lt;&gt;"",VLOOKUP(C$14,[1]!Tableau1[#Data],13,FALSE),"")</f>
        <v>4</v>
      </c>
      <c r="D23" s="180">
        <f>IF(D14&lt;&gt;"",VLOOKUP(D$14,[1]!Tableau1[#Data],13,FALSE),"")</f>
        <v>4</v>
      </c>
      <c r="E23" s="180">
        <f>IF(E14&lt;&gt;"",VLOOKUP(E$14,[1]!Tableau1[#Data],13,FALSE),"")</f>
        <v>4</v>
      </c>
      <c r="F23" s="180">
        <f>IF(F14&lt;&gt;"",VLOOKUP(F$14,[1]!Tableau1[#Data],13,FALSE),"")</f>
        <v>1.5</v>
      </c>
      <c r="G23" s="180">
        <f>IF(G14&lt;&gt;"",VLOOKUP(G$14,[1]!Tableau1[#Data],13,FALSE),"")</f>
        <v>1.5</v>
      </c>
      <c r="H23" s="171">
        <f>IF(H14&lt;&gt;"",VLOOKUP(H$14,[1]!Tableau1[#Data],13,FALSE),"")</f>
        <v>2</v>
      </c>
      <c r="I23" s="180">
        <f>IF(I14&lt;&gt;"",VLOOKUP(I$14,[1]!Tableau1[#Data],13,FALSE),"")</f>
        <v>2</v>
      </c>
      <c r="J23" s="180" t="str">
        <f>IF(J14&lt;&gt;"",VLOOKUP(J$14,[1]!Tableau1[#Data],13,FALSE),"")</f>
        <v/>
      </c>
      <c r="K23" s="180" t="str">
        <f>IF(K14&lt;&gt;"",VLOOKUP(K$14,[1]!Tableau1[#Data],13,FALSE),"")</f>
        <v/>
      </c>
      <c r="L23" s="180" t="str">
        <f>IF(L14&lt;&gt;"",VLOOKUP(L$14,[1]!Tableau1[#Data],13,FALSE),"")</f>
        <v/>
      </c>
      <c r="M23" s="180" t="str">
        <f>IF(M14&lt;&gt;"",VLOOKUP(M$14,[1]!Tableau1[#Data],13,FALSE),"")</f>
        <v/>
      </c>
      <c r="N23" s="180" t="str">
        <f>IF(N14&lt;&gt;"",VLOOKUP(N$14,[1]!Tableau1[#Data],13,FALSE),"")</f>
        <v/>
      </c>
      <c r="O23" s="180" t="str">
        <f>IF(O14&lt;&gt;"",VLOOKUP(O$14,[1]!Tableau1[#Data],13,FALSE),"")</f>
        <v/>
      </c>
      <c r="P23" s="181"/>
      <c r="Q23" s="182"/>
      <c r="R23" s="120"/>
      <c r="S23" s="120"/>
      <c r="T23" s="120"/>
      <c r="U23" s="120"/>
      <c r="V23" s="120"/>
      <c r="W23" s="120"/>
      <c r="X23" s="120"/>
    </row>
    <row r="24" spans="1:24" ht="51" x14ac:dyDescent="0.25">
      <c r="A24" s="179" t="s">
        <v>385</v>
      </c>
      <c r="B24" s="183">
        <f>IF(B22&lt;&gt;"",B23+B22,"")</f>
        <v>6</v>
      </c>
      <c r="C24" s="183">
        <f t="shared" ref="C24:O24" si="3">IF(C22&lt;&gt;"",C23+C22,"")</f>
        <v>6</v>
      </c>
      <c r="D24" s="183">
        <f t="shared" si="3"/>
        <v>6.5</v>
      </c>
      <c r="E24" s="183">
        <f t="shared" si="3"/>
        <v>6</v>
      </c>
      <c r="F24" s="183">
        <f t="shared" si="3"/>
        <v>4.5</v>
      </c>
      <c r="G24" s="183">
        <f t="shared" si="3"/>
        <v>4.5</v>
      </c>
      <c r="H24" s="184">
        <f t="shared" si="3"/>
        <v>4</v>
      </c>
      <c r="I24" s="183">
        <f t="shared" si="3"/>
        <v>4</v>
      </c>
      <c r="J24" s="183" t="str">
        <f t="shared" si="3"/>
        <v/>
      </c>
      <c r="K24" s="183" t="str">
        <f t="shared" si="3"/>
        <v/>
      </c>
      <c r="L24" s="183" t="str">
        <f t="shared" si="3"/>
        <v/>
      </c>
      <c r="M24" s="183" t="str">
        <f t="shared" si="3"/>
        <v/>
      </c>
      <c r="N24" s="183" t="str">
        <f t="shared" si="3"/>
        <v/>
      </c>
      <c r="O24" s="183" t="str">
        <f t="shared" si="3"/>
        <v/>
      </c>
      <c r="P24" s="181"/>
      <c r="Q24" s="182"/>
      <c r="R24" s="120"/>
      <c r="S24" s="120"/>
      <c r="T24" s="120"/>
      <c r="U24" s="120"/>
      <c r="V24" s="120"/>
      <c r="W24" s="120"/>
      <c r="X24" s="120"/>
    </row>
    <row r="25" spans="1:24" ht="51" x14ac:dyDescent="0.25">
      <c r="A25" s="179" t="s">
        <v>386</v>
      </c>
      <c r="B25" s="185">
        <f t="shared" ref="B25:O25" si="4">IF(B14&lt;&gt;"",((B22+B23)*B13)*$B$7*$B$6,"")</f>
        <v>99.000000000000014</v>
      </c>
      <c r="C25" s="185">
        <f t="shared" si="4"/>
        <v>92.4</v>
      </c>
      <c r="D25" s="185">
        <f t="shared" si="4"/>
        <v>57.2</v>
      </c>
      <c r="E25" s="185">
        <f t="shared" si="4"/>
        <v>92.4</v>
      </c>
      <c r="F25" s="185">
        <f t="shared" si="4"/>
        <v>69.300000000000011</v>
      </c>
      <c r="G25" s="185">
        <f t="shared" si="4"/>
        <v>0</v>
      </c>
      <c r="H25" s="186">
        <f t="shared" si="4"/>
        <v>61.600000000000009</v>
      </c>
      <c r="I25" s="185">
        <f t="shared" si="4"/>
        <v>0</v>
      </c>
      <c r="J25" s="185" t="str">
        <f t="shared" si="4"/>
        <v/>
      </c>
      <c r="K25" s="185" t="str">
        <f t="shared" si="4"/>
        <v/>
      </c>
      <c r="L25" s="185" t="str">
        <f t="shared" si="4"/>
        <v/>
      </c>
      <c r="M25" s="185" t="str">
        <f t="shared" si="4"/>
        <v/>
      </c>
      <c r="N25" s="185" t="str">
        <f t="shared" si="4"/>
        <v/>
      </c>
      <c r="O25" s="185" t="str">
        <f t="shared" si="4"/>
        <v/>
      </c>
      <c r="P25" s="8"/>
      <c r="Q25" s="120"/>
      <c r="R25" s="120"/>
      <c r="S25" s="120"/>
      <c r="T25" s="120"/>
      <c r="U25" s="120"/>
      <c r="V25" s="120"/>
      <c r="W25" s="120"/>
      <c r="X25" s="120"/>
    </row>
    <row r="26" spans="1:24" x14ac:dyDescent="0.25">
      <c r="A26" s="187" t="s">
        <v>387</v>
      </c>
      <c r="B26" s="188">
        <f>IF(B14&lt;&gt;"",VLOOKUP(B$14,[1]!Tableau1[#Data],3,FALSE)*B21,"")</f>
        <v>3.5999999999999996</v>
      </c>
      <c r="C26" s="188">
        <f>IF(C14&lt;&gt;"",VLOOKUP(C$14,[1]!Tableau1[#Data],3,FALSE)*C21,"")</f>
        <v>6.72</v>
      </c>
      <c r="D26" s="188">
        <f>IF(D14&lt;&gt;"",VLOOKUP(D$14,[1]!Tableau1[#Data],3,FALSE)*D21,"")</f>
        <v>3.84</v>
      </c>
      <c r="E26" s="188">
        <f>IF(E14&lt;&gt;"",VLOOKUP(E$14,[1]!Tableau1[#Data],3,FALSE)*E21,"")</f>
        <v>6.72</v>
      </c>
      <c r="F26" s="188">
        <f>IF(F14&lt;&gt;"",VLOOKUP(F$14,[1]!Tableau1[#Data],3,FALSE)*F21,"")</f>
        <v>1.26</v>
      </c>
      <c r="G26" s="188">
        <f>IF(G14&lt;&gt;"",VLOOKUP(G$14,[1]!Tableau1[#Data],3,FALSE)*G21,"")</f>
        <v>0</v>
      </c>
      <c r="H26" s="189">
        <f>IF(H14&lt;&gt;"",VLOOKUP(H$14,[1]!Tableau1[#Data],3,FALSE)*H21,"")</f>
        <v>1.68</v>
      </c>
      <c r="I26" s="188">
        <f>IF(I14&lt;&gt;"",VLOOKUP(I$14,[1]!Tableau1[#Data],3,FALSE)*I21,"")</f>
        <v>0</v>
      </c>
      <c r="J26" s="188" t="str">
        <f>IF(J14&lt;&gt;"",VLOOKUP(J$14,[1]!Tableau1[#Data],3,FALSE)*J21,"")</f>
        <v/>
      </c>
      <c r="K26" s="188" t="str">
        <f>IF(K14&lt;&gt;"",VLOOKUP(K$14,[1]!Tableau1[#Data],3,FALSE)*K21,"")</f>
        <v/>
      </c>
      <c r="L26" s="188" t="str">
        <f>IF(L14&lt;&gt;"",VLOOKUP(L$14,[1]!Tableau1[#Data],3,FALSE)*L21,"")</f>
        <v/>
      </c>
      <c r="M26" s="188" t="str">
        <f>IF(M14&lt;&gt;"",VLOOKUP(M$14,[1]!Tableau1[#Data],3,FALSE)*M21,"")</f>
        <v/>
      </c>
      <c r="N26" s="188" t="str">
        <f>IF(N14&lt;&gt;"",VLOOKUP(N$14,[1]!Tableau1[#Data],3,FALSE)*N21,"")</f>
        <v/>
      </c>
      <c r="O26" s="188" t="str">
        <f>IF(O14&lt;&gt;"",VLOOKUP(O$14,[1]!Tableau1[#Data],3,FALSE)*O21,"")</f>
        <v/>
      </c>
      <c r="P26" s="190"/>
      <c r="Q26" s="120"/>
      <c r="R26" s="120"/>
      <c r="S26" s="120"/>
      <c r="T26" s="120"/>
      <c r="U26" s="120"/>
      <c r="V26" s="120"/>
      <c r="W26" s="120"/>
      <c r="X26" s="120"/>
    </row>
    <row r="27" spans="1:24" x14ac:dyDescent="0.25">
      <c r="A27" s="187"/>
      <c r="B27" s="8"/>
      <c r="C27" s="8"/>
      <c r="D27" s="8"/>
      <c r="E27" s="8"/>
      <c r="F27" s="8"/>
      <c r="G27" s="8"/>
      <c r="H27" s="171"/>
      <c r="I27" s="8"/>
      <c r="J27" s="8"/>
      <c r="K27" s="8"/>
      <c r="L27" s="8"/>
      <c r="M27" s="8"/>
      <c r="N27" s="8"/>
      <c r="O27" s="8"/>
      <c r="P27" s="8"/>
      <c r="Q27" s="120"/>
      <c r="R27" s="120"/>
      <c r="S27" s="120"/>
      <c r="T27" s="120"/>
      <c r="U27" s="120"/>
      <c r="V27" s="120"/>
      <c r="W27" s="120"/>
      <c r="X27" s="120"/>
    </row>
    <row r="28" spans="1:24" x14ac:dyDescent="0.25">
      <c r="A28" s="144" t="s">
        <v>388</v>
      </c>
      <c r="B28" s="8"/>
      <c r="C28" s="8"/>
      <c r="D28" s="8"/>
      <c r="E28" s="8"/>
      <c r="F28" s="8"/>
      <c r="G28" s="8"/>
      <c r="H28" s="171"/>
      <c r="I28" s="8"/>
      <c r="J28" s="8"/>
      <c r="K28" s="8"/>
      <c r="L28" s="8"/>
      <c r="M28" s="8"/>
      <c r="N28" s="8"/>
      <c r="O28" s="8"/>
      <c r="P28" s="191" t="s">
        <v>389</v>
      </c>
      <c r="Q28" s="120"/>
      <c r="R28" s="120"/>
      <c r="S28" s="120"/>
      <c r="T28" s="120"/>
      <c r="U28" s="120"/>
      <c r="V28" s="120"/>
      <c r="W28" s="120"/>
      <c r="X28" s="120"/>
    </row>
    <row r="29" spans="1:24" ht="15.75" x14ac:dyDescent="0.25">
      <c r="A29" s="162" t="s">
        <v>30</v>
      </c>
      <c r="B29" s="192"/>
      <c r="C29" s="192"/>
      <c r="D29" s="192"/>
      <c r="E29" s="192"/>
      <c r="F29" s="192"/>
      <c r="G29" s="192"/>
      <c r="H29" s="193"/>
      <c r="I29" s="192"/>
      <c r="J29" s="192"/>
      <c r="K29" s="192"/>
      <c r="L29" s="192"/>
      <c r="M29" s="192"/>
      <c r="N29" s="192"/>
      <c r="O29" s="192"/>
      <c r="P29" s="194"/>
      <c r="Q29" s="120"/>
      <c r="R29" s="120"/>
      <c r="S29" s="120"/>
      <c r="T29" s="120"/>
      <c r="U29" s="120"/>
      <c r="V29" s="120"/>
      <c r="W29" s="120"/>
      <c r="X29" s="120"/>
    </row>
    <row r="30" spans="1:24" x14ac:dyDescent="0.25">
      <c r="A30" s="195" t="s">
        <v>363</v>
      </c>
      <c r="B30" s="196">
        <f>B29*B$18</f>
        <v>0</v>
      </c>
      <c r="C30" s="196">
        <f t="shared" ref="C30:O30" si="5">C29*C$18</f>
        <v>0</v>
      </c>
      <c r="D30" s="196">
        <f t="shared" si="5"/>
        <v>0</v>
      </c>
      <c r="E30" s="196">
        <f t="shared" si="5"/>
        <v>0</v>
      </c>
      <c r="F30" s="196">
        <f t="shared" si="5"/>
        <v>0</v>
      </c>
      <c r="G30" s="196">
        <f>G29*G$18</f>
        <v>0</v>
      </c>
      <c r="H30" s="197">
        <f t="shared" si="5"/>
        <v>0</v>
      </c>
      <c r="I30" s="196">
        <f t="shared" si="5"/>
        <v>0</v>
      </c>
      <c r="J30" s="196"/>
      <c r="K30" s="196" t="e">
        <f>K29*K$18</f>
        <v>#VALUE!</v>
      </c>
      <c r="L30" s="196" t="e">
        <f>L29*L$18</f>
        <v>#VALUE!</v>
      </c>
      <c r="M30" s="196" t="e">
        <f t="shared" si="5"/>
        <v>#VALUE!</v>
      </c>
      <c r="N30" s="196" t="e">
        <f t="shared" si="5"/>
        <v>#VALUE!</v>
      </c>
      <c r="O30" s="196" t="e">
        <f t="shared" si="5"/>
        <v>#VALUE!</v>
      </c>
      <c r="P30" s="198">
        <f>IF(A29&lt;&gt;"",1,0)</f>
        <v>1</v>
      </c>
      <c r="Q30" s="199"/>
      <c r="R30" s="120"/>
      <c r="S30" s="120"/>
      <c r="T30" s="120"/>
      <c r="U30" s="120"/>
      <c r="V30" s="120"/>
      <c r="W30" s="120"/>
      <c r="X30" s="120"/>
    </row>
    <row r="31" spans="1:24" ht="15.75" x14ac:dyDescent="0.25">
      <c r="A31" s="162" t="s">
        <v>48</v>
      </c>
      <c r="B31" s="192"/>
      <c r="C31" s="192"/>
      <c r="D31" s="192"/>
      <c r="E31" s="192"/>
      <c r="F31" s="192"/>
      <c r="G31" s="192"/>
      <c r="H31" s="193"/>
      <c r="I31" s="192"/>
      <c r="J31" s="192"/>
      <c r="K31" s="192"/>
      <c r="L31" s="192"/>
      <c r="M31" s="192"/>
      <c r="N31" s="192"/>
      <c r="O31" s="192"/>
      <c r="P31" s="194"/>
      <c r="Q31" s="199"/>
      <c r="R31" s="120"/>
      <c r="S31" s="120"/>
      <c r="T31" s="120"/>
      <c r="U31" s="120"/>
      <c r="V31" s="120"/>
      <c r="W31" s="120"/>
      <c r="X31" s="120"/>
    </row>
    <row r="32" spans="1:24" x14ac:dyDescent="0.25">
      <c r="A32" s="195" t="s">
        <v>390</v>
      </c>
      <c r="B32" s="196">
        <f>B31*B$18</f>
        <v>0</v>
      </c>
      <c r="C32" s="196">
        <f t="shared" ref="C32:O32" si="6">C31*C$18</f>
        <v>0</v>
      </c>
      <c r="D32" s="196">
        <f t="shared" si="6"/>
        <v>0</v>
      </c>
      <c r="E32" s="196">
        <f t="shared" si="6"/>
        <v>0</v>
      </c>
      <c r="F32" s="196">
        <f t="shared" si="6"/>
        <v>0</v>
      </c>
      <c r="G32" s="196">
        <f t="shared" si="6"/>
        <v>0</v>
      </c>
      <c r="H32" s="197">
        <f t="shared" si="6"/>
        <v>0</v>
      </c>
      <c r="I32" s="196">
        <f t="shared" si="6"/>
        <v>0</v>
      </c>
      <c r="J32" s="196"/>
      <c r="K32" s="196" t="e">
        <f t="shared" si="6"/>
        <v>#VALUE!</v>
      </c>
      <c r="L32" s="196" t="e">
        <f t="shared" si="6"/>
        <v>#VALUE!</v>
      </c>
      <c r="M32" s="196" t="e">
        <f t="shared" si="6"/>
        <v>#VALUE!</v>
      </c>
      <c r="N32" s="196" t="e">
        <f t="shared" si="6"/>
        <v>#VALUE!</v>
      </c>
      <c r="O32" s="196" t="e">
        <f t="shared" si="6"/>
        <v>#VALUE!</v>
      </c>
      <c r="P32" s="198">
        <f>IF(A31&lt;&gt;"",1,0)</f>
        <v>1</v>
      </c>
      <c r="Q32" s="199"/>
      <c r="R32" s="120"/>
      <c r="S32" s="120"/>
      <c r="T32" s="120"/>
      <c r="U32" s="120"/>
      <c r="V32" s="120"/>
      <c r="W32" s="120"/>
      <c r="X32" s="120"/>
    </row>
    <row r="33" spans="1:24" ht="15.75" x14ac:dyDescent="0.25">
      <c r="A33" s="162" t="s">
        <v>42</v>
      </c>
      <c r="B33" s="192"/>
      <c r="C33" s="192"/>
      <c r="D33" s="192"/>
      <c r="E33" s="192"/>
      <c r="F33" s="192"/>
      <c r="G33" s="192"/>
      <c r="H33" s="193"/>
      <c r="I33" s="192"/>
      <c r="J33" s="192"/>
      <c r="K33" s="192"/>
      <c r="L33" s="192"/>
      <c r="M33" s="192"/>
      <c r="N33" s="192"/>
      <c r="O33" s="192"/>
      <c r="P33" s="194"/>
      <c r="Q33" s="199"/>
      <c r="R33" s="120"/>
      <c r="S33" s="120"/>
      <c r="T33" s="120"/>
      <c r="U33" s="120"/>
      <c r="V33" s="120"/>
      <c r="W33" s="120"/>
      <c r="X33" s="120"/>
    </row>
    <row r="34" spans="1:24" x14ac:dyDescent="0.25">
      <c r="A34" s="195" t="s">
        <v>368</v>
      </c>
      <c r="B34" s="196">
        <f>B33*B$18</f>
        <v>0</v>
      </c>
      <c r="C34" s="196">
        <f t="shared" ref="C34:O34" si="7">C33*C$18</f>
        <v>0</v>
      </c>
      <c r="D34" s="196">
        <f t="shared" si="7"/>
        <v>0</v>
      </c>
      <c r="E34" s="196">
        <f t="shared" si="7"/>
        <v>0</v>
      </c>
      <c r="F34" s="196">
        <f t="shared" si="7"/>
        <v>0</v>
      </c>
      <c r="G34" s="196">
        <f t="shared" si="7"/>
        <v>0</v>
      </c>
      <c r="H34" s="197">
        <f t="shared" si="7"/>
        <v>0</v>
      </c>
      <c r="I34" s="196">
        <f t="shared" si="7"/>
        <v>0</v>
      </c>
      <c r="J34" s="196"/>
      <c r="K34" s="196" t="e">
        <f t="shared" si="7"/>
        <v>#VALUE!</v>
      </c>
      <c r="L34" s="196" t="e">
        <f t="shared" si="7"/>
        <v>#VALUE!</v>
      </c>
      <c r="M34" s="196" t="e">
        <f t="shared" si="7"/>
        <v>#VALUE!</v>
      </c>
      <c r="N34" s="196" t="e">
        <f t="shared" si="7"/>
        <v>#VALUE!</v>
      </c>
      <c r="O34" s="196" t="e">
        <f t="shared" si="7"/>
        <v>#VALUE!</v>
      </c>
      <c r="P34" s="198">
        <f>IF(A33&lt;&gt;"",1,0)</f>
        <v>1</v>
      </c>
      <c r="Q34" s="199"/>
      <c r="R34" s="120"/>
      <c r="S34" s="120"/>
      <c r="T34" s="120"/>
      <c r="U34" s="120"/>
      <c r="V34" s="120"/>
      <c r="W34" s="120"/>
      <c r="X34" s="120"/>
    </row>
    <row r="35" spans="1:24" x14ac:dyDescent="0.25">
      <c r="A35" s="200" t="s">
        <v>391</v>
      </c>
      <c r="B35" s="201" t="e">
        <f>ROUNDUP((AVERAGE(B29,B31,B33)),0)</f>
        <v>#DIV/0!</v>
      </c>
      <c r="C35" s="201" t="e">
        <f t="shared" ref="C35:O35" si="8">ROUNDUP((AVERAGE(C29,C31,C33)),0)</f>
        <v>#DIV/0!</v>
      </c>
      <c r="D35" s="201" t="e">
        <f t="shared" si="8"/>
        <v>#DIV/0!</v>
      </c>
      <c r="E35" s="201" t="e">
        <f t="shared" si="8"/>
        <v>#DIV/0!</v>
      </c>
      <c r="F35" s="201" t="e">
        <f t="shared" si="8"/>
        <v>#DIV/0!</v>
      </c>
      <c r="G35" s="201" t="e">
        <f t="shared" si="8"/>
        <v>#DIV/0!</v>
      </c>
      <c r="H35" s="202" t="e">
        <f t="shared" si="8"/>
        <v>#DIV/0!</v>
      </c>
      <c r="I35" s="201" t="e">
        <f t="shared" si="8"/>
        <v>#DIV/0!</v>
      </c>
      <c r="J35" s="201"/>
      <c r="K35" s="201" t="e">
        <f t="shared" si="8"/>
        <v>#DIV/0!</v>
      </c>
      <c r="L35" s="201" t="e">
        <f t="shared" si="8"/>
        <v>#DIV/0!</v>
      </c>
      <c r="M35" s="201" t="e">
        <f t="shared" si="8"/>
        <v>#DIV/0!</v>
      </c>
      <c r="N35" s="201" t="e">
        <f t="shared" si="8"/>
        <v>#DIV/0!</v>
      </c>
      <c r="O35" s="201" t="e">
        <f t="shared" si="8"/>
        <v>#DIV/0!</v>
      </c>
      <c r="P35" s="203"/>
      <c r="Q35" s="120"/>
      <c r="R35" s="120"/>
      <c r="S35" s="120"/>
      <c r="T35" s="120"/>
      <c r="U35" s="120"/>
      <c r="V35" s="120"/>
      <c r="W35" s="120"/>
      <c r="X35" s="120"/>
    </row>
    <row r="36" spans="1:24" x14ac:dyDescent="0.25">
      <c r="A36" s="200" t="s">
        <v>392</v>
      </c>
      <c r="B36" s="204">
        <f>(B34+B32+B30)/3</f>
        <v>0</v>
      </c>
      <c r="C36" s="204">
        <f t="shared" ref="C36:O36" si="9">(C34+C32+C30)/3</f>
        <v>0</v>
      </c>
      <c r="D36" s="204">
        <f t="shared" si="9"/>
        <v>0</v>
      </c>
      <c r="E36" s="204">
        <f t="shared" si="9"/>
        <v>0</v>
      </c>
      <c r="F36" s="204">
        <f t="shared" si="9"/>
        <v>0</v>
      </c>
      <c r="G36" s="204">
        <f t="shared" si="9"/>
        <v>0</v>
      </c>
      <c r="H36" s="205">
        <f t="shared" si="9"/>
        <v>0</v>
      </c>
      <c r="I36" s="204">
        <f t="shared" si="9"/>
        <v>0</v>
      </c>
      <c r="J36" s="204"/>
      <c r="K36" s="204" t="e">
        <f t="shared" si="9"/>
        <v>#VALUE!</v>
      </c>
      <c r="L36" s="204" t="e">
        <f t="shared" si="9"/>
        <v>#VALUE!</v>
      </c>
      <c r="M36" s="204" t="e">
        <f t="shared" si="9"/>
        <v>#VALUE!</v>
      </c>
      <c r="N36" s="204" t="e">
        <f t="shared" si="9"/>
        <v>#VALUE!</v>
      </c>
      <c r="O36" s="206" t="e">
        <f t="shared" si="9"/>
        <v>#VALUE!</v>
      </c>
      <c r="P36" s="207">
        <f>SUM(P28:P35)</f>
        <v>3</v>
      </c>
      <c r="Q36" s="199"/>
      <c r="R36" s="120"/>
      <c r="S36" s="120"/>
      <c r="T36" s="120"/>
      <c r="U36" s="120"/>
      <c r="V36" s="120"/>
      <c r="W36" s="120"/>
      <c r="X36" s="120"/>
    </row>
    <row r="37" spans="1:24" x14ac:dyDescent="0.25">
      <c r="A37" s="208" t="s">
        <v>393</v>
      </c>
      <c r="B37" s="209">
        <f t="shared" ref="B37:I37" si="10">B13*B16*$P36*$R5</f>
        <v>810</v>
      </c>
      <c r="C37" s="209">
        <f t="shared" si="10"/>
        <v>1512</v>
      </c>
      <c r="D37" s="209">
        <f t="shared" si="10"/>
        <v>864</v>
      </c>
      <c r="E37" s="209">
        <f t="shared" si="10"/>
        <v>1512</v>
      </c>
      <c r="F37" s="209">
        <f t="shared" si="10"/>
        <v>189</v>
      </c>
      <c r="G37" s="209">
        <f t="shared" si="10"/>
        <v>0</v>
      </c>
      <c r="H37" s="210">
        <f t="shared" si="10"/>
        <v>189</v>
      </c>
      <c r="I37" s="209">
        <f t="shared" si="10"/>
        <v>0</v>
      </c>
      <c r="J37" s="8"/>
      <c r="K37" s="8"/>
      <c r="L37" s="8"/>
      <c r="M37" s="8"/>
      <c r="N37" s="8"/>
      <c r="O37" s="8"/>
      <c r="P37" s="8"/>
      <c r="Q37" s="120"/>
      <c r="R37" s="120"/>
      <c r="S37" s="120"/>
      <c r="T37" s="120"/>
      <c r="U37" s="120"/>
      <c r="V37" s="120"/>
      <c r="W37" s="120"/>
      <c r="X37" s="120"/>
    </row>
    <row r="38" spans="1:24" ht="15.75" thickBot="1" x14ac:dyDescent="0.3">
      <c r="A38" s="120"/>
      <c r="B38" s="8"/>
      <c r="C38" s="8"/>
      <c r="D38" s="8"/>
      <c r="E38" s="8"/>
      <c r="F38" s="8"/>
      <c r="G38" s="8"/>
      <c r="H38" s="171"/>
      <c r="I38" s="8"/>
      <c r="J38" s="8"/>
      <c r="K38" s="8"/>
      <c r="L38" s="8"/>
      <c r="M38" s="8"/>
      <c r="N38" s="8"/>
      <c r="O38" s="8"/>
      <c r="P38" s="8"/>
      <c r="Q38" s="120"/>
      <c r="R38" s="120"/>
      <c r="S38" s="120"/>
      <c r="T38" s="120"/>
      <c r="U38" s="120"/>
      <c r="V38" s="120"/>
      <c r="W38" s="120"/>
      <c r="X38" s="120"/>
    </row>
    <row r="39" spans="1:24" x14ac:dyDescent="0.25">
      <c r="A39" s="211" t="s">
        <v>394</v>
      </c>
      <c r="B39" s="212"/>
      <c r="C39" s="212"/>
      <c r="D39" s="212"/>
      <c r="E39" s="212"/>
      <c r="F39" s="212"/>
      <c r="G39" s="212"/>
      <c r="H39" s="213"/>
      <c r="I39" s="8"/>
      <c r="J39" s="8"/>
      <c r="K39" s="8"/>
      <c r="L39" s="8"/>
      <c r="M39" s="8"/>
      <c r="N39" s="8"/>
      <c r="O39" s="8"/>
      <c r="P39" s="8"/>
      <c r="Q39" s="120"/>
      <c r="R39" s="120"/>
      <c r="S39" s="120"/>
      <c r="T39" s="120"/>
      <c r="U39" s="120"/>
      <c r="V39" s="120"/>
      <c r="W39" s="120"/>
      <c r="X39" s="120"/>
    </row>
    <row r="40" spans="1:24" x14ac:dyDescent="0.25">
      <c r="A40" s="214" t="s">
        <v>395</v>
      </c>
      <c r="B40" s="215"/>
      <c r="C40" s="215"/>
      <c r="D40" s="215"/>
      <c r="E40" s="215"/>
      <c r="F40" s="215"/>
      <c r="G40" s="215"/>
      <c r="H40" s="216">
        <f>H44/H47</f>
        <v>0.94814999999999994</v>
      </c>
      <c r="I40" s="8"/>
      <c r="J40" s="8"/>
      <c r="K40" s="8"/>
      <c r="L40" s="8"/>
      <c r="M40" s="8"/>
      <c r="N40" s="8"/>
      <c r="O40" s="8"/>
      <c r="P40" s="8"/>
      <c r="Q40" s="120"/>
      <c r="R40" s="120"/>
      <c r="S40" s="120"/>
      <c r="T40" s="120"/>
      <c r="U40" s="120"/>
      <c r="V40" s="120"/>
      <c r="W40" s="120"/>
      <c r="X40" s="120"/>
    </row>
    <row r="41" spans="1:24" x14ac:dyDescent="0.25">
      <c r="A41" s="214" t="s">
        <v>396</v>
      </c>
      <c r="B41" s="215"/>
      <c r="C41" s="215"/>
      <c r="D41" s="215"/>
      <c r="E41" s="215"/>
      <c r="F41" s="215"/>
      <c r="G41" s="215"/>
      <c r="H41" s="216">
        <f>H45/H47</f>
        <v>0.10395</v>
      </c>
      <c r="I41" s="120"/>
      <c r="J41" s="8"/>
      <c r="K41" s="8"/>
      <c r="L41" s="8"/>
      <c r="M41" s="8"/>
      <c r="N41" s="8"/>
      <c r="O41" s="8"/>
      <c r="P41" s="8"/>
      <c r="Q41" s="120"/>
      <c r="R41" s="120"/>
      <c r="S41" s="120"/>
      <c r="T41" s="120"/>
      <c r="U41" s="120"/>
      <c r="V41" s="120"/>
      <c r="W41" s="120"/>
      <c r="X41" s="120"/>
    </row>
    <row r="42" spans="1:24" x14ac:dyDescent="0.25">
      <c r="A42" s="214"/>
      <c r="B42" s="215"/>
      <c r="C42" s="215"/>
      <c r="D42" s="215"/>
      <c r="E42" s="215"/>
      <c r="F42" s="215"/>
      <c r="G42" s="215"/>
      <c r="H42" s="217"/>
      <c r="I42" s="120"/>
      <c r="J42" s="8"/>
      <c r="K42" s="8"/>
      <c r="L42" s="8"/>
      <c r="M42" s="8"/>
      <c r="N42" s="8"/>
      <c r="O42" s="8"/>
      <c r="P42" s="8"/>
      <c r="Q42" s="120"/>
      <c r="R42" s="120"/>
      <c r="S42" s="120"/>
      <c r="T42" s="120"/>
      <c r="U42" s="120"/>
      <c r="V42" s="120"/>
      <c r="W42" s="120"/>
      <c r="X42" s="120"/>
    </row>
    <row r="43" spans="1:24" x14ac:dyDescent="0.25">
      <c r="A43" s="214"/>
      <c r="B43" s="215"/>
      <c r="C43" s="215"/>
      <c r="D43" s="215"/>
      <c r="E43" s="215"/>
      <c r="F43" s="215"/>
      <c r="G43" s="215"/>
      <c r="H43" s="217"/>
      <c r="I43" s="8"/>
      <c r="J43" s="8"/>
      <c r="K43" s="8"/>
      <c r="L43" s="8"/>
      <c r="M43" s="8"/>
      <c r="N43" s="8"/>
      <c r="O43" s="8"/>
      <c r="P43" s="8"/>
      <c r="Q43" s="120"/>
      <c r="R43" s="120"/>
      <c r="S43" s="120"/>
      <c r="T43" s="120"/>
      <c r="U43" s="120"/>
      <c r="V43" s="120"/>
      <c r="W43" s="120"/>
      <c r="X43" s="120"/>
    </row>
    <row r="44" spans="1:24" x14ac:dyDescent="0.25">
      <c r="A44" s="214" t="s">
        <v>397</v>
      </c>
      <c r="B44" s="215"/>
      <c r="C44" s="215"/>
      <c r="D44" s="215"/>
      <c r="E44" s="215"/>
      <c r="F44" s="215"/>
      <c r="G44" s="215"/>
      <c r="H44" s="218">
        <f>[1]Base!J126*H37</f>
        <v>568.89</v>
      </c>
      <c r="I44" s="8"/>
      <c r="J44" s="8"/>
      <c r="K44" s="8"/>
      <c r="L44" s="8"/>
      <c r="M44" s="8"/>
      <c r="N44" s="8"/>
      <c r="O44" s="8"/>
      <c r="P44" s="8"/>
      <c r="Q44" s="120"/>
      <c r="R44" s="120"/>
      <c r="S44" s="120"/>
      <c r="T44" s="120"/>
      <c r="U44" s="120"/>
      <c r="V44" s="120"/>
      <c r="W44" s="120"/>
      <c r="X44" s="120"/>
    </row>
    <row r="45" spans="1:24" x14ac:dyDescent="0.25">
      <c r="A45" s="214" t="s">
        <v>398</v>
      </c>
      <c r="B45" s="215"/>
      <c r="C45" s="215"/>
      <c r="D45" s="215"/>
      <c r="E45" s="215"/>
      <c r="F45" s="215"/>
      <c r="G45" s="215"/>
      <c r="H45" s="218">
        <f>[1]Base!AA126*H37</f>
        <v>62.370000000000005</v>
      </c>
      <c r="I45" s="8"/>
      <c r="J45" s="8"/>
      <c r="K45" s="8"/>
      <c r="L45" s="8"/>
      <c r="M45" s="8"/>
      <c r="N45" s="8"/>
      <c r="O45" s="8"/>
      <c r="P45" s="8"/>
      <c r="Q45" s="120"/>
      <c r="R45" s="120"/>
      <c r="S45" s="120"/>
      <c r="T45" s="120"/>
      <c r="U45" s="120"/>
      <c r="V45" s="120"/>
      <c r="W45" s="120"/>
      <c r="X45" s="120"/>
    </row>
    <row r="46" spans="1:24" x14ac:dyDescent="0.25">
      <c r="A46" s="214"/>
      <c r="B46" s="215"/>
      <c r="C46" s="215"/>
      <c r="D46" s="215"/>
      <c r="E46" s="215"/>
      <c r="F46" s="215"/>
      <c r="G46" s="215"/>
      <c r="H46" s="217"/>
      <c r="I46" s="8"/>
      <c r="J46" s="8"/>
      <c r="K46" s="8"/>
      <c r="L46" s="8"/>
      <c r="M46" s="8"/>
      <c r="N46" s="8"/>
      <c r="O46" s="8"/>
      <c r="P46" s="8"/>
      <c r="Q46" s="120"/>
      <c r="R46" s="120"/>
      <c r="S46" s="120"/>
      <c r="T46" s="120"/>
      <c r="U46" s="120"/>
      <c r="V46" s="120"/>
      <c r="W46" s="120"/>
      <c r="X46" s="120"/>
    </row>
    <row r="47" spans="1:24" x14ac:dyDescent="0.25">
      <c r="A47" s="214" t="s">
        <v>399</v>
      </c>
      <c r="B47" s="215"/>
      <c r="C47" s="215"/>
      <c r="D47" s="215"/>
      <c r="E47" s="215"/>
      <c r="F47" s="215"/>
      <c r="G47" s="215"/>
      <c r="H47" s="218">
        <v>600</v>
      </c>
      <c r="I47" s="8"/>
      <c r="J47" s="8"/>
      <c r="K47" s="8"/>
      <c r="L47" s="8"/>
      <c r="M47" s="8"/>
      <c r="N47" s="8"/>
      <c r="O47" s="8"/>
      <c r="P47" s="8"/>
      <c r="Q47" s="120"/>
      <c r="R47" s="120"/>
      <c r="S47" s="120"/>
      <c r="T47" s="120"/>
      <c r="U47" s="120"/>
      <c r="V47" s="120"/>
      <c r="W47" s="120"/>
      <c r="X47" s="120"/>
    </row>
    <row r="48" spans="1:24" ht="15.75" thickBot="1" x14ac:dyDescent="0.3">
      <c r="A48" s="219"/>
      <c r="B48" s="220"/>
      <c r="C48" s="220"/>
      <c r="D48" s="220"/>
      <c r="E48" s="220"/>
      <c r="F48" s="220"/>
      <c r="G48" s="220"/>
      <c r="H48" s="221"/>
      <c r="I48" s="8"/>
      <c r="J48" s="8"/>
      <c r="K48" s="8"/>
      <c r="L48" s="8"/>
      <c r="M48" s="8"/>
      <c r="N48" s="8"/>
      <c r="O48" s="8"/>
      <c r="P48" s="8"/>
      <c r="Q48" s="120"/>
      <c r="R48" s="120"/>
      <c r="S48" s="120"/>
      <c r="T48" s="120"/>
      <c r="U48" s="120"/>
      <c r="V48" s="120"/>
      <c r="W48" s="120"/>
      <c r="X48" s="120"/>
    </row>
    <row r="49" spans="1:24" x14ac:dyDescent="0.25">
      <c r="A49" s="120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120"/>
      <c r="R49" s="120"/>
      <c r="S49" s="120"/>
      <c r="T49" s="120"/>
      <c r="U49" s="120"/>
      <c r="V49" s="120"/>
      <c r="W49" s="120"/>
      <c r="X49" s="120"/>
    </row>
    <row r="50" spans="1:24" x14ac:dyDescent="0.25">
      <c r="A50" s="120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120"/>
      <c r="R50" s="120"/>
      <c r="S50" s="120"/>
      <c r="T50" s="120"/>
      <c r="U50" s="120"/>
      <c r="V50" s="120"/>
      <c r="W50" s="120"/>
      <c r="X50" s="120"/>
    </row>
    <row r="51" spans="1:24" x14ac:dyDescent="0.25">
      <c r="A51" s="120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120"/>
      <c r="R51" s="120"/>
      <c r="S51" s="120"/>
      <c r="T51" s="120"/>
      <c r="U51" s="120"/>
      <c r="V51" s="120"/>
      <c r="W51" s="120"/>
      <c r="X51" s="120"/>
    </row>
    <row r="52" spans="1:24" x14ac:dyDescent="0.25">
      <c r="A52" s="120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120"/>
      <c r="R52" s="120"/>
      <c r="S52" s="120"/>
      <c r="T52" s="120"/>
      <c r="U52" s="120"/>
      <c r="V52" s="120"/>
      <c r="W52" s="120"/>
      <c r="X52" s="120"/>
    </row>
    <row r="53" spans="1:24" x14ac:dyDescent="0.25">
      <c r="A53" s="222"/>
      <c r="B53" s="223"/>
      <c r="C53" s="223"/>
      <c r="D53" s="223"/>
      <c r="E53" s="223"/>
      <c r="F53" s="223"/>
      <c r="G53" s="223"/>
      <c r="H53" s="223"/>
      <c r="I53" s="223"/>
      <c r="J53" s="223"/>
      <c r="K53" s="223"/>
      <c r="L53" s="223"/>
      <c r="M53" s="223"/>
      <c r="N53" s="223"/>
      <c r="O53" s="223"/>
      <c r="P53" s="223"/>
      <c r="Q53" s="222"/>
      <c r="R53" s="222"/>
      <c r="S53" s="222"/>
      <c r="T53" s="222"/>
      <c r="U53" s="222"/>
      <c r="V53" s="222"/>
      <c r="W53" s="222"/>
      <c r="X53" s="222"/>
    </row>
    <row r="54" spans="1:24" x14ac:dyDescent="0.25">
      <c r="A54" s="224"/>
      <c r="B54" s="225"/>
      <c r="C54" s="225"/>
      <c r="D54" s="225"/>
      <c r="E54" s="225"/>
      <c r="F54" s="225"/>
      <c r="G54" s="225"/>
      <c r="H54" s="225"/>
      <c r="I54" s="225"/>
      <c r="J54" s="225"/>
      <c r="K54" s="225"/>
      <c r="L54" s="225"/>
      <c r="M54" s="225"/>
      <c r="N54" s="225"/>
      <c r="O54" s="225"/>
      <c r="P54" s="225"/>
      <c r="Q54" s="225"/>
      <c r="R54" s="225"/>
      <c r="S54" s="225"/>
      <c r="T54" s="225"/>
      <c r="U54" s="225"/>
      <c r="V54" s="226"/>
      <c r="W54" s="225"/>
      <c r="X54" s="225"/>
    </row>
    <row r="55" spans="1:24" x14ac:dyDescent="0.25">
      <c r="A55" s="227"/>
      <c r="B55" s="228"/>
      <c r="C55" s="228"/>
      <c r="D55" s="228"/>
      <c r="E55" s="228"/>
      <c r="F55" s="228"/>
      <c r="G55" s="228"/>
      <c r="H55" s="228"/>
      <c r="I55" s="228"/>
      <c r="J55" s="228"/>
      <c r="K55" s="228"/>
      <c r="L55" s="228"/>
      <c r="M55" s="228"/>
      <c r="N55" s="228"/>
      <c r="O55" s="228"/>
      <c r="P55" s="228"/>
      <c r="Q55" s="228"/>
      <c r="R55" s="228"/>
      <c r="S55" s="228"/>
      <c r="T55" s="228"/>
      <c r="U55" s="228"/>
      <c r="V55" s="228"/>
      <c r="W55" s="228"/>
      <c r="X55" s="228"/>
    </row>
    <row r="56" spans="1:24" x14ac:dyDescent="0.25">
      <c r="A56" s="229"/>
      <c r="B56" s="230"/>
      <c r="C56" s="230"/>
      <c r="D56" s="230"/>
      <c r="E56" s="230"/>
      <c r="F56" s="230"/>
      <c r="G56" s="230"/>
      <c r="H56" s="230"/>
      <c r="I56" s="230"/>
      <c r="J56" s="230"/>
      <c r="K56" s="230"/>
      <c r="L56" s="230"/>
      <c r="M56" s="230"/>
      <c r="N56" s="230"/>
      <c r="O56" s="230"/>
      <c r="P56" s="230"/>
      <c r="Q56" s="229"/>
      <c r="R56" s="229"/>
      <c r="S56" s="229"/>
      <c r="T56" s="222"/>
      <c r="U56" s="222"/>
      <c r="V56" s="222"/>
      <c r="W56" s="222"/>
      <c r="X56" s="222"/>
    </row>
    <row r="57" spans="1:24" x14ac:dyDescent="0.25">
      <c r="A57" s="229"/>
      <c r="B57" s="230"/>
      <c r="C57" s="230"/>
      <c r="D57" s="230"/>
      <c r="E57" s="230"/>
      <c r="F57" s="230"/>
      <c r="G57" s="230"/>
      <c r="H57" s="230"/>
      <c r="I57" s="230"/>
      <c r="J57" s="230"/>
      <c r="K57" s="230"/>
      <c r="L57" s="230"/>
      <c r="M57" s="230"/>
      <c r="N57" s="230"/>
      <c r="O57" s="230"/>
      <c r="P57" s="230"/>
      <c r="Q57" s="229"/>
      <c r="R57" s="229"/>
      <c r="S57" s="229"/>
      <c r="T57" s="222"/>
      <c r="U57" s="120"/>
      <c r="V57" s="120"/>
      <c r="W57" s="120"/>
      <c r="X57" s="120"/>
    </row>
    <row r="58" spans="1:24" x14ac:dyDescent="0.25">
      <c r="A58" s="229"/>
      <c r="B58" s="230"/>
      <c r="C58" s="230"/>
      <c r="D58" s="230"/>
      <c r="E58" s="230"/>
      <c r="F58" s="230"/>
      <c r="G58" s="230"/>
      <c r="H58" s="230"/>
      <c r="I58" s="230"/>
      <c r="J58" s="230"/>
      <c r="K58" s="230"/>
      <c r="L58" s="230"/>
      <c r="M58" s="230"/>
      <c r="N58" s="230"/>
      <c r="O58" s="230"/>
      <c r="P58" s="230"/>
      <c r="Q58" s="229"/>
      <c r="R58" s="229"/>
      <c r="S58" s="229"/>
      <c r="T58" s="222"/>
      <c r="U58" s="120"/>
      <c r="V58" s="120"/>
      <c r="W58" s="120"/>
      <c r="X58" s="120"/>
    </row>
    <row r="59" spans="1:24" x14ac:dyDescent="0.25">
      <c r="A59" s="225"/>
      <c r="B59" s="225"/>
      <c r="C59" s="225"/>
      <c r="D59" s="225"/>
      <c r="E59" s="225"/>
      <c r="F59" s="225"/>
      <c r="G59" s="226"/>
      <c r="H59" s="225"/>
      <c r="I59" s="225"/>
      <c r="J59" s="225"/>
      <c r="K59" s="225"/>
      <c r="L59" s="225"/>
      <c r="M59" s="225"/>
      <c r="N59" s="225"/>
      <c r="O59" s="225"/>
      <c r="P59" s="225"/>
      <c r="Q59" s="225"/>
      <c r="R59" s="226"/>
      <c r="S59" s="225"/>
      <c r="T59" s="120"/>
      <c r="U59" s="120"/>
      <c r="V59" s="222"/>
      <c r="W59" s="120"/>
      <c r="X59" s="120"/>
    </row>
    <row r="60" spans="1:24" x14ac:dyDescent="0.25">
      <c r="A60" s="228"/>
      <c r="B60" s="228"/>
      <c r="C60" s="228"/>
      <c r="D60" s="228"/>
      <c r="E60" s="228"/>
      <c r="F60" s="228"/>
      <c r="G60" s="228"/>
      <c r="H60" s="228"/>
      <c r="I60" s="228"/>
      <c r="J60" s="228"/>
      <c r="K60" s="231"/>
      <c r="L60" s="231"/>
      <c r="M60" s="228"/>
      <c r="N60" s="228"/>
      <c r="O60" s="228"/>
      <c r="P60" s="228"/>
      <c r="Q60" s="228"/>
      <c r="R60" s="228"/>
      <c r="S60" s="228"/>
      <c r="T60" s="228"/>
      <c r="U60" s="228"/>
      <c r="V60" s="222"/>
      <c r="W60" s="120"/>
      <c r="X60" s="120"/>
    </row>
    <row r="61" spans="1:24" x14ac:dyDescent="0.25">
      <c r="A61" s="222"/>
      <c r="B61" s="223"/>
      <c r="C61" s="223"/>
      <c r="D61" s="223"/>
      <c r="E61" s="223"/>
      <c r="F61" s="223"/>
      <c r="G61" s="223"/>
      <c r="H61" s="223"/>
      <c r="I61" s="223"/>
      <c r="J61" s="223"/>
      <c r="K61" s="223"/>
      <c r="L61" s="223"/>
      <c r="M61" s="223"/>
      <c r="N61" s="223"/>
      <c r="O61" s="223"/>
      <c r="P61" s="223"/>
      <c r="Q61" s="222"/>
      <c r="R61" s="222"/>
      <c r="S61" s="222"/>
      <c r="T61" s="222"/>
      <c r="U61" s="120"/>
      <c r="V61" s="120"/>
      <c r="W61" s="120"/>
      <c r="X61" s="120"/>
    </row>
    <row r="62" spans="1:24" x14ac:dyDescent="0.25">
      <c r="A62" s="222"/>
      <c r="B62" s="223"/>
      <c r="C62" s="223"/>
      <c r="D62" s="223"/>
      <c r="E62" s="223"/>
      <c r="F62" s="223"/>
      <c r="G62" s="223"/>
      <c r="H62" s="223"/>
      <c r="I62" s="223"/>
      <c r="J62" s="223"/>
      <c r="K62" s="223"/>
      <c r="L62" s="223"/>
      <c r="M62" s="223"/>
      <c r="N62" s="223"/>
      <c r="O62" s="223"/>
      <c r="P62" s="223"/>
      <c r="Q62" s="222"/>
      <c r="R62" s="222"/>
      <c r="S62" s="222"/>
      <c r="T62" s="222"/>
      <c r="U62" s="120"/>
      <c r="V62" s="120"/>
      <c r="W62" s="120"/>
      <c r="X62" s="120"/>
    </row>
  </sheetData>
  <mergeCells count="19">
    <mergeCell ref="D8:E8"/>
    <mergeCell ref="L8:M8"/>
    <mergeCell ref="N8:O8"/>
    <mergeCell ref="B10:O10"/>
    <mergeCell ref="Q22:Q24"/>
    <mergeCell ref="D5:E5"/>
    <mergeCell ref="G5:H5"/>
    <mergeCell ref="N5:O5"/>
    <mergeCell ref="D6:E6"/>
    <mergeCell ref="N6:O6"/>
    <mergeCell ref="D7:G7"/>
    <mergeCell ref="N7:O7"/>
    <mergeCell ref="A1:M1"/>
    <mergeCell ref="N1:O1"/>
    <mergeCell ref="D3:E3"/>
    <mergeCell ref="G3:H3"/>
    <mergeCell ref="D4:E4"/>
    <mergeCell ref="G4:H4"/>
    <mergeCell ref="L4:O4"/>
  </mergeCells>
  <conditionalFormatting sqref="B12:O12">
    <cfRule type="cellIs" dxfId="1" priority="2" operator="equal">
      <formula>"X"</formula>
    </cfRule>
  </conditionalFormatting>
  <conditionalFormatting sqref="B13:O13">
    <cfRule type="cellIs" dxfId="0" priority="1" operator="greaterThan">
      <formula>B17</formula>
    </cfRule>
  </conditionalFormatting>
  <dataValidations count="1">
    <dataValidation type="list" allowBlank="1" showInputMessage="1" showErrorMessage="1" sqref="A31 A33">
      <formula1>$AA$2:$AA$11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'[PLANIF-PROD C-C.xlsx]Base'!#REF!</xm:f>
          </x14:formula1>
          <xm:sqref>B14:O14</xm:sqref>
        </x14:dataValidation>
        <x14:dataValidation type="list" allowBlank="1" showInputMessage="1" showErrorMessage="1">
          <x14:formula1>
            <xm:f>'[PLANIF-PROD C-C.xlsx]Base'!#REF!</xm:f>
          </x14:formula1>
          <xm:sqref>A29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pdsbrut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2024-10-22T07:00:06Z</dcterms:modified>
</cp:coreProperties>
</file>