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60" tabRatio="355" firstSheet="3" activeTab="4"/>
  </bookViews>
  <sheets>
    <sheet name="Général" sheetId="1" r:id="rId1"/>
    <sheet name="Données ED" sheetId="2" r:id="rId2"/>
    <sheet name="Analyses ED" sheetId="3" r:id="rId3"/>
    <sheet name="Données C-F" sheetId="4" r:id="rId4"/>
    <sheet name="Analyses C-F" sheetId="5" r:id="rId5"/>
  </sheets>
  <calcPr calcId="124519"/>
</workbook>
</file>

<file path=xl/calcChain.xml><?xml version="1.0" encoding="utf-8"?>
<calcChain xmlns="http://schemas.openxmlformats.org/spreadsheetml/2006/main">
  <c r="G12" i="2"/>
  <c r="A31" i="3"/>
  <c r="A18"/>
  <c r="A20" i="2"/>
  <c r="AA31"/>
  <c r="Z31"/>
  <c r="Y31"/>
  <c r="X31"/>
  <c r="W31"/>
  <c r="AB31"/>
  <c r="V31"/>
  <c r="U31"/>
  <c r="T31"/>
  <c r="S41"/>
  <c r="R41"/>
  <c r="Q41"/>
  <c r="P41"/>
  <c r="O41"/>
  <c r="N41"/>
  <c r="M41"/>
  <c r="L41"/>
  <c r="K41"/>
  <c r="S40"/>
  <c r="R40"/>
  <c r="Q40"/>
  <c r="P40"/>
  <c r="O40"/>
  <c r="N40"/>
  <c r="M40"/>
  <c r="L40"/>
  <c r="K40"/>
  <c r="T41"/>
  <c r="U41"/>
  <c r="V41"/>
  <c r="W41"/>
  <c r="X41"/>
  <c r="Y41"/>
  <c r="Z41"/>
  <c r="AA41"/>
  <c r="AB41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S29"/>
  <c r="R29"/>
  <c r="Q29"/>
  <c r="P29"/>
  <c r="O29"/>
  <c r="N29"/>
  <c r="M29"/>
  <c r="L29"/>
  <c r="K29"/>
  <c r="S27"/>
  <c r="R27"/>
  <c r="Q27"/>
  <c r="P27"/>
  <c r="O27"/>
  <c r="N27"/>
  <c r="M27"/>
  <c r="L27"/>
  <c r="K27"/>
  <c r="AB29"/>
  <c r="AA29"/>
  <c r="Z29"/>
  <c r="Y29"/>
  <c r="X29"/>
  <c r="W29"/>
  <c r="V29"/>
  <c r="U29"/>
  <c r="T29"/>
  <c r="AB16"/>
  <c r="AA16"/>
  <c r="Z16"/>
  <c r="Y16"/>
  <c r="X16"/>
  <c r="W16"/>
  <c r="V16"/>
  <c r="U16"/>
  <c r="T16"/>
  <c r="AB9"/>
  <c r="AA9"/>
  <c r="Z9"/>
  <c r="Y9"/>
  <c r="X9"/>
  <c r="W9"/>
  <c r="V9"/>
  <c r="U9"/>
  <c r="T9"/>
  <c r="S15"/>
  <c r="R15"/>
  <c r="Q15"/>
  <c r="P15"/>
  <c r="O15"/>
  <c r="N15"/>
  <c r="M15"/>
  <c r="L15"/>
  <c r="K15"/>
  <c r="J12"/>
  <c r="I12"/>
  <c r="H12"/>
  <c r="F12"/>
  <c r="E12"/>
  <c r="D12"/>
  <c r="C12"/>
  <c r="B12"/>
  <c r="J41"/>
  <c r="I41"/>
  <c r="H41"/>
  <c r="G41"/>
  <c r="F41"/>
  <c r="E41"/>
  <c r="D41"/>
  <c r="C41"/>
  <c r="J40"/>
  <c r="I40"/>
  <c r="H40"/>
  <c r="G40"/>
  <c r="F40"/>
  <c r="E40"/>
  <c r="D40"/>
  <c r="C40"/>
  <c r="B41"/>
  <c r="B40"/>
  <c r="M3" i="5"/>
  <c r="N3"/>
  <c r="O3"/>
  <c r="P3"/>
  <c r="Q3"/>
  <c r="B5"/>
  <c r="C5"/>
  <c r="D5"/>
  <c r="E5"/>
  <c r="F5"/>
  <c r="G5"/>
  <c r="H5"/>
  <c r="I5"/>
  <c r="J5"/>
  <c r="K5"/>
  <c r="B6"/>
  <c r="C6"/>
  <c r="D6"/>
  <c r="E6"/>
  <c r="F6"/>
  <c r="G6"/>
  <c r="H6"/>
  <c r="I6"/>
  <c r="J6"/>
  <c r="K6"/>
  <c r="B7"/>
  <c r="C7"/>
  <c r="D7"/>
  <c r="E7"/>
  <c r="F7"/>
  <c r="G7"/>
  <c r="H7"/>
  <c r="I7"/>
  <c r="J7"/>
  <c r="K7"/>
  <c r="B8"/>
  <c r="C8"/>
  <c r="D8"/>
  <c r="E8"/>
  <c r="F8"/>
  <c r="G8"/>
  <c r="H8"/>
  <c r="I8"/>
  <c r="J8"/>
  <c r="K8"/>
  <c r="B9"/>
  <c r="C9"/>
  <c r="D9"/>
  <c r="E9"/>
  <c r="F9"/>
  <c r="G9"/>
  <c r="H9"/>
  <c r="I9"/>
  <c r="J9"/>
  <c r="K9"/>
  <c r="B10"/>
  <c r="C10"/>
  <c r="D10"/>
  <c r="E10"/>
  <c r="F10"/>
  <c r="G10"/>
  <c r="H10"/>
  <c r="I10"/>
  <c r="J10"/>
  <c r="K10"/>
  <c r="B11"/>
  <c r="C11"/>
  <c r="D11"/>
  <c r="E11"/>
  <c r="F11"/>
  <c r="G11"/>
  <c r="H11"/>
  <c r="I11"/>
  <c r="J11"/>
  <c r="K11"/>
  <c r="B12"/>
  <c r="C12"/>
  <c r="D12"/>
  <c r="E12"/>
  <c r="F12"/>
  <c r="G12"/>
  <c r="H12"/>
  <c r="I12"/>
  <c r="J12"/>
  <c r="K12"/>
  <c r="B15"/>
  <c r="A18"/>
  <c r="B18"/>
  <c r="C18"/>
  <c r="D18"/>
  <c r="E18"/>
  <c r="F18"/>
  <c r="G18"/>
  <c r="H18"/>
  <c r="I18"/>
  <c r="J18"/>
  <c r="K18"/>
  <c r="A19"/>
  <c r="B19"/>
  <c r="C19"/>
  <c r="D19"/>
  <c r="E19"/>
  <c r="F19"/>
  <c r="G19"/>
  <c r="H19"/>
  <c r="I19"/>
  <c r="J19"/>
  <c r="K19"/>
  <c r="A20"/>
  <c r="B20"/>
  <c r="C20"/>
  <c r="D20"/>
  <c r="E20"/>
  <c r="F20"/>
  <c r="G20"/>
  <c r="H20"/>
  <c r="I20"/>
  <c r="J20"/>
  <c r="K20"/>
  <c r="B2" i="3"/>
  <c r="AM3"/>
  <c r="AM8"/>
  <c r="AM6"/>
  <c r="AM11"/>
  <c r="AM14"/>
  <c r="AM7"/>
  <c r="AM12"/>
  <c r="AM15"/>
  <c r="AM16"/>
  <c r="A6"/>
  <c r="A7"/>
  <c r="A8"/>
  <c r="A9"/>
  <c r="A10"/>
  <c r="A11"/>
  <c r="A12"/>
  <c r="A13"/>
  <c r="A14"/>
  <c r="A15"/>
  <c r="A16"/>
  <c r="A17"/>
  <c r="A19"/>
  <c r="A20"/>
  <c r="A21"/>
  <c r="A22"/>
  <c r="A23"/>
  <c r="A24"/>
  <c r="A25"/>
  <c r="A26"/>
  <c r="A27"/>
  <c r="A28"/>
  <c r="A29"/>
  <c r="A30"/>
  <c r="A7" i="2"/>
  <c r="A8"/>
  <c r="A9"/>
  <c r="A10"/>
  <c r="A11"/>
  <c r="A12"/>
  <c r="A13"/>
  <c r="A14"/>
  <c r="A15"/>
  <c r="A16"/>
  <c r="A17"/>
  <c r="A18"/>
  <c r="A19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Q30" i="3"/>
  <c r="J30"/>
  <c r="AB7"/>
  <c r="AB8"/>
  <c r="AB9"/>
  <c r="AB10"/>
  <c r="AB11"/>
  <c r="AB12"/>
  <c r="AB13"/>
  <c r="AB14"/>
  <c r="AB15"/>
  <c r="AB16"/>
  <c r="AB17"/>
  <c r="AB19"/>
  <c r="AB20"/>
  <c r="AB21"/>
  <c r="AB22"/>
  <c r="AB23"/>
  <c r="AB24"/>
  <c r="AB25"/>
  <c r="AB26"/>
  <c r="AB27"/>
  <c r="AB28"/>
  <c r="AB29"/>
  <c r="AB30"/>
  <c r="AB6"/>
  <c r="AB18" s="1" a="1"/>
  <c r="AB18" s="1"/>
  <c r="AA7"/>
  <c r="AA8"/>
  <c r="AA9"/>
  <c r="AA10"/>
  <c r="AA11"/>
  <c r="AA12"/>
  <c r="AA13"/>
  <c r="AA14"/>
  <c r="AA15"/>
  <c r="AA16"/>
  <c r="AA17"/>
  <c r="AA19"/>
  <c r="AA20"/>
  <c r="AA21"/>
  <c r="AA22"/>
  <c r="AA23"/>
  <c r="AA24"/>
  <c r="AA25"/>
  <c r="AA26"/>
  <c r="AA27"/>
  <c r="AA28"/>
  <c r="AA29"/>
  <c r="AA30"/>
  <c r="AA6"/>
  <c r="AA18" s="1" a="1"/>
  <c r="AA18" s="1"/>
  <c r="Z7"/>
  <c r="Z8"/>
  <c r="Z9"/>
  <c r="Z10"/>
  <c r="Z11"/>
  <c r="Z12"/>
  <c r="Z13"/>
  <c r="Z14"/>
  <c r="Z15"/>
  <c r="Z16"/>
  <c r="Z17"/>
  <c r="Z19"/>
  <c r="Z20"/>
  <c r="Z21"/>
  <c r="Z22"/>
  <c r="Z23"/>
  <c r="Z24"/>
  <c r="Z25"/>
  <c r="Z26"/>
  <c r="Z27"/>
  <c r="Z28"/>
  <c r="Z29"/>
  <c r="Z30"/>
  <c r="Z6"/>
  <c r="Z18" s="1" a="1"/>
  <c r="Z18" s="1"/>
  <c r="Y7"/>
  <c r="Y8"/>
  <c r="Y9"/>
  <c r="Y10"/>
  <c r="Y11"/>
  <c r="Y12"/>
  <c r="Y13"/>
  <c r="Y14"/>
  <c r="Y15"/>
  <c r="Y16"/>
  <c r="Y17"/>
  <c r="Y19"/>
  <c r="Y20"/>
  <c r="Y21"/>
  <c r="Y22"/>
  <c r="Y23"/>
  <c r="Y24"/>
  <c r="Y25"/>
  <c r="Y26"/>
  <c r="Y27"/>
  <c r="Y28"/>
  <c r="Y29"/>
  <c r="Y30"/>
  <c r="Y6"/>
  <c r="Y18" s="1" a="1"/>
  <c r="Y18" s="1"/>
  <c r="X7"/>
  <c r="X8"/>
  <c r="X9"/>
  <c r="X10"/>
  <c r="X11"/>
  <c r="X12"/>
  <c r="X13"/>
  <c r="X14"/>
  <c r="X15"/>
  <c r="X16"/>
  <c r="X17"/>
  <c r="X19"/>
  <c r="X20"/>
  <c r="X21"/>
  <c r="X22"/>
  <c r="X23"/>
  <c r="X24"/>
  <c r="X25"/>
  <c r="X26"/>
  <c r="X27"/>
  <c r="X28"/>
  <c r="X29"/>
  <c r="X30"/>
  <c r="X6"/>
  <c r="X18" s="1" a="1"/>
  <c r="X18" s="1"/>
  <c r="W7"/>
  <c r="W8"/>
  <c r="W9"/>
  <c r="W10"/>
  <c r="W11"/>
  <c r="W12"/>
  <c r="W13"/>
  <c r="W14"/>
  <c r="W15"/>
  <c r="W16"/>
  <c r="W17"/>
  <c r="W19"/>
  <c r="W20"/>
  <c r="W21"/>
  <c r="W22"/>
  <c r="W23"/>
  <c r="W24"/>
  <c r="W25"/>
  <c r="W26"/>
  <c r="W27"/>
  <c r="W28"/>
  <c r="W29"/>
  <c r="W30"/>
  <c r="W6"/>
  <c r="W18" s="1" a="1"/>
  <c r="W18" s="1"/>
  <c r="V7"/>
  <c r="V8"/>
  <c r="V9"/>
  <c r="V10"/>
  <c r="V11"/>
  <c r="V12"/>
  <c r="V13"/>
  <c r="V14"/>
  <c r="V15"/>
  <c r="V16"/>
  <c r="V17"/>
  <c r="V19"/>
  <c r="V20"/>
  <c r="V21"/>
  <c r="V22"/>
  <c r="V23"/>
  <c r="V24"/>
  <c r="V25"/>
  <c r="V26"/>
  <c r="V27"/>
  <c r="V28"/>
  <c r="V29"/>
  <c r="V30"/>
  <c r="V6"/>
  <c r="V18" s="1" a="1"/>
  <c r="V18" s="1"/>
  <c r="U7"/>
  <c r="U8"/>
  <c r="U9"/>
  <c r="U10"/>
  <c r="U11"/>
  <c r="U12"/>
  <c r="U13"/>
  <c r="U14"/>
  <c r="U15"/>
  <c r="U16"/>
  <c r="U17"/>
  <c r="U19"/>
  <c r="U20"/>
  <c r="U21"/>
  <c r="U22"/>
  <c r="U23"/>
  <c r="U24"/>
  <c r="U25"/>
  <c r="U26"/>
  <c r="U27"/>
  <c r="U28"/>
  <c r="U29"/>
  <c r="U30"/>
  <c r="U6"/>
  <c r="U18" s="1" a="1"/>
  <c r="U18" s="1"/>
  <c r="T7"/>
  <c r="T8"/>
  <c r="T9"/>
  <c r="T10"/>
  <c r="T11"/>
  <c r="T12"/>
  <c r="T13"/>
  <c r="T14"/>
  <c r="T15"/>
  <c r="T16"/>
  <c r="T17"/>
  <c r="T19"/>
  <c r="T20"/>
  <c r="T21"/>
  <c r="T22"/>
  <c r="T23"/>
  <c r="T24"/>
  <c r="T25"/>
  <c r="T26"/>
  <c r="T27"/>
  <c r="T28"/>
  <c r="T29"/>
  <c r="T30"/>
  <c r="T6"/>
  <c r="T18" s="1" a="1"/>
  <c r="T18" s="1"/>
  <c r="S7"/>
  <c r="S8"/>
  <c r="S9"/>
  <c r="S10"/>
  <c r="S11"/>
  <c r="S12"/>
  <c r="S13"/>
  <c r="S14"/>
  <c r="S15"/>
  <c r="S16"/>
  <c r="S17"/>
  <c r="S19"/>
  <c r="S20"/>
  <c r="S21"/>
  <c r="S22"/>
  <c r="S23"/>
  <c r="S24"/>
  <c r="S25"/>
  <c r="S26"/>
  <c r="S27"/>
  <c r="S28"/>
  <c r="S29"/>
  <c r="S30"/>
  <c r="AK30"/>
  <c r="S6"/>
  <c r="S18" s="1" a="1"/>
  <c r="S18" s="1"/>
  <c r="R7"/>
  <c r="R8"/>
  <c r="R9"/>
  <c r="R10"/>
  <c r="R11"/>
  <c r="R12"/>
  <c r="R13"/>
  <c r="R14"/>
  <c r="R15"/>
  <c r="R16"/>
  <c r="R17"/>
  <c r="R19"/>
  <c r="R20"/>
  <c r="R21"/>
  <c r="R22"/>
  <c r="R23"/>
  <c r="K6"/>
  <c r="K30"/>
  <c r="K29"/>
  <c r="K28"/>
  <c r="K27"/>
  <c r="K26"/>
  <c r="K25"/>
  <c r="K24"/>
  <c r="K23"/>
  <c r="K22"/>
  <c r="K21"/>
  <c r="K20"/>
  <c r="K19"/>
  <c r="K31" s="1" a="1"/>
  <c r="K31" s="1"/>
  <c r="K17"/>
  <c r="K16"/>
  <c r="K15"/>
  <c r="K14"/>
  <c r="K13"/>
  <c r="K12"/>
  <c r="K11"/>
  <c r="K10"/>
  <c r="K9"/>
  <c r="K8"/>
  <c r="K7"/>
  <c r="L6"/>
  <c r="L30"/>
  <c r="L29"/>
  <c r="L28"/>
  <c r="L27"/>
  <c r="L26"/>
  <c r="L25"/>
  <c r="L24"/>
  <c r="L23"/>
  <c r="L22"/>
  <c r="L21"/>
  <c r="L20"/>
  <c r="L19"/>
  <c r="L31" s="1" a="1"/>
  <c r="L31" s="1"/>
  <c r="L17"/>
  <c r="L16"/>
  <c r="L15"/>
  <c r="L14"/>
  <c r="L13"/>
  <c r="L12"/>
  <c r="L11"/>
  <c r="L10"/>
  <c r="L9"/>
  <c r="L8"/>
  <c r="L7"/>
  <c r="M6"/>
  <c r="M30"/>
  <c r="M29"/>
  <c r="M28"/>
  <c r="M27"/>
  <c r="M26"/>
  <c r="M25"/>
  <c r="M24"/>
  <c r="M23"/>
  <c r="M22"/>
  <c r="M21"/>
  <c r="M20"/>
  <c r="M19"/>
  <c r="M31" s="1" a="1"/>
  <c r="M31" s="1"/>
  <c r="M17"/>
  <c r="M16"/>
  <c r="M15"/>
  <c r="M14"/>
  <c r="M13"/>
  <c r="M12"/>
  <c r="M11"/>
  <c r="M10"/>
  <c r="M9"/>
  <c r="M8"/>
  <c r="M7"/>
  <c r="N6"/>
  <c r="N30"/>
  <c r="N29"/>
  <c r="N28"/>
  <c r="N27"/>
  <c r="N26"/>
  <c r="N25"/>
  <c r="N24"/>
  <c r="N23"/>
  <c r="N22"/>
  <c r="N21"/>
  <c r="N20"/>
  <c r="N19"/>
  <c r="N31" s="1" a="1"/>
  <c r="N31" s="1"/>
  <c r="N17"/>
  <c r="N16"/>
  <c r="N15"/>
  <c r="N14"/>
  <c r="N13"/>
  <c r="N12"/>
  <c r="N11"/>
  <c r="N10"/>
  <c r="N9"/>
  <c r="N8"/>
  <c r="N7"/>
  <c r="O6"/>
  <c r="O30"/>
  <c r="O29"/>
  <c r="O28"/>
  <c r="O27"/>
  <c r="O26"/>
  <c r="O25"/>
  <c r="O24"/>
  <c r="O23"/>
  <c r="O22"/>
  <c r="O21"/>
  <c r="O20"/>
  <c r="O19"/>
  <c r="O31" s="1" a="1"/>
  <c r="O31" s="1"/>
  <c r="O17"/>
  <c r="O16"/>
  <c r="O15"/>
  <c r="O14"/>
  <c r="O13"/>
  <c r="O12"/>
  <c r="O11"/>
  <c r="O10"/>
  <c r="O9"/>
  <c r="O8"/>
  <c r="O7"/>
  <c r="P6"/>
  <c r="P30"/>
  <c r="P29"/>
  <c r="P28"/>
  <c r="P27"/>
  <c r="P26"/>
  <c r="P25"/>
  <c r="P24"/>
  <c r="P23"/>
  <c r="P22"/>
  <c r="P21"/>
  <c r="P20"/>
  <c r="P19"/>
  <c r="P31" s="1" a="1"/>
  <c r="P31" s="1"/>
  <c r="P17"/>
  <c r="P16"/>
  <c r="P15"/>
  <c r="P14"/>
  <c r="P13"/>
  <c r="P12"/>
  <c r="P11"/>
  <c r="P10"/>
  <c r="P9"/>
  <c r="P8"/>
  <c r="P7"/>
  <c r="Q6"/>
  <c r="Q29"/>
  <c r="Q28"/>
  <c r="Q27"/>
  <c r="Q26"/>
  <c r="Q25"/>
  <c r="Q24"/>
  <c r="Q23"/>
  <c r="Q22"/>
  <c r="Q21"/>
  <c r="Q20"/>
  <c r="Q19"/>
  <c r="Q31" s="1" a="1"/>
  <c r="Q31" s="1"/>
  <c r="Q17"/>
  <c r="Q16"/>
  <c r="Q15"/>
  <c r="Q14"/>
  <c r="Q13"/>
  <c r="Q12"/>
  <c r="Q11"/>
  <c r="Q10"/>
  <c r="Q9"/>
  <c r="Q8"/>
  <c r="Q7"/>
  <c r="R6"/>
  <c r="R18" s="1" a="1"/>
  <c r="R18" s="1"/>
  <c r="R30"/>
  <c r="R29"/>
  <c r="R28"/>
  <c r="R27"/>
  <c r="R26"/>
  <c r="R25"/>
  <c r="R24"/>
  <c r="J7"/>
  <c r="AK7"/>
  <c r="B29"/>
  <c r="B28"/>
  <c r="B27"/>
  <c r="B26"/>
  <c r="B25"/>
  <c r="B24"/>
  <c r="B23"/>
  <c r="B22"/>
  <c r="B21"/>
  <c r="B20"/>
  <c r="B19"/>
  <c r="B17"/>
  <c r="B16"/>
  <c r="B15"/>
  <c r="B14"/>
  <c r="B13"/>
  <c r="B12"/>
  <c r="B11"/>
  <c r="B10"/>
  <c r="B9"/>
  <c r="B8"/>
  <c r="B7"/>
  <c r="C6"/>
  <c r="C30"/>
  <c r="AD30"/>
  <c r="C29"/>
  <c r="AD29"/>
  <c r="C28"/>
  <c r="AD28"/>
  <c r="C27"/>
  <c r="AD27"/>
  <c r="C26"/>
  <c r="AD26"/>
  <c r="C25"/>
  <c r="AD25"/>
  <c r="C24"/>
  <c r="AD24"/>
  <c r="C23"/>
  <c r="AD23"/>
  <c r="C22"/>
  <c r="AD22"/>
  <c r="C21"/>
  <c r="AD21"/>
  <c r="C20"/>
  <c r="AD20"/>
  <c r="C19"/>
  <c r="C31" s="1" a="1"/>
  <c r="C31" s="1"/>
  <c r="C17"/>
  <c r="AD17"/>
  <c r="C16"/>
  <c r="AD16"/>
  <c r="C15"/>
  <c r="AD15"/>
  <c r="C14"/>
  <c r="AD14"/>
  <c r="C13"/>
  <c r="AD13"/>
  <c r="C12"/>
  <c r="AD12"/>
  <c r="C11"/>
  <c r="AD11"/>
  <c r="C10"/>
  <c r="AD10"/>
  <c r="C9"/>
  <c r="AD9"/>
  <c r="C8"/>
  <c r="AD8"/>
  <c r="C7"/>
  <c r="AD7"/>
  <c r="D6"/>
  <c r="D30"/>
  <c r="AE30"/>
  <c r="D29"/>
  <c r="AE29"/>
  <c r="D28"/>
  <c r="AE28"/>
  <c r="D27"/>
  <c r="AE27"/>
  <c r="D26"/>
  <c r="AE26"/>
  <c r="D25"/>
  <c r="AE25"/>
  <c r="D24"/>
  <c r="AE24"/>
  <c r="D23"/>
  <c r="AE23"/>
  <c r="D22"/>
  <c r="AE22"/>
  <c r="D21"/>
  <c r="AE21"/>
  <c r="D20"/>
  <c r="AE20"/>
  <c r="D19"/>
  <c r="D31" s="1" a="1"/>
  <c r="D31" s="1"/>
  <c r="D17"/>
  <c r="AE17"/>
  <c r="D16"/>
  <c r="AE16"/>
  <c r="D15"/>
  <c r="AE15"/>
  <c r="D14"/>
  <c r="AE14"/>
  <c r="D13"/>
  <c r="AE13"/>
  <c r="D12"/>
  <c r="AE12"/>
  <c r="D11"/>
  <c r="AE11"/>
  <c r="D10"/>
  <c r="AE10"/>
  <c r="D9"/>
  <c r="AE9"/>
  <c r="D8"/>
  <c r="AE8"/>
  <c r="D7"/>
  <c r="AE7"/>
  <c r="E6"/>
  <c r="E30"/>
  <c r="AF30"/>
  <c r="E29"/>
  <c r="AF29"/>
  <c r="E28"/>
  <c r="AF28"/>
  <c r="E27"/>
  <c r="AF27"/>
  <c r="E26"/>
  <c r="AF26"/>
  <c r="E25"/>
  <c r="AF25"/>
  <c r="E24"/>
  <c r="AF24"/>
  <c r="E23"/>
  <c r="AF23"/>
  <c r="E22"/>
  <c r="AF22"/>
  <c r="E21"/>
  <c r="AF21"/>
  <c r="E20"/>
  <c r="AF20"/>
  <c r="E19"/>
  <c r="E31" s="1" a="1"/>
  <c r="E31" s="1"/>
  <c r="E17"/>
  <c r="AF17"/>
  <c r="E16"/>
  <c r="AF16"/>
  <c r="E15"/>
  <c r="AF15"/>
  <c r="E14"/>
  <c r="AF14"/>
  <c r="E13"/>
  <c r="AF13"/>
  <c r="E12"/>
  <c r="AF12"/>
  <c r="E11"/>
  <c r="AF11"/>
  <c r="E10"/>
  <c r="AF10"/>
  <c r="E9"/>
  <c r="AF9"/>
  <c r="E8"/>
  <c r="AF8"/>
  <c r="E7"/>
  <c r="AF7"/>
  <c r="F6"/>
  <c r="F30"/>
  <c r="AG30"/>
  <c r="F29"/>
  <c r="AG29"/>
  <c r="F28"/>
  <c r="AG28"/>
  <c r="F27"/>
  <c r="AG27"/>
  <c r="F26"/>
  <c r="AG26"/>
  <c r="F25"/>
  <c r="AG25"/>
  <c r="F24"/>
  <c r="AG24"/>
  <c r="F23"/>
  <c r="AG23"/>
  <c r="F22"/>
  <c r="AG22"/>
  <c r="F21"/>
  <c r="AG21"/>
  <c r="F20"/>
  <c r="AG20"/>
  <c r="F19"/>
  <c r="F31" s="1" a="1"/>
  <c r="F31" s="1"/>
  <c r="F17"/>
  <c r="AG17"/>
  <c r="F16"/>
  <c r="AG16"/>
  <c r="F15"/>
  <c r="AG15"/>
  <c r="F14"/>
  <c r="AG14"/>
  <c r="F13"/>
  <c r="AG13"/>
  <c r="F12"/>
  <c r="AG12"/>
  <c r="F11"/>
  <c r="AG11"/>
  <c r="F10"/>
  <c r="AG10"/>
  <c r="F9"/>
  <c r="AG9"/>
  <c r="F8"/>
  <c r="AG8"/>
  <c r="F7"/>
  <c r="AG7"/>
  <c r="G6"/>
  <c r="G30"/>
  <c r="AH30"/>
  <c r="G29"/>
  <c r="AH29"/>
  <c r="G28"/>
  <c r="AH28"/>
  <c r="G27"/>
  <c r="AH27"/>
  <c r="G26"/>
  <c r="AH26"/>
  <c r="G25"/>
  <c r="AH25"/>
  <c r="G24"/>
  <c r="AH24"/>
  <c r="G23"/>
  <c r="AH23"/>
  <c r="G22"/>
  <c r="AH22"/>
  <c r="G21"/>
  <c r="AH21"/>
  <c r="G20"/>
  <c r="AH20"/>
  <c r="G19"/>
  <c r="G31" s="1" a="1"/>
  <c r="G31" s="1"/>
  <c r="G17"/>
  <c r="AH17"/>
  <c r="G16"/>
  <c r="AH16"/>
  <c r="G15"/>
  <c r="AH15"/>
  <c r="G14"/>
  <c r="AH14"/>
  <c r="G13"/>
  <c r="AH13"/>
  <c r="G12"/>
  <c r="AH12"/>
  <c r="G11"/>
  <c r="AH11"/>
  <c r="G10"/>
  <c r="AH10"/>
  <c r="G9"/>
  <c r="AH9"/>
  <c r="G8"/>
  <c r="AH8"/>
  <c r="G7"/>
  <c r="AH7"/>
  <c r="H6"/>
  <c r="H30"/>
  <c r="AI30"/>
  <c r="H29"/>
  <c r="AI29"/>
  <c r="H28"/>
  <c r="AI28"/>
  <c r="H27"/>
  <c r="AI27"/>
  <c r="H26"/>
  <c r="AI26"/>
  <c r="H25"/>
  <c r="AI25"/>
  <c r="H24"/>
  <c r="AI24"/>
  <c r="H23"/>
  <c r="AI23"/>
  <c r="H22"/>
  <c r="AI22"/>
  <c r="H21"/>
  <c r="AI21"/>
  <c r="H20"/>
  <c r="AI20"/>
  <c r="H19"/>
  <c r="H31" s="1" a="1"/>
  <c r="H31" s="1"/>
  <c r="H17"/>
  <c r="AI17"/>
  <c r="H16"/>
  <c r="AI16"/>
  <c r="H15"/>
  <c r="AI15"/>
  <c r="H14"/>
  <c r="AI14"/>
  <c r="H13"/>
  <c r="AI13"/>
  <c r="H12"/>
  <c r="AI12"/>
  <c r="H11"/>
  <c r="AI11"/>
  <c r="H10"/>
  <c r="AI10"/>
  <c r="H9"/>
  <c r="AI9"/>
  <c r="H8"/>
  <c r="AI8"/>
  <c r="H7"/>
  <c r="AI7"/>
  <c r="I6"/>
  <c r="I30"/>
  <c r="AJ30"/>
  <c r="I29"/>
  <c r="AJ29"/>
  <c r="I28"/>
  <c r="AJ28"/>
  <c r="I27"/>
  <c r="AJ27"/>
  <c r="I26"/>
  <c r="AJ26"/>
  <c r="I25"/>
  <c r="AJ25"/>
  <c r="I24"/>
  <c r="AJ24"/>
  <c r="I23"/>
  <c r="AJ23"/>
  <c r="I22"/>
  <c r="AJ22"/>
  <c r="I21"/>
  <c r="AJ21"/>
  <c r="I20"/>
  <c r="AJ20"/>
  <c r="I19"/>
  <c r="I31" s="1" a="1"/>
  <c r="I31" s="1"/>
  <c r="I17"/>
  <c r="AJ17"/>
  <c r="I16"/>
  <c r="AJ16"/>
  <c r="I15"/>
  <c r="AJ15"/>
  <c r="I14"/>
  <c r="AJ14"/>
  <c r="I13"/>
  <c r="AJ13"/>
  <c r="I12"/>
  <c r="AJ12"/>
  <c r="I11"/>
  <c r="AJ11"/>
  <c r="I10"/>
  <c r="AJ10"/>
  <c r="I9"/>
  <c r="AJ9"/>
  <c r="I8"/>
  <c r="AJ8"/>
  <c r="I7"/>
  <c r="AJ7"/>
  <c r="J6"/>
  <c r="J29"/>
  <c r="AK29"/>
  <c r="J28"/>
  <c r="AK28"/>
  <c r="J27"/>
  <c r="AK27"/>
  <c r="J26"/>
  <c r="AK26"/>
  <c r="J25"/>
  <c r="AK25"/>
  <c r="J24"/>
  <c r="AK24"/>
  <c r="J23"/>
  <c r="AK23"/>
  <c r="J22"/>
  <c r="AK22"/>
  <c r="J21"/>
  <c r="AK21"/>
  <c r="J20"/>
  <c r="AK20"/>
  <c r="J19"/>
  <c r="J31" s="1" a="1"/>
  <c r="J31" s="1"/>
  <c r="J17"/>
  <c r="AK17"/>
  <c r="J16"/>
  <c r="AK16"/>
  <c r="J15"/>
  <c r="AK15"/>
  <c r="J14"/>
  <c r="AK14"/>
  <c r="J13"/>
  <c r="AK13"/>
  <c r="J12"/>
  <c r="AK12"/>
  <c r="J11"/>
  <c r="AK11"/>
  <c r="J10"/>
  <c r="AK10"/>
  <c r="J9"/>
  <c r="AK9"/>
  <c r="J8"/>
  <c r="AK8"/>
  <c r="B6"/>
  <c r="B18" s="1" a="1"/>
  <c r="B18" s="1"/>
  <c r="B30"/>
  <c r="AF6"/>
  <c r="AF18" s="1" a="1"/>
  <c r="AF18" s="1"/>
  <c r="AC6"/>
  <c r="AC30"/>
  <c r="AC29"/>
  <c r="AC28"/>
  <c r="AC27"/>
  <c r="AC26"/>
  <c r="AC25"/>
  <c r="AC24"/>
  <c r="AC23"/>
  <c r="AC22"/>
  <c r="AC21"/>
  <c r="AC20"/>
  <c r="AC19"/>
  <c r="AC31" s="1" a="1"/>
  <c r="AC31" s="1"/>
  <c r="AC17"/>
  <c r="AC16"/>
  <c r="AC15"/>
  <c r="AC14"/>
  <c r="AC13"/>
  <c r="AC12"/>
  <c r="AC11"/>
  <c r="AC10"/>
  <c r="AC9"/>
  <c r="AC8"/>
  <c r="AC7"/>
  <c r="AD6"/>
  <c r="AD18" s="1" a="1"/>
  <c r="AD18" s="1"/>
  <c r="AE6"/>
  <c r="AE18" s="1" a="1"/>
  <c r="AE18" s="1"/>
  <c r="AK19"/>
  <c r="AK31" s="1" a="1"/>
  <c r="AK31" s="1"/>
  <c r="AK6"/>
  <c r="AK18" s="1" a="1"/>
  <c r="AK18" s="1"/>
  <c r="AJ19"/>
  <c r="AJ31" s="1" a="1"/>
  <c r="AJ31" s="1"/>
  <c r="AJ6"/>
  <c r="AJ18" s="1" a="1"/>
  <c r="AJ18" s="1"/>
  <c r="AI19"/>
  <c r="AI31" s="1" a="1"/>
  <c r="AI31" s="1"/>
  <c r="AI6"/>
  <c r="AI18" s="1" a="1"/>
  <c r="AI18" s="1"/>
  <c r="AH19"/>
  <c r="AH31" s="1" a="1"/>
  <c r="AH31" s="1"/>
  <c r="AH6"/>
  <c r="AH18" s="1" a="1"/>
  <c r="AH18" s="1"/>
  <c r="AG19"/>
  <c r="AG31" s="1" a="1"/>
  <c r="AG31" s="1"/>
  <c r="AG6"/>
  <c r="AG18" s="1" a="1"/>
  <c r="AG18" s="1"/>
  <c r="AF19"/>
  <c r="AF31" s="1" a="1"/>
  <c r="AF31" s="1"/>
  <c r="AE19"/>
  <c r="AE31" s="1" a="1"/>
  <c r="AE31" s="1"/>
  <c r="AD19"/>
  <c r="AD31" s="1" a="1"/>
  <c r="AD31" s="1"/>
  <c r="AC18" l="1" a="1"/>
  <c r="AC18" s="1"/>
  <c r="J18" a="1"/>
  <c r="J18" s="1"/>
  <c r="I18" a="1"/>
  <c r="I18" s="1"/>
  <c r="H18" a="1"/>
  <c r="H18" s="1"/>
  <c r="G18" a="1"/>
  <c r="G18" s="1"/>
  <c r="F18" a="1"/>
  <c r="F18" s="1"/>
  <c r="E18" a="1"/>
  <c r="E18" s="1"/>
  <c r="D18" a="1"/>
  <c r="D18" s="1"/>
  <c r="C18" a="1"/>
  <c r="C18" s="1"/>
  <c r="B31" a="1"/>
  <c r="B31" s="1"/>
  <c r="Q18" a="1"/>
  <c r="Q18" s="1"/>
  <c r="P18" a="1"/>
  <c r="P18" s="1"/>
  <c r="O18" a="1"/>
  <c r="O18" s="1"/>
  <c r="N18" a="1"/>
  <c r="N18" s="1"/>
  <c r="M18" a="1"/>
  <c r="M18" s="1"/>
  <c r="L18" a="1"/>
  <c r="L18" s="1"/>
  <c r="K18" a="1"/>
  <c r="K18" s="1"/>
  <c r="R31" a="1"/>
  <c r="R31" s="1"/>
  <c r="S31" a="1"/>
  <c r="S31" s="1"/>
  <c r="T31" a="1"/>
  <c r="T31" s="1"/>
  <c r="U31" a="1"/>
  <c r="U31" s="1"/>
  <c r="V31" a="1"/>
  <c r="V31" s="1"/>
  <c r="W31" a="1"/>
  <c r="W31" s="1"/>
  <c r="X31" a="1"/>
  <c r="X31" s="1"/>
  <c r="Y31" a="1"/>
  <c r="Y31" s="1"/>
  <c r="Z31" a="1"/>
  <c r="Z31" s="1"/>
  <c r="AA31" a="1"/>
  <c r="AA31" s="1"/>
  <c r="AB31" a="1"/>
  <c r="AB31" s="1"/>
</calcChain>
</file>

<file path=xl/sharedStrings.xml><?xml version="1.0" encoding="utf-8"?>
<sst xmlns="http://schemas.openxmlformats.org/spreadsheetml/2006/main" count="307" uniqueCount="61">
  <si>
    <t>mot de passe :</t>
  </si>
  <si>
    <t>azerty</t>
  </si>
  <si>
    <t>Il est mis en place pour éviter tout problème</t>
  </si>
  <si>
    <t>de fausse manipulation,</t>
  </si>
  <si>
    <t xml:space="preserve">il permet de modifier les formules </t>
  </si>
  <si>
    <t>et la mise en page.</t>
  </si>
  <si>
    <t>Pour déverrouiller une feuille:</t>
  </si>
  <si>
    <t>Les onglets " Données xx " contiennent les tableaux de valeures à saisir.</t>
  </si>
  <si>
    <t>Les onglets " Analyses xx " contiennent les exploitations des valeurs</t>
  </si>
  <si>
    <t>ED: Eau Distribuée</t>
  </si>
  <si>
    <t>C-F: Captages – Forages</t>
  </si>
  <si>
    <t>Données à compléter</t>
  </si>
  <si>
    <t>Les Pieux</t>
  </si>
  <si>
    <t>Grosville</t>
  </si>
  <si>
    <t>Teurthéville</t>
  </si>
  <si>
    <t>TAC</t>
  </si>
  <si>
    <t>TH</t>
  </si>
  <si>
    <t>pH</t>
  </si>
  <si>
    <t>Turbidité</t>
  </si>
  <si>
    <t>Nitrates</t>
  </si>
  <si>
    <t>Conductivité</t>
  </si>
  <si>
    <t>C org</t>
  </si>
  <si>
    <t>B 22°C/68h</t>
  </si>
  <si>
    <t>B 36°C/44h</t>
  </si>
  <si>
    <t>(°F)</t>
  </si>
  <si>
    <t>(NFU)</t>
  </si>
  <si>
    <t>(mg/L)</t>
  </si>
  <si>
    <t xml:space="preserve"> (?S/cm)</t>
  </si>
  <si>
    <t>(mgC/L)</t>
  </si>
  <si>
    <t>(n/mL)</t>
  </si>
  <si>
    <t>x</t>
  </si>
  <si>
    <t>Séléctionner une année:</t>
  </si>
  <si>
    <t>GLOBAL</t>
  </si>
  <si>
    <t>Les pieux année précédente</t>
  </si>
  <si>
    <t>Grosville année précédente</t>
  </si>
  <si>
    <t>Teurthéville année précédente</t>
  </si>
  <si>
    <t>Haut [C]</t>
  </si>
  <si>
    <t>Les Friquets [F]</t>
  </si>
  <si>
    <t>Rue Brulée [F]</t>
  </si>
  <si>
    <t>La Malaiserie [F]</t>
  </si>
  <si>
    <t>La Motterie [F]</t>
  </si>
  <si>
    <t>La Durelle [C]</t>
  </si>
  <si>
    <t>La Dielette [C]</t>
  </si>
  <si>
    <t>Belle Fontaine [C]</t>
  </si>
  <si>
    <t>Les Fontaines [F]</t>
  </si>
  <si>
    <t>Hameau Hairon [F]</t>
  </si>
  <si>
    <t>La Tourelle [C]</t>
  </si>
  <si>
    <t>Les Coutours [F]</t>
  </si>
  <si>
    <t>Données Calculées</t>
  </si>
  <si>
    <t>Général</t>
  </si>
  <si>
    <t>Capt</t>
  </si>
  <si>
    <t>For</t>
  </si>
  <si>
    <t>TAC Forages</t>
  </si>
  <si>
    <t>TH Forages</t>
  </si>
  <si>
    <t>pH Forages</t>
  </si>
  <si>
    <t>Turbidité Forages</t>
  </si>
  <si>
    <t>Nitrates Forages</t>
  </si>
  <si>
    <t>Séléctionner une Année:</t>
  </si>
  <si>
    <t>Clic doit sur l'onglet de la feuille -&gt; Ôter la protection</t>
  </si>
  <si>
    <t>GLOBAL Année précédente</t>
  </si>
  <si>
    <t>avec l'année séléctionnée, l' année précédente et les graphiques de suivi.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</si>
</sst>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mmmm\ yyyy"/>
  </numFmts>
  <fonts count="14">
    <font>
      <sz val="10"/>
      <name val="Arial"/>
      <family val="2"/>
    </font>
    <font>
      <sz val="15"/>
      <name val="Century Gothic"/>
      <family val="2"/>
    </font>
    <font>
      <sz val="15"/>
      <color indexed="29"/>
      <name val="Century Gothic"/>
      <family val="2"/>
    </font>
    <font>
      <sz val="10"/>
      <name val="Century Gothic"/>
      <family val="2"/>
    </font>
    <font>
      <sz val="9"/>
      <name val="Century Gothic"/>
      <family val="2"/>
    </font>
    <font>
      <b/>
      <sz val="20"/>
      <color indexed="9"/>
      <name val="Century Gothic"/>
      <family val="2"/>
    </font>
    <font>
      <sz val="6"/>
      <name val="Century Gothic"/>
      <family val="2"/>
    </font>
    <font>
      <b/>
      <sz val="24"/>
      <name val="Century Gothic"/>
      <family val="2"/>
    </font>
    <font>
      <sz val="24"/>
      <name val="Century Gothic"/>
      <family val="2"/>
    </font>
    <font>
      <sz val="8"/>
      <color indexed="8"/>
      <name val="Century Gothic"/>
      <family val="2"/>
    </font>
    <font>
      <b/>
      <sz val="22"/>
      <name val="Century Gothic"/>
      <family val="2"/>
    </font>
    <font>
      <b/>
      <sz val="16"/>
      <name val="Century Gothic"/>
      <family val="2"/>
    </font>
    <font>
      <b/>
      <sz val="20"/>
      <name val="Century Gothic"/>
      <family val="2"/>
    </font>
    <font>
      <sz val="1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indexed="49"/>
        <bgColor indexed="40"/>
      </patternFill>
    </fill>
    <fill>
      <patternFill patternType="solid">
        <fgColor indexed="42"/>
        <bgColor indexed="22"/>
      </patternFill>
    </fill>
    <fill>
      <patternFill patternType="solid">
        <fgColor indexed="22"/>
        <bgColor indexed="42"/>
      </patternFill>
    </fill>
    <fill>
      <patternFill patternType="solid">
        <fgColor indexed="13"/>
        <bgColor indexed="34"/>
      </patternFill>
    </fill>
    <fill>
      <patternFill patternType="solid">
        <fgColor indexed="53"/>
        <bgColor indexed="24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ck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ck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medium">
        <color indexed="8"/>
      </right>
      <top/>
      <bottom/>
      <diagonal/>
    </border>
    <border>
      <left style="thick">
        <color indexed="8"/>
      </left>
      <right style="medium">
        <color indexed="8"/>
      </right>
      <top/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ck">
        <color indexed="8"/>
      </left>
      <right style="medium">
        <color indexed="8"/>
      </right>
      <top style="medium">
        <color indexed="8"/>
      </top>
      <bottom/>
      <diagonal/>
    </border>
    <border>
      <left style="thick">
        <color indexed="8"/>
      </left>
      <right style="medium">
        <color indexed="8"/>
      </right>
      <top style="thick">
        <color indexed="8"/>
      </top>
      <bottom/>
      <diagonal/>
    </border>
    <border>
      <left style="medium">
        <color indexed="8"/>
      </left>
      <right style="medium">
        <color indexed="8"/>
      </right>
      <top style="thick">
        <color indexed="8"/>
      </top>
      <bottom/>
      <diagonal/>
    </border>
    <border>
      <left style="medium">
        <color indexed="8"/>
      </left>
      <right style="thick">
        <color indexed="8"/>
      </right>
      <top style="thick">
        <color indexed="8"/>
      </top>
      <bottom/>
      <diagonal/>
    </border>
    <border>
      <left/>
      <right style="medium">
        <color indexed="8"/>
      </right>
      <top style="thick">
        <color indexed="8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medium">
        <color indexed="8"/>
      </bottom>
      <diagonal/>
    </border>
    <border>
      <left/>
      <right/>
      <top style="thick">
        <color indexed="8"/>
      </top>
      <bottom style="medium">
        <color indexed="8"/>
      </bottom>
      <diagonal/>
    </border>
    <border>
      <left/>
      <right style="thick">
        <color indexed="8"/>
      </right>
      <top style="thick">
        <color indexed="8"/>
      </top>
      <bottom style="medium">
        <color indexed="8"/>
      </bottom>
      <diagonal/>
    </border>
    <border>
      <left style="thick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ck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ck">
        <color indexed="8"/>
      </top>
      <bottom style="medium">
        <color indexed="8"/>
      </bottom>
      <diagonal/>
    </border>
    <border>
      <left/>
      <right style="medium">
        <color indexed="8"/>
      </right>
      <top style="thick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165" fontId="4" fillId="2" borderId="8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165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164" fontId="4" fillId="3" borderId="2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4" fillId="3" borderId="7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4" fillId="4" borderId="7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3" borderId="7" xfId="0" applyNumberFormat="1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3" borderId="7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1" fontId="12" fillId="5" borderId="14" xfId="0" applyNumberFormat="1" applyFont="1" applyFill="1" applyBorder="1" applyAlignment="1" applyProtection="1">
      <alignment horizontal="center" vertical="center"/>
      <protection locked="0"/>
    </xf>
    <xf numFmtId="164" fontId="4" fillId="4" borderId="15" xfId="0" applyNumberFormat="1" applyFont="1" applyFill="1" applyBorder="1" applyAlignment="1">
      <alignment horizontal="center" vertical="center"/>
    </xf>
    <xf numFmtId="165" fontId="4" fillId="2" borderId="16" xfId="0" applyNumberFormat="1" applyFont="1" applyFill="1" applyBorder="1" applyAlignment="1">
      <alignment horizontal="center" vertical="center"/>
    </xf>
    <xf numFmtId="165" fontId="4" fillId="2" borderId="17" xfId="0" applyNumberFormat="1" applyFont="1" applyFill="1" applyBorder="1" applyAlignment="1">
      <alignment horizontal="center" vertical="center"/>
    </xf>
    <xf numFmtId="164" fontId="4" fillId="2" borderId="18" xfId="0" applyNumberFormat="1" applyFont="1" applyFill="1" applyBorder="1" applyAlignment="1">
      <alignment horizontal="center" vertical="center"/>
    </xf>
    <xf numFmtId="164" fontId="4" fillId="3" borderId="19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1" fontId="4" fillId="2" borderId="5" xfId="0" applyNumberFormat="1" applyFont="1" applyFill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center" vertical="center"/>
    </xf>
    <xf numFmtId="164" fontId="4" fillId="4" borderId="20" xfId="0" applyNumberFormat="1" applyFont="1" applyFill="1" applyBorder="1" applyAlignment="1">
      <alignment horizontal="center" vertical="center"/>
    </xf>
    <xf numFmtId="164" fontId="4" fillId="3" borderId="20" xfId="0" applyNumberFormat="1" applyFont="1" applyFill="1" applyBorder="1" applyAlignment="1">
      <alignment horizontal="center" vertical="center"/>
    </xf>
    <xf numFmtId="2" fontId="4" fillId="4" borderId="20" xfId="0" applyNumberFormat="1" applyFont="1" applyFill="1" applyBorder="1" applyAlignment="1">
      <alignment horizontal="center" vertical="center"/>
    </xf>
    <xf numFmtId="1" fontId="4" fillId="4" borderId="20" xfId="0" applyNumberFormat="1" applyFont="1" applyFill="1" applyBorder="1" applyAlignment="1">
      <alignment horizontal="center" vertical="center"/>
    </xf>
    <xf numFmtId="1" fontId="4" fillId="3" borderId="20" xfId="0" applyNumberFormat="1" applyFont="1" applyFill="1" applyBorder="1" applyAlignment="1">
      <alignment horizontal="center" vertical="center"/>
    </xf>
    <xf numFmtId="2" fontId="4" fillId="3" borderId="20" xfId="0" applyNumberFormat="1" applyFont="1" applyFill="1" applyBorder="1" applyAlignment="1">
      <alignment horizontal="center" vertical="center"/>
    </xf>
    <xf numFmtId="1" fontId="4" fillId="4" borderId="21" xfId="0" applyNumberFormat="1" applyFont="1" applyFill="1" applyBorder="1" applyAlignment="1">
      <alignment horizontal="center" vertical="center"/>
    </xf>
    <xf numFmtId="1" fontId="4" fillId="4" borderId="6" xfId="0" applyNumberFormat="1" applyFont="1" applyFill="1" applyBorder="1" applyAlignment="1">
      <alignment horizontal="center" vertical="center"/>
    </xf>
    <xf numFmtId="164" fontId="4" fillId="4" borderId="22" xfId="0" applyNumberFormat="1" applyFont="1" applyFill="1" applyBorder="1" applyAlignment="1">
      <alignment horizontal="center" vertical="center"/>
    </xf>
    <xf numFmtId="1" fontId="4" fillId="3" borderId="21" xfId="0" applyNumberFormat="1" applyFont="1" applyFill="1" applyBorder="1" applyAlignment="1">
      <alignment horizontal="center" vertical="center"/>
    </xf>
    <xf numFmtId="164" fontId="4" fillId="4" borderId="19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2" fontId="4" fillId="4" borderId="7" xfId="0" applyNumberFormat="1" applyFont="1" applyFill="1" applyBorder="1" applyAlignment="1">
      <alignment horizontal="center" vertical="center"/>
    </xf>
    <xf numFmtId="1" fontId="4" fillId="3" borderId="6" xfId="0" applyNumberFormat="1" applyFont="1" applyFill="1" applyBorder="1" applyAlignment="1">
      <alignment horizontal="center" vertical="center"/>
    </xf>
    <xf numFmtId="164" fontId="4" fillId="4" borderId="11" xfId="0" applyNumberFormat="1" applyFont="1" applyFill="1" applyBorder="1" applyAlignment="1">
      <alignment horizontal="center" vertical="center"/>
    </xf>
    <xf numFmtId="0" fontId="4" fillId="7" borderId="9" xfId="0" applyFont="1" applyFill="1" applyBorder="1" applyAlignment="1" applyProtection="1">
      <alignment horizontal="center" vertical="center"/>
      <protection locked="0"/>
    </xf>
    <xf numFmtId="165" fontId="4" fillId="2" borderId="3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2" fontId="4" fillId="3" borderId="2" xfId="0" applyNumberFormat="1" applyFont="1" applyFill="1" applyBorder="1" applyAlignment="1">
      <alignment horizontal="center" vertical="center"/>
    </xf>
    <xf numFmtId="2" fontId="4" fillId="4" borderId="2" xfId="0" applyNumberFormat="1" applyFont="1" applyFill="1" applyBorder="1" applyAlignment="1">
      <alignment horizontal="center" vertical="center"/>
    </xf>
    <xf numFmtId="2" fontId="4" fillId="3" borderId="9" xfId="0" applyNumberFormat="1" applyFont="1" applyFill="1" applyBorder="1" applyAlignment="1">
      <alignment horizontal="center" vertical="center"/>
    </xf>
    <xf numFmtId="2" fontId="4" fillId="4" borderId="9" xfId="0" applyNumberFormat="1" applyFont="1" applyFill="1" applyBorder="1" applyAlignment="1">
      <alignment horizontal="center" vertical="center"/>
    </xf>
    <xf numFmtId="1" fontId="11" fillId="5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>
      <alignment horizontal="center" vertical="center"/>
    </xf>
    <xf numFmtId="164" fontId="4" fillId="7" borderId="2" xfId="0" applyNumberFormat="1" applyFont="1" applyFill="1" applyBorder="1" applyAlignment="1">
      <alignment horizontal="center" vertical="center"/>
    </xf>
    <xf numFmtId="0" fontId="3" fillId="9" borderId="37" xfId="0" applyFont="1" applyFill="1" applyBorder="1" applyAlignment="1">
      <alignment horizontal="center" vertical="center"/>
    </xf>
    <xf numFmtId="164" fontId="3" fillId="8" borderId="37" xfId="0" applyNumberFormat="1" applyFont="1" applyFill="1" applyBorder="1" applyAlignment="1">
      <alignment horizontal="center" vertical="center"/>
    </xf>
    <xf numFmtId="164" fontId="3" fillId="10" borderId="37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 applyProtection="1">
      <alignment horizontal="center" vertical="center"/>
    </xf>
    <xf numFmtId="164" fontId="4" fillId="2" borderId="2" xfId="0" applyNumberFormat="1" applyFont="1" applyFill="1" applyBorder="1" applyAlignment="1" applyProtection="1">
      <alignment horizontal="center" vertical="center"/>
    </xf>
    <xf numFmtId="2" fontId="4" fillId="2" borderId="2" xfId="0" applyNumberFormat="1" applyFont="1" applyFill="1" applyBorder="1" applyAlignment="1" applyProtection="1">
      <alignment horizontal="center" vertical="center"/>
    </xf>
    <xf numFmtId="1" fontId="4" fillId="2" borderId="2" xfId="0" applyNumberFormat="1" applyFont="1" applyFill="1" applyBorder="1" applyAlignment="1" applyProtection="1">
      <alignment horizontal="center" vertical="center"/>
    </xf>
    <xf numFmtId="1" fontId="4" fillId="2" borderId="3" xfId="0" applyNumberFormat="1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4" fillId="4" borderId="9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left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 applyProtection="1">
      <alignment horizontal="center" vertical="center"/>
    </xf>
    <xf numFmtId="0" fontId="4" fillId="2" borderId="27" xfId="0" applyFont="1" applyFill="1" applyBorder="1" applyAlignment="1" applyProtection="1">
      <alignment horizontal="center" vertical="center"/>
    </xf>
    <xf numFmtId="0" fontId="4" fillId="2" borderId="28" xfId="0" applyFont="1" applyFill="1" applyBorder="1" applyAlignment="1" applyProtection="1">
      <alignment horizontal="center" vertical="center"/>
    </xf>
    <xf numFmtId="164" fontId="7" fillId="5" borderId="23" xfId="0" applyNumberFormat="1" applyFont="1" applyFill="1" applyBorder="1" applyAlignment="1">
      <alignment horizontal="center" vertical="center"/>
    </xf>
    <xf numFmtId="164" fontId="7" fillId="5" borderId="24" xfId="0" applyNumberFormat="1" applyFont="1" applyFill="1" applyBorder="1" applyAlignment="1">
      <alignment horizontal="center" vertical="center"/>
    </xf>
    <xf numFmtId="164" fontId="7" fillId="5" borderId="25" xfId="0" applyNumberFormat="1" applyFont="1" applyFill="1" applyBorder="1" applyAlignment="1">
      <alignment horizontal="center" vertical="center"/>
    </xf>
    <xf numFmtId="164" fontId="5" fillId="6" borderId="23" xfId="0" applyNumberFormat="1" applyFon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164" fontId="4" fillId="2" borderId="26" xfId="0" applyNumberFormat="1" applyFont="1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2" fontId="5" fillId="6" borderId="23" xfId="0" applyNumberFormat="1" applyFont="1" applyFill="1" applyBorder="1" applyAlignment="1">
      <alignment horizontal="center" vertical="center"/>
    </xf>
    <xf numFmtId="2" fontId="5" fillId="6" borderId="24" xfId="0" applyNumberFormat="1" applyFont="1" applyFill="1" applyBorder="1" applyAlignment="1">
      <alignment horizontal="center" vertical="center"/>
    </xf>
    <xf numFmtId="2" fontId="5" fillId="6" borderId="25" xfId="0" applyNumberFormat="1" applyFont="1" applyFill="1" applyBorder="1" applyAlignment="1">
      <alignment horizontal="center" vertical="center"/>
    </xf>
    <xf numFmtId="2" fontId="4" fillId="2" borderId="16" xfId="0" applyNumberFormat="1" applyFont="1" applyFill="1" applyBorder="1" applyAlignment="1">
      <alignment horizontal="center" vertical="center"/>
    </xf>
    <xf numFmtId="2" fontId="4" fillId="2" borderId="35" xfId="0" applyNumberFormat="1" applyFont="1" applyFill="1" applyBorder="1" applyAlignment="1">
      <alignment horizontal="center" vertical="center"/>
    </xf>
    <xf numFmtId="2" fontId="4" fillId="2" borderId="36" xfId="0" applyNumberFormat="1" applyFont="1" applyFill="1" applyBorder="1" applyAlignment="1">
      <alignment horizontal="center" vertical="center"/>
    </xf>
    <xf numFmtId="2" fontId="4" fillId="2" borderId="30" xfId="0" applyNumberFormat="1" applyFont="1" applyFill="1" applyBorder="1" applyAlignment="1">
      <alignment horizontal="center" vertical="center"/>
    </xf>
    <xf numFmtId="2" fontId="4" fillId="2" borderId="32" xfId="0" applyNumberFormat="1" applyFont="1" applyFill="1" applyBorder="1" applyAlignment="1">
      <alignment horizontal="center" vertical="center"/>
    </xf>
    <xf numFmtId="2" fontId="10" fillId="5" borderId="23" xfId="0" applyNumberFormat="1" applyFont="1" applyFill="1" applyBorder="1" applyAlignment="1">
      <alignment horizontal="center" vertical="center"/>
    </xf>
    <xf numFmtId="2" fontId="10" fillId="5" borderId="24" xfId="0" applyNumberFormat="1" applyFont="1" applyFill="1" applyBorder="1" applyAlignment="1">
      <alignment horizontal="center" vertical="center"/>
    </xf>
    <xf numFmtId="2" fontId="10" fillId="5" borderId="25" xfId="0" applyNumberFormat="1" applyFont="1" applyFill="1" applyBorder="1" applyAlignment="1">
      <alignment horizontal="center" vertical="center"/>
    </xf>
    <xf numFmtId="2" fontId="4" fillId="2" borderId="33" xfId="0" applyNumberFormat="1" applyFont="1" applyFill="1" applyBorder="1" applyAlignment="1">
      <alignment horizontal="center" vertical="center"/>
    </xf>
    <xf numFmtId="2" fontId="4" fillId="2" borderId="3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E6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EB613D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6E6FF"/>
      <rgbColor rgb="00FFFF80"/>
      <rgbColor rgb="00A6CAF0"/>
      <rgbColor rgb="00DD9CB3"/>
      <rgbColor rgb="00B38FEE"/>
      <rgbColor rgb="00E6E6E6"/>
      <rgbColor rgb="002A6FF9"/>
      <rgbColor rgb="0033CC66"/>
      <rgbColor rgb="00488436"/>
      <rgbColor rgb="00958C41"/>
      <rgbColor rgb="008E5E42"/>
      <rgbColor rgb="009966CC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TAC</a:t>
            </a:r>
            <a:r>
              <a:rPr lang="fr-FR" baseline="0"/>
              <a:t> par secteur</a:t>
            </a:r>
            <a:endParaRPr lang="fr-FR"/>
          </a:p>
        </c:rich>
      </c:tx>
      <c:layout>
        <c:manualLayout>
          <c:xMode val="edge"/>
          <c:yMode val="edge"/>
          <c:x val="8.1766832420087379E-2"/>
          <c:y val="2.2265542798339644E-2"/>
        </c:manualLayout>
      </c:layout>
    </c:title>
    <c:plotArea>
      <c:layout>
        <c:manualLayout>
          <c:layoutTarget val="inner"/>
          <c:xMode val="edge"/>
          <c:yMode val="edge"/>
          <c:x val="6.4015292011138675E-2"/>
          <c:y val="0.15610587002752771"/>
          <c:w val="0.88200091503538702"/>
          <c:h val="0.75436514625290552"/>
        </c:manualLayout>
      </c:layout>
      <c:scatterChart>
        <c:scatterStyle val="smoothMarker"/>
        <c:ser>
          <c:idx val="0"/>
          <c:order val="0"/>
          <c:tx>
            <c:strRef>
              <c:f>'Analyses ED'!$B$3:$J$3</c:f>
              <c:strCache>
                <c:ptCount val="1"/>
                <c:pt idx="0">
                  <c:v>Les Pieux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ED'!$B$6:$B$17</c:f>
              <c:numCache>
                <c:formatCode>0.0</c:formatCode>
                <c:ptCount val="12"/>
                <c:pt idx="0">
                  <c:v>10.9</c:v>
                </c:pt>
                <c:pt idx="1">
                  <c:v>10.5</c:v>
                </c:pt>
                <c:pt idx="2">
                  <c:v>10.65</c:v>
                </c:pt>
                <c:pt idx="3">
                  <c:v>10.8</c:v>
                </c:pt>
                <c:pt idx="4">
                  <c:v>11.4</c:v>
                </c:pt>
                <c:pt idx="5">
                  <c:v>11.8</c:v>
                </c:pt>
                <c:pt idx="6">
                  <c:v>10.95</c:v>
                </c:pt>
                <c:pt idx="7">
                  <c:v>11.2</c:v>
                </c:pt>
                <c:pt idx="8">
                  <c:v>11.05</c:v>
                </c:pt>
                <c:pt idx="9">
                  <c:v>11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'Analyses ED'!$AM$5</c:f>
              <c:strCache>
                <c:ptCount val="1"/>
                <c:pt idx="0">
                  <c:v>Les pieux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ED'!$B$19:$B$30</c:f>
              <c:numCache>
                <c:formatCode>0.0</c:formatCode>
                <c:ptCount val="12"/>
                <c:pt idx="0">
                  <c:v>10.1</c:v>
                </c:pt>
                <c:pt idx="1">
                  <c:v>10.65</c:v>
                </c:pt>
                <c:pt idx="2">
                  <c:v>10.4</c:v>
                </c:pt>
                <c:pt idx="3">
                  <c:v>10.6</c:v>
                </c:pt>
                <c:pt idx="4">
                  <c:v>13</c:v>
                </c:pt>
                <c:pt idx="5">
                  <c:v>10.6</c:v>
                </c:pt>
                <c:pt idx="6">
                  <c:v>10.8</c:v>
                </c:pt>
                <c:pt idx="7">
                  <c:v>11.2</c:v>
                </c:pt>
                <c:pt idx="8">
                  <c:v>10.95</c:v>
                </c:pt>
                <c:pt idx="9">
                  <c:v>11.2</c:v>
                </c:pt>
                <c:pt idx="10">
                  <c:v>10.050000000000001</c:v>
                </c:pt>
                <c:pt idx="11">
                  <c:v>10.1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'Analyses ED'!$K$3:$S$3</c:f>
              <c:strCache>
                <c:ptCount val="1"/>
                <c:pt idx="0">
                  <c:v>Grosville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ED'!$K$6:$K$17</c:f>
              <c:numCache>
                <c:formatCode>0.0</c:formatCode>
                <c:ptCount val="12"/>
                <c:pt idx="0">
                  <c:v>14.4</c:v>
                </c:pt>
                <c:pt idx="1">
                  <c:v>16.899999999999999</c:v>
                </c:pt>
                <c:pt idx="2">
                  <c:v>18.149999999999999</c:v>
                </c:pt>
                <c:pt idx="3">
                  <c:v>17.95</c:v>
                </c:pt>
                <c:pt idx="4">
                  <c:v>17.899999999999999</c:v>
                </c:pt>
                <c:pt idx="5">
                  <c:v>18.399999999999999</c:v>
                </c:pt>
                <c:pt idx="6">
                  <c:v>16.399999999999999</c:v>
                </c:pt>
                <c:pt idx="7">
                  <c:v>19.100000000000001</c:v>
                </c:pt>
                <c:pt idx="8">
                  <c:v>17.45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'Analyses ED'!$AM$10</c:f>
              <c:strCache>
                <c:ptCount val="1"/>
                <c:pt idx="0">
                  <c:v>Grosville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ED'!$K$19:$K$30</c:f>
              <c:numCache>
                <c:formatCode>0.0</c:formatCode>
                <c:ptCount val="12"/>
                <c:pt idx="0">
                  <c:v>16.8</c:v>
                </c:pt>
                <c:pt idx="1">
                  <c:v>17.05</c:v>
                </c:pt>
                <c:pt idx="2">
                  <c:v>16.100000000000001</c:v>
                </c:pt>
                <c:pt idx="3">
                  <c:v>15.4</c:v>
                </c:pt>
                <c:pt idx="4">
                  <c:v>17.899999999999999</c:v>
                </c:pt>
                <c:pt idx="5">
                  <c:v>17</c:v>
                </c:pt>
                <c:pt idx="6">
                  <c:v>17.899999999999999</c:v>
                </c:pt>
                <c:pt idx="7">
                  <c:v>16.7</c:v>
                </c:pt>
                <c:pt idx="8">
                  <c:v>17.149999999999999</c:v>
                </c:pt>
                <c:pt idx="9">
                  <c:v>#N/A</c:v>
                </c:pt>
                <c:pt idx="10">
                  <c:v>17.5</c:v>
                </c:pt>
                <c:pt idx="11">
                  <c:v>#N/A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'Analyses ED'!$T$3:$AB$3</c:f>
              <c:strCache>
                <c:ptCount val="1"/>
                <c:pt idx="0">
                  <c:v>Teurthéville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ED'!$T$6:$T$17</c:f>
              <c:numCache>
                <c:formatCode>0.0</c:formatCode>
                <c:ptCount val="12"/>
                <c:pt idx="0">
                  <c:v>11.6</c:v>
                </c:pt>
                <c:pt idx="1">
                  <c:v>#N/A</c:v>
                </c:pt>
                <c:pt idx="2">
                  <c:v>11.85</c:v>
                </c:pt>
                <c:pt idx="3">
                  <c:v>12.2</c:v>
                </c:pt>
                <c:pt idx="4">
                  <c:v>12</c:v>
                </c:pt>
                <c:pt idx="5">
                  <c:v>13.2</c:v>
                </c:pt>
                <c:pt idx="6">
                  <c:v>13.2</c:v>
                </c:pt>
                <c:pt idx="7">
                  <c:v>12</c:v>
                </c:pt>
                <c:pt idx="8">
                  <c:v>11.5</c:v>
                </c:pt>
                <c:pt idx="9">
                  <c:v>#N/A</c:v>
                </c:pt>
                <c:pt idx="10">
                  <c:v>12.6</c:v>
                </c:pt>
                <c:pt idx="11">
                  <c:v>#N/A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'Analyses ED'!$AM$13</c:f>
              <c:strCache>
                <c:ptCount val="1"/>
                <c:pt idx="0">
                  <c:v>Teurthéville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ED'!$T$19:$T$30</c:f>
              <c:numCache>
                <c:formatCode>0.0</c:formatCode>
                <c:ptCount val="12"/>
                <c:pt idx="0">
                  <c:v>9.4</c:v>
                </c:pt>
                <c:pt idx="1">
                  <c:v>11.35</c:v>
                </c:pt>
                <c:pt idx="2">
                  <c:v>12.7</c:v>
                </c:pt>
                <c:pt idx="3">
                  <c:v>10.4</c:v>
                </c:pt>
                <c:pt idx="4">
                  <c:v>12.3</c:v>
                </c:pt>
                <c:pt idx="5">
                  <c:v>13.4</c:v>
                </c:pt>
                <c:pt idx="6">
                  <c:v>11.7</c:v>
                </c:pt>
                <c:pt idx="7">
                  <c:v>12.3</c:v>
                </c:pt>
                <c:pt idx="8">
                  <c:v>12.1</c:v>
                </c:pt>
                <c:pt idx="9">
                  <c:v>11.3</c:v>
                </c:pt>
                <c:pt idx="10">
                  <c:v>10.65</c:v>
                </c:pt>
                <c:pt idx="11">
                  <c:v>#N/A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'Analyses ED'!$AC$3:$AK$3</c:f>
              <c:strCache>
                <c:ptCount val="1"/>
                <c:pt idx="0">
                  <c:v>GLOBAL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ED'!$AC$6:$AC$17</c:f>
              <c:numCache>
                <c:formatCode>0.0</c:formatCode>
                <c:ptCount val="12"/>
                <c:pt idx="0">
                  <c:v>12.299999999999999</c:v>
                </c:pt>
                <c:pt idx="1">
                  <c:v>#N/A</c:v>
                </c:pt>
                <c:pt idx="2">
                  <c:v>13.549999999999999</c:v>
                </c:pt>
                <c:pt idx="3">
                  <c:v>13.65</c:v>
                </c:pt>
                <c:pt idx="4">
                  <c:v>13.766666666666666</c:v>
                </c:pt>
                <c:pt idx="5">
                  <c:v>14.466666666666667</c:v>
                </c:pt>
                <c:pt idx="6">
                  <c:v>13.516666666666666</c:v>
                </c:pt>
                <c:pt idx="7">
                  <c:v>14.1</c:v>
                </c:pt>
                <c:pt idx="8">
                  <c:v>13.333333333333334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'Analyses ED'!$AM$17</c:f>
              <c:strCache>
                <c:ptCount val="1"/>
                <c:pt idx="0">
                  <c:v>GLOBAL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ED'!$AC$19:$AC$30</c:f>
              <c:numCache>
                <c:formatCode>0.0</c:formatCode>
                <c:ptCount val="12"/>
                <c:pt idx="0">
                  <c:v>12.1</c:v>
                </c:pt>
                <c:pt idx="1">
                  <c:v>13.016666666666667</c:v>
                </c:pt>
                <c:pt idx="2">
                  <c:v>13.066666666666668</c:v>
                </c:pt>
                <c:pt idx="3">
                  <c:v>12.133333333333333</c:v>
                </c:pt>
                <c:pt idx="4">
                  <c:v>14.4</c:v>
                </c:pt>
                <c:pt idx="5">
                  <c:v>13.666666666666666</c:v>
                </c:pt>
                <c:pt idx="6">
                  <c:v>13.466666666666667</c:v>
                </c:pt>
                <c:pt idx="7">
                  <c:v>13.4</c:v>
                </c:pt>
                <c:pt idx="8">
                  <c:v>13.399999999999999</c:v>
                </c:pt>
                <c:pt idx="9">
                  <c:v>#N/A</c:v>
                </c:pt>
                <c:pt idx="10">
                  <c:v>12.733333333333334</c:v>
                </c:pt>
                <c:pt idx="11">
                  <c:v>#N/A</c:v>
                </c:pt>
              </c:numCache>
            </c:numRef>
          </c:yVal>
          <c:smooth val="1"/>
        </c:ser>
        <c:axId val="54915840"/>
        <c:axId val="54917376"/>
      </c:scatterChart>
      <c:valAx>
        <c:axId val="54915840"/>
        <c:scaling>
          <c:orientation val="minMax"/>
        </c:scaling>
        <c:axPos val="b"/>
        <c:majorGridlines/>
        <c:numFmt formatCode="mmmm\ yyyy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4917376"/>
        <c:crosses val="autoZero"/>
        <c:crossBetween val="midCat"/>
      </c:valAx>
      <c:valAx>
        <c:axId val="54917376"/>
        <c:scaling>
          <c:orientation val="minMax"/>
          <c:max val="20"/>
          <c:min val="8"/>
        </c:scaling>
        <c:axPos val="l"/>
        <c:majorGridlines/>
        <c:numFmt formatCode="0.0" sourceLinked="1"/>
        <c:majorTickMark val="none"/>
        <c:tickLblPos val="nextTo"/>
        <c:crossAx val="54915840"/>
        <c:crosses val="autoZero"/>
        <c:crossBetween val="midCat"/>
      </c:valAx>
    </c:plotArea>
    <c:legend>
      <c:legendPos val="b"/>
      <c:layout>
        <c:manualLayout>
          <c:xMode val="edge"/>
          <c:yMode val="edge"/>
          <c:x val="0.44158132841607883"/>
          <c:y val="2.2919051418132204E-3"/>
          <c:w val="0.55620975236031156"/>
          <c:h val="0.14843456241978564"/>
        </c:manualLayout>
      </c:layout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TH par secteur</a:t>
            </a:r>
          </a:p>
        </c:rich>
      </c:tx>
      <c:layout>
        <c:manualLayout>
          <c:xMode val="edge"/>
          <c:yMode val="edge"/>
          <c:x val="0.10199049088901339"/>
          <c:y val="1.5425654574635123E-2"/>
        </c:manualLayout>
      </c:layout>
    </c:title>
    <c:plotArea>
      <c:layout>
        <c:manualLayout>
          <c:layoutTarget val="inner"/>
          <c:xMode val="edge"/>
          <c:yMode val="edge"/>
          <c:x val="7.3444718270022386E-2"/>
          <c:y val="0.17300606432793442"/>
          <c:w val="0.86461969821463214"/>
          <c:h val="0.73681705863090585"/>
        </c:manualLayout>
      </c:layout>
      <c:scatterChart>
        <c:scatterStyle val="smoothMarker"/>
        <c:ser>
          <c:idx val="0"/>
          <c:order val="0"/>
          <c:tx>
            <c:strRef>
              <c:f>'Analyses ED'!$B$3:$J$3</c:f>
              <c:strCache>
                <c:ptCount val="1"/>
                <c:pt idx="0">
                  <c:v>Les Pieux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ED'!$C$6:$C$17</c:f>
              <c:numCache>
                <c:formatCode>0.0</c:formatCode>
                <c:ptCount val="12"/>
                <c:pt idx="0">
                  <c:v>13.4</c:v>
                </c:pt>
                <c:pt idx="1">
                  <c:v>12.9</c:v>
                </c:pt>
                <c:pt idx="2">
                  <c:v>13.1</c:v>
                </c:pt>
                <c:pt idx="3">
                  <c:v>13.6</c:v>
                </c:pt>
                <c:pt idx="4">
                  <c:v>14.2</c:v>
                </c:pt>
                <c:pt idx="5">
                  <c:v>14.6</c:v>
                </c:pt>
                <c:pt idx="6">
                  <c:v>12.6</c:v>
                </c:pt>
                <c:pt idx="7">
                  <c:v>13.7</c:v>
                </c:pt>
                <c:pt idx="8">
                  <c:v>13.35</c:v>
                </c:pt>
                <c:pt idx="9">
                  <c:v>13.3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'Analyses ED'!$AM$5</c:f>
              <c:strCache>
                <c:ptCount val="1"/>
                <c:pt idx="0">
                  <c:v>Les pieux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ED'!$C$19:$C$30</c:f>
              <c:numCache>
                <c:formatCode>0.0</c:formatCode>
                <c:ptCount val="12"/>
                <c:pt idx="0">
                  <c:v>13.8</c:v>
                </c:pt>
                <c:pt idx="1">
                  <c:v>14.35</c:v>
                </c:pt>
                <c:pt idx="2">
                  <c:v>13.7</c:v>
                </c:pt>
                <c:pt idx="3">
                  <c:v>14.05</c:v>
                </c:pt>
                <c:pt idx="4">
                  <c:v>15.8</c:v>
                </c:pt>
                <c:pt idx="5">
                  <c:v>14.2</c:v>
                </c:pt>
                <c:pt idx="6">
                  <c:v>13.3</c:v>
                </c:pt>
                <c:pt idx="7">
                  <c:v>14.7</c:v>
                </c:pt>
                <c:pt idx="8">
                  <c:v>14.25</c:v>
                </c:pt>
                <c:pt idx="9">
                  <c:v>14</c:v>
                </c:pt>
                <c:pt idx="10">
                  <c:v>14</c:v>
                </c:pt>
                <c:pt idx="11">
                  <c:v>13.1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'Analyses ED'!$K$3:$S$3</c:f>
              <c:strCache>
                <c:ptCount val="1"/>
                <c:pt idx="0">
                  <c:v>Grosville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ED'!$L$6:$L$17</c:f>
              <c:numCache>
                <c:formatCode>0.0</c:formatCode>
                <c:ptCount val="12"/>
                <c:pt idx="0">
                  <c:v>17.2</c:v>
                </c:pt>
                <c:pt idx="1">
                  <c:v>18.3</c:v>
                </c:pt>
                <c:pt idx="2">
                  <c:v>20.95</c:v>
                </c:pt>
                <c:pt idx="3">
                  <c:v>20.2</c:v>
                </c:pt>
                <c:pt idx="4">
                  <c:v>20</c:v>
                </c:pt>
                <c:pt idx="5">
                  <c:v>21</c:v>
                </c:pt>
                <c:pt idx="6">
                  <c:v>18.7</c:v>
                </c:pt>
                <c:pt idx="7">
                  <c:v>21.5</c:v>
                </c:pt>
                <c:pt idx="8">
                  <c:v>18.649999999999999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'Analyses ED'!$AM$10</c:f>
              <c:strCache>
                <c:ptCount val="1"/>
                <c:pt idx="0">
                  <c:v>Grosville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ED'!$L$19:$L$30</c:f>
              <c:numCache>
                <c:formatCode>0.0</c:formatCode>
                <c:ptCount val="12"/>
                <c:pt idx="0">
                  <c:v>20.100000000000001</c:v>
                </c:pt>
                <c:pt idx="1">
                  <c:v>20.6</c:v>
                </c:pt>
                <c:pt idx="2">
                  <c:v>21.1</c:v>
                </c:pt>
                <c:pt idx="3">
                  <c:v>19.05</c:v>
                </c:pt>
                <c:pt idx="4">
                  <c:v>21.5</c:v>
                </c:pt>
                <c:pt idx="5">
                  <c:v>21.4</c:v>
                </c:pt>
                <c:pt idx="6">
                  <c:v>20.100000000000001</c:v>
                </c:pt>
                <c:pt idx="7">
                  <c:v>21.7</c:v>
                </c:pt>
                <c:pt idx="8">
                  <c:v>21.1</c:v>
                </c:pt>
                <c:pt idx="9">
                  <c:v>#N/A</c:v>
                </c:pt>
                <c:pt idx="10">
                  <c:v>21.15</c:v>
                </c:pt>
                <c:pt idx="11">
                  <c:v>#N/A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'Analyses ED'!$T$3:$AB$3</c:f>
              <c:strCache>
                <c:ptCount val="1"/>
                <c:pt idx="0">
                  <c:v>Teurthéville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ED'!$U$6:$U$17</c:f>
              <c:numCache>
                <c:formatCode>0.0</c:formatCode>
                <c:ptCount val="12"/>
                <c:pt idx="0">
                  <c:v>13.7</c:v>
                </c:pt>
                <c:pt idx="1">
                  <c:v>#N/A</c:v>
                </c:pt>
                <c:pt idx="2">
                  <c:v>12.5</c:v>
                </c:pt>
                <c:pt idx="3">
                  <c:v>14.5</c:v>
                </c:pt>
                <c:pt idx="4">
                  <c:v>14.7</c:v>
                </c:pt>
                <c:pt idx="5">
                  <c:v>15.6</c:v>
                </c:pt>
                <c:pt idx="6">
                  <c:v>14.5</c:v>
                </c:pt>
                <c:pt idx="7">
                  <c:v>14.4</c:v>
                </c:pt>
                <c:pt idx="8">
                  <c:v>13.4</c:v>
                </c:pt>
                <c:pt idx="9">
                  <c:v>#N/A</c:v>
                </c:pt>
                <c:pt idx="10">
                  <c:v>14.5</c:v>
                </c:pt>
                <c:pt idx="11">
                  <c:v>#N/A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'Analyses ED'!$AM$13</c:f>
              <c:strCache>
                <c:ptCount val="1"/>
                <c:pt idx="0">
                  <c:v>Teurthéville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ED'!$U$19:$U$30</c:f>
              <c:numCache>
                <c:formatCode>0.0</c:formatCode>
                <c:ptCount val="12"/>
                <c:pt idx="0">
                  <c:v>12.2</c:v>
                </c:pt>
                <c:pt idx="1">
                  <c:v>14.3</c:v>
                </c:pt>
                <c:pt idx="2">
                  <c:v>15.4</c:v>
                </c:pt>
                <c:pt idx="3">
                  <c:v>13</c:v>
                </c:pt>
                <c:pt idx="4">
                  <c:v>14.9</c:v>
                </c:pt>
                <c:pt idx="5">
                  <c:v>15.6</c:v>
                </c:pt>
                <c:pt idx="6">
                  <c:v>13.6</c:v>
                </c:pt>
                <c:pt idx="7">
                  <c:v>15.6</c:v>
                </c:pt>
                <c:pt idx="8">
                  <c:v>14.9</c:v>
                </c:pt>
                <c:pt idx="9">
                  <c:v>13.9</c:v>
                </c:pt>
                <c:pt idx="10">
                  <c:v>14.55</c:v>
                </c:pt>
                <c:pt idx="11">
                  <c:v>#N/A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'Analyses ED'!$AC$3:$AK$3</c:f>
              <c:strCache>
                <c:ptCount val="1"/>
                <c:pt idx="0">
                  <c:v>GLOBAL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ED'!$AD$6:$AD$17</c:f>
              <c:numCache>
                <c:formatCode>0.0</c:formatCode>
                <c:ptCount val="12"/>
                <c:pt idx="0">
                  <c:v>14.766666666666666</c:v>
                </c:pt>
                <c:pt idx="1">
                  <c:v>#N/A</c:v>
                </c:pt>
                <c:pt idx="2">
                  <c:v>15.516666666666666</c:v>
                </c:pt>
                <c:pt idx="3">
                  <c:v>16.099999999999998</c:v>
                </c:pt>
                <c:pt idx="4">
                  <c:v>16.3</c:v>
                </c:pt>
                <c:pt idx="5">
                  <c:v>17.066666666666666</c:v>
                </c:pt>
                <c:pt idx="6">
                  <c:v>15.266666666666666</c:v>
                </c:pt>
                <c:pt idx="7">
                  <c:v>16.533333333333335</c:v>
                </c:pt>
                <c:pt idx="8">
                  <c:v>15.133333333333333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'Analyses ED'!$AM$17</c:f>
              <c:strCache>
                <c:ptCount val="1"/>
                <c:pt idx="0">
                  <c:v>GLOBAL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ED'!$AD$19:$AD$30</c:f>
              <c:numCache>
                <c:formatCode>0.0</c:formatCode>
                <c:ptCount val="12"/>
                <c:pt idx="0">
                  <c:v>15.366666666666669</c:v>
                </c:pt>
                <c:pt idx="1">
                  <c:v>16.416666666666668</c:v>
                </c:pt>
                <c:pt idx="2">
                  <c:v>16.733333333333331</c:v>
                </c:pt>
                <c:pt idx="3">
                  <c:v>15.366666666666667</c:v>
                </c:pt>
                <c:pt idx="4">
                  <c:v>17.399999999999999</c:v>
                </c:pt>
                <c:pt idx="5">
                  <c:v>17.066666666666666</c:v>
                </c:pt>
                <c:pt idx="6">
                  <c:v>15.66666666666667</c:v>
                </c:pt>
                <c:pt idx="7">
                  <c:v>17.333333333333332</c:v>
                </c:pt>
                <c:pt idx="8">
                  <c:v>16.75</c:v>
                </c:pt>
                <c:pt idx="9">
                  <c:v>#N/A</c:v>
                </c:pt>
                <c:pt idx="10">
                  <c:v>16.566666666666666</c:v>
                </c:pt>
                <c:pt idx="11">
                  <c:v>#N/A</c:v>
                </c:pt>
              </c:numCache>
            </c:numRef>
          </c:yVal>
          <c:smooth val="1"/>
        </c:ser>
        <c:axId val="55058432"/>
        <c:axId val="55059968"/>
      </c:scatterChart>
      <c:valAx>
        <c:axId val="55058432"/>
        <c:scaling>
          <c:orientation val="minMax"/>
        </c:scaling>
        <c:axPos val="b"/>
        <c:majorGridlines/>
        <c:numFmt formatCode="mmmm\ yyyy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5059968"/>
        <c:crosses val="autoZero"/>
        <c:crossBetween val="midCat"/>
      </c:valAx>
      <c:valAx>
        <c:axId val="55059968"/>
        <c:scaling>
          <c:orientation val="minMax"/>
          <c:max val="24"/>
          <c:min val="10"/>
        </c:scaling>
        <c:axPos val="l"/>
        <c:majorGridlines/>
        <c:numFmt formatCode="0.0" sourceLinked="1"/>
        <c:majorTickMark val="none"/>
        <c:tickLblPos val="nextTo"/>
        <c:crossAx val="55058432"/>
        <c:crosses val="autoZero"/>
        <c:crossBetween val="midCat"/>
      </c:valAx>
    </c:plotArea>
    <c:legend>
      <c:legendPos val="b"/>
      <c:layout>
        <c:manualLayout>
          <c:xMode val="edge"/>
          <c:yMode val="edge"/>
          <c:x val="0.42187003778085813"/>
          <c:y val="1.1958770054405459E-3"/>
          <c:w val="0.57633640364242855"/>
          <c:h val="0.16273614804771921"/>
        </c:manualLayout>
      </c:layout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pH par secteur</a:t>
            </a:r>
          </a:p>
        </c:rich>
      </c:tx>
      <c:layout>
        <c:manualLayout>
          <c:xMode val="edge"/>
          <c:yMode val="edge"/>
          <c:x val="6.1966154783138314E-2"/>
          <c:y val="2.2212581344902387E-2"/>
        </c:manualLayout>
      </c:layout>
    </c:title>
    <c:plotArea>
      <c:layout>
        <c:manualLayout>
          <c:layoutTarget val="inner"/>
          <c:xMode val="edge"/>
          <c:yMode val="edge"/>
          <c:x val="6.503582562971312E-2"/>
          <c:y val="0.17794695559877607"/>
          <c:w val="0.88011977024350763"/>
          <c:h val="0.72612757081548551"/>
        </c:manualLayout>
      </c:layout>
      <c:scatterChart>
        <c:scatterStyle val="smoothMarker"/>
        <c:ser>
          <c:idx val="0"/>
          <c:order val="0"/>
          <c:tx>
            <c:strRef>
              <c:f>'Analyses ED'!$B$3:$J$3</c:f>
              <c:strCache>
                <c:ptCount val="1"/>
                <c:pt idx="0">
                  <c:v>Les Pieux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ED'!$D$6:$D$17</c:f>
              <c:numCache>
                <c:formatCode>0.0</c:formatCode>
                <c:ptCount val="12"/>
                <c:pt idx="0">
                  <c:v>8</c:v>
                </c:pt>
                <c:pt idx="1">
                  <c:v>8.1</c:v>
                </c:pt>
                <c:pt idx="2">
                  <c:v>7.85</c:v>
                </c:pt>
                <c:pt idx="3">
                  <c:v>7.8250000000000002</c:v>
                </c:pt>
                <c:pt idx="4">
                  <c:v>7.95</c:v>
                </c:pt>
                <c:pt idx="5">
                  <c:v>8</c:v>
                </c:pt>
                <c:pt idx="6">
                  <c:v>7.875</c:v>
                </c:pt>
                <c:pt idx="7">
                  <c:v>7.9</c:v>
                </c:pt>
                <c:pt idx="8">
                  <c:v>7.7750000000000004</c:v>
                </c:pt>
                <c:pt idx="9">
                  <c:v>8.0500000000000007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'Analyses ED'!$AM$5</c:f>
              <c:strCache>
                <c:ptCount val="1"/>
                <c:pt idx="0">
                  <c:v>Les pieux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ED'!$D$19:$D$30</c:f>
              <c:numCache>
                <c:formatCode>0.0</c:formatCode>
                <c:ptCount val="12"/>
                <c:pt idx="0">
                  <c:v>7.9</c:v>
                </c:pt>
                <c:pt idx="1">
                  <c:v>7.25</c:v>
                </c:pt>
                <c:pt idx="2">
                  <c:v>7.85</c:v>
                </c:pt>
                <c:pt idx="3">
                  <c:v>7.7</c:v>
                </c:pt>
                <c:pt idx="4">
                  <c:v>7.7</c:v>
                </c:pt>
                <c:pt idx="5">
                  <c:v>7.8</c:v>
                </c:pt>
                <c:pt idx="6">
                  <c:v>7.6</c:v>
                </c:pt>
                <c:pt idx="7">
                  <c:v>7.75</c:v>
                </c:pt>
                <c:pt idx="8">
                  <c:v>7.8</c:v>
                </c:pt>
                <c:pt idx="9">
                  <c:v>7.7</c:v>
                </c:pt>
                <c:pt idx="10">
                  <c:v>7.8</c:v>
                </c:pt>
                <c:pt idx="11">
                  <c:v>8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'Analyses ED'!$K$3:$S$3</c:f>
              <c:strCache>
                <c:ptCount val="1"/>
                <c:pt idx="0">
                  <c:v>Grosville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ED'!$M$6:$M$17</c:f>
              <c:numCache>
                <c:formatCode>0.0</c:formatCode>
                <c:ptCount val="12"/>
                <c:pt idx="0">
                  <c:v>7.55</c:v>
                </c:pt>
                <c:pt idx="1">
                  <c:v>7.85</c:v>
                </c:pt>
                <c:pt idx="2">
                  <c:v>7.75</c:v>
                </c:pt>
                <c:pt idx="3">
                  <c:v>7.9249999999999998</c:v>
                </c:pt>
                <c:pt idx="4">
                  <c:v>7.6</c:v>
                </c:pt>
                <c:pt idx="5">
                  <c:v>7.9</c:v>
                </c:pt>
                <c:pt idx="6">
                  <c:v>7.6749999999999998</c:v>
                </c:pt>
                <c:pt idx="7">
                  <c:v>7.95</c:v>
                </c:pt>
                <c:pt idx="8">
                  <c:v>7.85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'Analyses ED'!$AM$10</c:f>
              <c:strCache>
                <c:ptCount val="1"/>
                <c:pt idx="0">
                  <c:v>Grosville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ED'!$M$19:$M$30</c:f>
              <c:numCache>
                <c:formatCode>0.0</c:formatCode>
                <c:ptCount val="12"/>
                <c:pt idx="0">
                  <c:v>7.7</c:v>
                </c:pt>
                <c:pt idx="1">
                  <c:v>7.5250000000000004</c:v>
                </c:pt>
                <c:pt idx="2">
                  <c:v>7.75</c:v>
                </c:pt>
                <c:pt idx="3">
                  <c:v>7.625</c:v>
                </c:pt>
                <c:pt idx="4">
                  <c:v>7.8</c:v>
                </c:pt>
                <c:pt idx="5">
                  <c:v>7.75</c:v>
                </c:pt>
                <c:pt idx="6">
                  <c:v>7.7</c:v>
                </c:pt>
                <c:pt idx="7">
                  <c:v>7.7</c:v>
                </c:pt>
                <c:pt idx="8">
                  <c:v>7.6</c:v>
                </c:pt>
                <c:pt idx="9">
                  <c:v>#N/A</c:v>
                </c:pt>
                <c:pt idx="10">
                  <c:v>7.6</c:v>
                </c:pt>
                <c:pt idx="11">
                  <c:v>#N/A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'Analyses ED'!$T$3:$AB$3</c:f>
              <c:strCache>
                <c:ptCount val="1"/>
                <c:pt idx="0">
                  <c:v>Teurthéville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ED'!$V$6:$V$17</c:f>
              <c:numCache>
                <c:formatCode>0.0</c:formatCode>
                <c:ptCount val="12"/>
                <c:pt idx="0">
                  <c:v>7.9</c:v>
                </c:pt>
                <c:pt idx="1">
                  <c:v>#N/A</c:v>
                </c:pt>
                <c:pt idx="2">
                  <c:v>7.7</c:v>
                </c:pt>
                <c:pt idx="3">
                  <c:v>8</c:v>
                </c:pt>
                <c:pt idx="4">
                  <c:v>7.9</c:v>
                </c:pt>
                <c:pt idx="5">
                  <c:v>8.1</c:v>
                </c:pt>
                <c:pt idx="6">
                  <c:v>8.1</c:v>
                </c:pt>
                <c:pt idx="7">
                  <c:v>7.8</c:v>
                </c:pt>
                <c:pt idx="8">
                  <c:v>7.48</c:v>
                </c:pt>
                <c:pt idx="9">
                  <c:v>#N/A</c:v>
                </c:pt>
                <c:pt idx="10">
                  <c:v>7.9</c:v>
                </c:pt>
                <c:pt idx="11">
                  <c:v>#N/A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'Analyses ED'!$AM$13</c:f>
              <c:strCache>
                <c:ptCount val="1"/>
                <c:pt idx="0">
                  <c:v>Teurthéville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ED'!$V$19:$V$30</c:f>
              <c:numCache>
                <c:formatCode>0.0</c:formatCode>
                <c:ptCount val="12"/>
                <c:pt idx="0">
                  <c:v>7.4</c:v>
                </c:pt>
                <c:pt idx="1">
                  <c:v>7.45</c:v>
                </c:pt>
                <c:pt idx="2">
                  <c:v>7.9</c:v>
                </c:pt>
                <c:pt idx="3">
                  <c:v>7.5</c:v>
                </c:pt>
                <c:pt idx="4">
                  <c:v>7.6</c:v>
                </c:pt>
                <c:pt idx="5">
                  <c:v>8</c:v>
                </c:pt>
                <c:pt idx="6">
                  <c:v>7.5</c:v>
                </c:pt>
                <c:pt idx="7">
                  <c:v>7.7</c:v>
                </c:pt>
                <c:pt idx="8">
                  <c:v>7.8</c:v>
                </c:pt>
                <c:pt idx="9">
                  <c:v>7.6</c:v>
                </c:pt>
                <c:pt idx="10">
                  <c:v>7.35</c:v>
                </c:pt>
                <c:pt idx="11">
                  <c:v>#N/A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'Analyses ED'!$AC$3:$AK$3</c:f>
              <c:strCache>
                <c:ptCount val="1"/>
                <c:pt idx="0">
                  <c:v>GLOBAL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ED'!$AE$6:$AE$17</c:f>
              <c:numCache>
                <c:formatCode>0.0</c:formatCode>
                <c:ptCount val="12"/>
                <c:pt idx="0">
                  <c:v>7.8166666666666673</c:v>
                </c:pt>
                <c:pt idx="1">
                  <c:v>#N/A</c:v>
                </c:pt>
                <c:pt idx="2">
                  <c:v>7.7666666666666666</c:v>
                </c:pt>
                <c:pt idx="3">
                  <c:v>7.916666666666667</c:v>
                </c:pt>
                <c:pt idx="4">
                  <c:v>7.8166666666666673</c:v>
                </c:pt>
                <c:pt idx="5">
                  <c:v>8</c:v>
                </c:pt>
                <c:pt idx="6">
                  <c:v>7.8833333333333329</c:v>
                </c:pt>
                <c:pt idx="7">
                  <c:v>7.8833333333333337</c:v>
                </c:pt>
                <c:pt idx="8">
                  <c:v>7.7016666666666671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'Analyses ED'!$AM$17</c:f>
              <c:strCache>
                <c:ptCount val="1"/>
                <c:pt idx="0">
                  <c:v>GLOBAL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ED'!$AE$19:$AE$30</c:f>
              <c:numCache>
                <c:formatCode>0.0</c:formatCode>
                <c:ptCount val="12"/>
                <c:pt idx="0">
                  <c:v>7.666666666666667</c:v>
                </c:pt>
                <c:pt idx="1">
                  <c:v>7.4083333333333341</c:v>
                </c:pt>
                <c:pt idx="2">
                  <c:v>7.833333333333333</c:v>
                </c:pt>
                <c:pt idx="3">
                  <c:v>7.6083333333333334</c:v>
                </c:pt>
                <c:pt idx="4">
                  <c:v>7.7</c:v>
                </c:pt>
                <c:pt idx="5">
                  <c:v>7.8500000000000005</c:v>
                </c:pt>
                <c:pt idx="6">
                  <c:v>7.6000000000000005</c:v>
                </c:pt>
                <c:pt idx="7">
                  <c:v>7.7166666666666659</c:v>
                </c:pt>
                <c:pt idx="8">
                  <c:v>7.7333333333333334</c:v>
                </c:pt>
                <c:pt idx="9">
                  <c:v>#N/A</c:v>
                </c:pt>
                <c:pt idx="10">
                  <c:v>7.583333333333333</c:v>
                </c:pt>
                <c:pt idx="11">
                  <c:v>#N/A</c:v>
                </c:pt>
              </c:numCache>
            </c:numRef>
          </c:yVal>
          <c:smooth val="1"/>
        </c:ser>
        <c:axId val="55106560"/>
        <c:axId val="55120640"/>
      </c:scatterChart>
      <c:valAx>
        <c:axId val="55106560"/>
        <c:scaling>
          <c:orientation val="minMax"/>
        </c:scaling>
        <c:axPos val="b"/>
        <c:majorGridlines/>
        <c:numFmt formatCode="mmmm\ yyyy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5120640"/>
        <c:crosses val="autoZero"/>
        <c:crossBetween val="midCat"/>
      </c:valAx>
      <c:valAx>
        <c:axId val="55120640"/>
        <c:scaling>
          <c:orientation val="minMax"/>
          <c:max val="8.5"/>
          <c:min val="7"/>
        </c:scaling>
        <c:axPos val="l"/>
        <c:majorGridlines/>
        <c:numFmt formatCode="0.0" sourceLinked="1"/>
        <c:majorTickMark val="none"/>
        <c:tickLblPos val="nextTo"/>
        <c:crossAx val="55106560"/>
        <c:crosses val="autoZero"/>
        <c:crossBetween val="midCat"/>
      </c:valAx>
    </c:plotArea>
    <c:legend>
      <c:legendPos val="b"/>
      <c:layout>
        <c:manualLayout>
          <c:xMode val="edge"/>
          <c:yMode val="edge"/>
          <c:x val="0.50521146735111155"/>
          <c:y val="1.2300089386874367E-3"/>
          <c:w val="0.49364887400124735"/>
          <c:h val="0.16738392516553652"/>
        </c:manualLayout>
      </c:layout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Conductivité par secteur</a:t>
            </a:r>
          </a:p>
        </c:rich>
      </c:tx>
      <c:layout>
        <c:manualLayout>
          <c:xMode val="edge"/>
          <c:yMode val="edge"/>
          <c:x val="5.1227073318344168E-2"/>
          <c:y val="1.9551118201728064E-2"/>
        </c:manualLayout>
      </c:layout>
    </c:title>
    <c:plotArea>
      <c:layout>
        <c:manualLayout>
          <c:layoutTarget val="inner"/>
          <c:xMode val="edge"/>
          <c:yMode val="edge"/>
          <c:x val="7.0108929659738431E-2"/>
          <c:y val="0.17947215325274921"/>
          <c:w val="0.87076854158131334"/>
          <c:h val="0.71550654696126126"/>
        </c:manualLayout>
      </c:layout>
      <c:scatterChart>
        <c:scatterStyle val="smoothMarker"/>
        <c:ser>
          <c:idx val="0"/>
          <c:order val="0"/>
          <c:tx>
            <c:strRef>
              <c:f>'Analyses ED'!$B$3:$J$3</c:f>
              <c:strCache>
                <c:ptCount val="1"/>
                <c:pt idx="0">
                  <c:v>Les Pieux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ED'!$G$6:$G$17</c:f>
              <c:numCache>
                <c:formatCode>0</c:formatCode>
                <c:ptCount val="12"/>
                <c:pt idx="0">
                  <c:v>405</c:v>
                </c:pt>
                <c:pt idx="1">
                  <c:v>395</c:v>
                </c:pt>
                <c:pt idx="2">
                  <c:v>410</c:v>
                </c:pt>
                <c:pt idx="3">
                  <c:v>410</c:v>
                </c:pt>
                <c:pt idx="4">
                  <c:v>420</c:v>
                </c:pt>
                <c:pt idx="5">
                  <c:v>435</c:v>
                </c:pt>
                <c:pt idx="6">
                  <c:v>415</c:v>
                </c:pt>
                <c:pt idx="7">
                  <c:v>415</c:v>
                </c:pt>
                <c:pt idx="8">
                  <c:v>410</c:v>
                </c:pt>
                <c:pt idx="9">
                  <c:v>405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'Analyses ED'!$AM$5</c:f>
              <c:strCache>
                <c:ptCount val="1"/>
                <c:pt idx="0">
                  <c:v>Les pieux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ED'!$G$19:$G$30</c:f>
              <c:numCache>
                <c:formatCode>0</c:formatCode>
                <c:ptCount val="12"/>
                <c:pt idx="0">
                  <c:v>405</c:v>
                </c:pt>
                <c:pt idx="1">
                  <c:v>420</c:v>
                </c:pt>
                <c:pt idx="2">
                  <c:v>415</c:v>
                </c:pt>
                <c:pt idx="3">
                  <c:v>422.5</c:v>
                </c:pt>
                <c:pt idx="4">
                  <c:v>450</c:v>
                </c:pt>
                <c:pt idx="5">
                  <c:v>420</c:v>
                </c:pt>
                <c:pt idx="6">
                  <c:v>415</c:v>
                </c:pt>
                <c:pt idx="7">
                  <c:v>420</c:v>
                </c:pt>
                <c:pt idx="8">
                  <c:v>417.5</c:v>
                </c:pt>
                <c:pt idx="9">
                  <c:v>415</c:v>
                </c:pt>
                <c:pt idx="10">
                  <c:v>397.5</c:v>
                </c:pt>
                <c:pt idx="11">
                  <c:v>395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'Analyses ED'!$K$3:$S$3</c:f>
              <c:strCache>
                <c:ptCount val="1"/>
                <c:pt idx="0">
                  <c:v>Grosville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ED'!$P$6:$P$17</c:f>
              <c:numCache>
                <c:formatCode>0</c:formatCode>
                <c:ptCount val="12"/>
                <c:pt idx="0">
                  <c:v>455</c:v>
                </c:pt>
                <c:pt idx="1">
                  <c:v>480</c:v>
                </c:pt>
                <c:pt idx="2">
                  <c:v>517.5</c:v>
                </c:pt>
                <c:pt idx="3">
                  <c:v>520</c:v>
                </c:pt>
                <c:pt idx="4">
                  <c:v>520</c:v>
                </c:pt>
                <c:pt idx="5">
                  <c:v>540</c:v>
                </c:pt>
                <c:pt idx="6">
                  <c:v>497.5</c:v>
                </c:pt>
                <c:pt idx="7">
                  <c:v>535</c:v>
                </c:pt>
                <c:pt idx="8">
                  <c:v>505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'Analyses ED'!$AM$10</c:f>
              <c:strCache>
                <c:ptCount val="1"/>
                <c:pt idx="0">
                  <c:v>Grosville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ED'!$P$19:$P$30</c:f>
              <c:numCache>
                <c:formatCode>0</c:formatCode>
                <c:ptCount val="12"/>
                <c:pt idx="0">
                  <c:v>495</c:v>
                </c:pt>
                <c:pt idx="1">
                  <c:v>495</c:v>
                </c:pt>
                <c:pt idx="2">
                  <c:v>490</c:v>
                </c:pt>
                <c:pt idx="3">
                  <c:v>480</c:v>
                </c:pt>
                <c:pt idx="4">
                  <c:v>515</c:v>
                </c:pt>
                <c:pt idx="5">
                  <c:v>505</c:v>
                </c:pt>
                <c:pt idx="6">
                  <c:v>520</c:v>
                </c:pt>
                <c:pt idx="7">
                  <c:v>500</c:v>
                </c:pt>
                <c:pt idx="8">
                  <c:v>505</c:v>
                </c:pt>
                <c:pt idx="9">
                  <c:v>#N/A</c:v>
                </c:pt>
                <c:pt idx="10">
                  <c:v>515</c:v>
                </c:pt>
                <c:pt idx="11">
                  <c:v>#N/A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'Analyses ED'!$T$3:$AB$3</c:f>
              <c:strCache>
                <c:ptCount val="1"/>
                <c:pt idx="0">
                  <c:v>Teurthéville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ED'!$Y$6:$Y$17</c:f>
              <c:numCache>
                <c:formatCode>0</c:formatCode>
                <c:ptCount val="12"/>
                <c:pt idx="0">
                  <c:v>387.5</c:v>
                </c:pt>
                <c:pt idx="1">
                  <c:v>#N/A</c:v>
                </c:pt>
                <c:pt idx="2">
                  <c:v>395</c:v>
                </c:pt>
                <c:pt idx="3">
                  <c:v>400</c:v>
                </c:pt>
                <c:pt idx="4">
                  <c:v>400</c:v>
                </c:pt>
                <c:pt idx="5">
                  <c:v>430</c:v>
                </c:pt>
                <c:pt idx="6">
                  <c:v>425</c:v>
                </c:pt>
                <c:pt idx="7">
                  <c:v>400</c:v>
                </c:pt>
                <c:pt idx="8">
                  <c:v>390</c:v>
                </c:pt>
                <c:pt idx="9">
                  <c:v>#N/A</c:v>
                </c:pt>
                <c:pt idx="10">
                  <c:v>390</c:v>
                </c:pt>
                <c:pt idx="11">
                  <c:v>#N/A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'Analyses ED'!$AM$13</c:f>
              <c:strCache>
                <c:ptCount val="1"/>
                <c:pt idx="0">
                  <c:v>Teurthéville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ED'!$Y$19:$Y$30</c:f>
              <c:numCache>
                <c:formatCode>0</c:formatCode>
                <c:ptCount val="12"/>
                <c:pt idx="0">
                  <c:v>355</c:v>
                </c:pt>
                <c:pt idx="1">
                  <c:v>390</c:v>
                </c:pt>
                <c:pt idx="2">
                  <c:v>410</c:v>
                </c:pt>
                <c:pt idx="3">
                  <c:v>380</c:v>
                </c:pt>
                <c:pt idx="4">
                  <c:v>400</c:v>
                </c:pt>
                <c:pt idx="5">
                  <c:v>425</c:v>
                </c:pt>
                <c:pt idx="6">
                  <c:v>400</c:v>
                </c:pt>
                <c:pt idx="7">
                  <c:v>410</c:v>
                </c:pt>
                <c:pt idx="8">
                  <c:v>405</c:v>
                </c:pt>
                <c:pt idx="9">
                  <c:v>390</c:v>
                </c:pt>
                <c:pt idx="10">
                  <c:v>382.5</c:v>
                </c:pt>
                <c:pt idx="11">
                  <c:v>#N/A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'Analyses ED'!$AC$3:$AK$3</c:f>
              <c:strCache>
                <c:ptCount val="1"/>
                <c:pt idx="0">
                  <c:v>GLOBAL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ED'!$AH$6:$AH$17</c:f>
              <c:numCache>
                <c:formatCode>0</c:formatCode>
                <c:ptCount val="12"/>
                <c:pt idx="0">
                  <c:v>415.83333333333331</c:v>
                </c:pt>
                <c:pt idx="1">
                  <c:v>#N/A</c:v>
                </c:pt>
                <c:pt idx="2">
                  <c:v>440.83333333333331</c:v>
                </c:pt>
                <c:pt idx="3">
                  <c:v>443.33333333333331</c:v>
                </c:pt>
                <c:pt idx="4">
                  <c:v>446.66666666666669</c:v>
                </c:pt>
                <c:pt idx="5">
                  <c:v>468.33333333333331</c:v>
                </c:pt>
                <c:pt idx="6">
                  <c:v>445.83333333333331</c:v>
                </c:pt>
                <c:pt idx="7">
                  <c:v>450</c:v>
                </c:pt>
                <c:pt idx="8">
                  <c:v>435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'Analyses ED'!$AM$17</c:f>
              <c:strCache>
                <c:ptCount val="1"/>
                <c:pt idx="0">
                  <c:v>GLOBAL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ED'!$AH$19:$AH$30</c:f>
              <c:numCache>
                <c:formatCode>0</c:formatCode>
                <c:ptCount val="12"/>
                <c:pt idx="0">
                  <c:v>418.33333333333331</c:v>
                </c:pt>
                <c:pt idx="1">
                  <c:v>435</c:v>
                </c:pt>
                <c:pt idx="2">
                  <c:v>438.33333333333331</c:v>
                </c:pt>
                <c:pt idx="3">
                  <c:v>427.5</c:v>
                </c:pt>
                <c:pt idx="4">
                  <c:v>455</c:v>
                </c:pt>
                <c:pt idx="5">
                  <c:v>450</c:v>
                </c:pt>
                <c:pt idx="6">
                  <c:v>445</c:v>
                </c:pt>
                <c:pt idx="7">
                  <c:v>443.33333333333331</c:v>
                </c:pt>
                <c:pt idx="8">
                  <c:v>442.5</c:v>
                </c:pt>
                <c:pt idx="9">
                  <c:v>#N/A</c:v>
                </c:pt>
                <c:pt idx="10">
                  <c:v>431.66666666666669</c:v>
                </c:pt>
                <c:pt idx="11">
                  <c:v>#N/A</c:v>
                </c:pt>
              </c:numCache>
            </c:numRef>
          </c:yVal>
          <c:smooth val="1"/>
        </c:ser>
        <c:axId val="55174656"/>
        <c:axId val="55176192"/>
      </c:scatterChart>
      <c:valAx>
        <c:axId val="55174656"/>
        <c:scaling>
          <c:orientation val="minMax"/>
        </c:scaling>
        <c:axPos val="b"/>
        <c:majorGridlines/>
        <c:numFmt formatCode="mmmm\ yyyy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5176192"/>
        <c:crosses val="autoZero"/>
        <c:crossBetween val="midCat"/>
      </c:valAx>
      <c:valAx>
        <c:axId val="55176192"/>
        <c:scaling>
          <c:orientation val="minMax"/>
          <c:max val="600"/>
          <c:min val="300"/>
        </c:scaling>
        <c:axPos val="l"/>
        <c:majorGridlines/>
        <c:numFmt formatCode="0" sourceLinked="1"/>
        <c:majorTickMark val="none"/>
        <c:tickLblPos val="nextTo"/>
        <c:crossAx val="55174656"/>
        <c:crosses val="autoZero"/>
        <c:crossBetween val="midCat"/>
      </c:valAx>
    </c:plotArea>
    <c:legend>
      <c:legendPos val="b"/>
      <c:layout>
        <c:manualLayout>
          <c:xMode val="edge"/>
          <c:yMode val="edge"/>
          <c:x val="0.43360207214241597"/>
          <c:y val="4.4853870390384229E-4"/>
          <c:w val="0.56489035644737984"/>
          <c:h val="0.17188364526329633"/>
        </c:manualLayout>
      </c:layout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Nitrates</a:t>
            </a:r>
            <a:r>
              <a:rPr lang="fr-FR" baseline="0"/>
              <a:t> par secteur</a:t>
            </a:r>
            <a:endParaRPr lang="fr-FR"/>
          </a:p>
        </c:rich>
      </c:tx>
      <c:layout>
        <c:manualLayout>
          <c:xMode val="edge"/>
          <c:yMode val="edge"/>
          <c:x val="5.0475421553562709E-2"/>
          <c:y val="2.4768737241178188E-2"/>
        </c:manualLayout>
      </c:layout>
    </c:title>
    <c:plotArea>
      <c:layout>
        <c:manualLayout>
          <c:layoutTarget val="inner"/>
          <c:xMode val="edge"/>
          <c:yMode val="edge"/>
          <c:x val="6.488804747098309E-2"/>
          <c:y val="0.19842482697363989"/>
          <c:w val="0.88039216902448658"/>
          <c:h val="0.70168753811790008"/>
        </c:manualLayout>
      </c:layout>
      <c:scatterChart>
        <c:scatterStyle val="smoothMarker"/>
        <c:ser>
          <c:idx val="0"/>
          <c:order val="0"/>
          <c:tx>
            <c:strRef>
              <c:f>'Analyses ED'!$B$3:$J$3</c:f>
              <c:strCache>
                <c:ptCount val="1"/>
                <c:pt idx="0">
                  <c:v>Les Pieux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ED'!$F$6:$F$17</c:f>
              <c:numCache>
                <c:formatCode>0.0</c:formatCode>
                <c:ptCount val="12"/>
                <c:pt idx="0">
                  <c:v>27.9</c:v>
                </c:pt>
                <c:pt idx="1">
                  <c:v>19</c:v>
                </c:pt>
                <c:pt idx="2">
                  <c:v>19.55</c:v>
                </c:pt>
                <c:pt idx="3">
                  <c:v>17.8</c:v>
                </c:pt>
                <c:pt idx="4">
                  <c:v>19.100000000000001</c:v>
                </c:pt>
                <c:pt idx="5">
                  <c:v>18.7</c:v>
                </c:pt>
                <c:pt idx="6">
                  <c:v>18.55</c:v>
                </c:pt>
                <c:pt idx="7">
                  <c:v>18.399999999999999</c:v>
                </c:pt>
                <c:pt idx="8">
                  <c:v>17.45</c:v>
                </c:pt>
                <c:pt idx="9">
                  <c:v>17.7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'Analyses ED'!$AM$5</c:f>
              <c:strCache>
                <c:ptCount val="1"/>
                <c:pt idx="0">
                  <c:v>Les pieux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ED'!$F$19:$F$30</c:f>
              <c:numCache>
                <c:formatCode>0.0</c:formatCode>
                <c:ptCount val="12"/>
                <c:pt idx="0">
                  <c:v>17.8</c:v>
                </c:pt>
                <c:pt idx="1">
                  <c:v>18.100000000000001</c:v>
                </c:pt>
                <c:pt idx="2">
                  <c:v>18.899999999999999</c:v>
                </c:pt>
                <c:pt idx="3">
                  <c:v>19.5</c:v>
                </c:pt>
                <c:pt idx="4">
                  <c:v>21</c:v>
                </c:pt>
                <c:pt idx="5">
                  <c:v>15</c:v>
                </c:pt>
                <c:pt idx="6">
                  <c:v>17.8</c:v>
                </c:pt>
                <c:pt idx="7">
                  <c:v>18.3</c:v>
                </c:pt>
                <c:pt idx="8">
                  <c:v>18.05</c:v>
                </c:pt>
                <c:pt idx="9">
                  <c:v>17.600000000000001</c:v>
                </c:pt>
                <c:pt idx="10">
                  <c:v>18.2</c:v>
                </c:pt>
                <c:pt idx="11">
                  <c:v>18.100000000000001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'Analyses ED'!$K$3:$S$3</c:f>
              <c:strCache>
                <c:ptCount val="1"/>
                <c:pt idx="0">
                  <c:v>Grosville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ED'!$O$6:$O$17</c:f>
              <c:numCache>
                <c:formatCode>0.0</c:formatCode>
                <c:ptCount val="12"/>
                <c:pt idx="0">
                  <c:v>16.600000000000001</c:v>
                </c:pt>
                <c:pt idx="1">
                  <c:v>28.9</c:v>
                </c:pt>
                <c:pt idx="2">
                  <c:v>28.5</c:v>
                </c:pt>
                <c:pt idx="3">
                  <c:v>27.65</c:v>
                </c:pt>
                <c:pt idx="4">
                  <c:v>26.8</c:v>
                </c:pt>
                <c:pt idx="5">
                  <c:v>26.4</c:v>
                </c:pt>
                <c:pt idx="6">
                  <c:v>28.35</c:v>
                </c:pt>
                <c:pt idx="7">
                  <c:v>27.1</c:v>
                </c:pt>
                <c:pt idx="8">
                  <c:v>23.15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'Analyses ED'!$AM$10</c:f>
              <c:strCache>
                <c:ptCount val="1"/>
                <c:pt idx="0">
                  <c:v>Grosville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ED'!$O$19:$O$30</c:f>
              <c:numCache>
                <c:formatCode>0.0</c:formatCode>
                <c:ptCount val="12"/>
                <c:pt idx="0">
                  <c:v>27</c:v>
                </c:pt>
                <c:pt idx="1">
                  <c:v>26.15</c:v>
                </c:pt>
                <c:pt idx="2">
                  <c:v>27.6</c:v>
                </c:pt>
                <c:pt idx="3">
                  <c:v>29.05</c:v>
                </c:pt>
                <c:pt idx="4">
                  <c:v>27.6</c:v>
                </c:pt>
                <c:pt idx="5">
                  <c:v>27.6</c:v>
                </c:pt>
                <c:pt idx="6">
                  <c:v>27.6</c:v>
                </c:pt>
                <c:pt idx="7">
                  <c:v>28.7</c:v>
                </c:pt>
                <c:pt idx="8">
                  <c:v>28.3</c:v>
                </c:pt>
                <c:pt idx="9">
                  <c:v>#N/A</c:v>
                </c:pt>
                <c:pt idx="10">
                  <c:v>28.85</c:v>
                </c:pt>
                <c:pt idx="11">
                  <c:v>#N/A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'Analyses ED'!$T$3:$AB$3</c:f>
              <c:strCache>
                <c:ptCount val="1"/>
                <c:pt idx="0">
                  <c:v>Teurthéville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ED'!$X$6:$X$17</c:f>
              <c:numCache>
                <c:formatCode>0.0</c:formatCode>
                <c:ptCount val="12"/>
                <c:pt idx="0">
                  <c:v>15.35</c:v>
                </c:pt>
                <c:pt idx="1">
                  <c:v>#N/A</c:v>
                </c:pt>
                <c:pt idx="2">
                  <c:v>12.7</c:v>
                </c:pt>
                <c:pt idx="3">
                  <c:v>11.2</c:v>
                </c:pt>
                <c:pt idx="4">
                  <c:v>12.7</c:v>
                </c:pt>
                <c:pt idx="5">
                  <c:v>12</c:v>
                </c:pt>
                <c:pt idx="6">
                  <c:v>13</c:v>
                </c:pt>
                <c:pt idx="7">
                  <c:v>12.9</c:v>
                </c:pt>
                <c:pt idx="8">
                  <c:v>12.87</c:v>
                </c:pt>
                <c:pt idx="9">
                  <c:v>#N/A</c:v>
                </c:pt>
                <c:pt idx="10">
                  <c:v>12.9</c:v>
                </c:pt>
                <c:pt idx="11">
                  <c:v>#N/A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'Analyses ED'!$AM$13</c:f>
              <c:strCache>
                <c:ptCount val="1"/>
                <c:pt idx="0">
                  <c:v>Teurthéville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ED'!$X$19:$X$30</c:f>
              <c:numCache>
                <c:formatCode>0.0</c:formatCode>
                <c:ptCount val="12"/>
                <c:pt idx="0">
                  <c:v>11.5</c:v>
                </c:pt>
                <c:pt idx="1">
                  <c:v>11.9</c:v>
                </c:pt>
                <c:pt idx="2">
                  <c:v>12.5</c:v>
                </c:pt>
                <c:pt idx="3">
                  <c:v>13.1</c:v>
                </c:pt>
                <c:pt idx="4">
                  <c:v>12.5</c:v>
                </c:pt>
                <c:pt idx="5">
                  <c:v>12</c:v>
                </c:pt>
                <c:pt idx="6">
                  <c:v>13.2</c:v>
                </c:pt>
                <c:pt idx="7">
                  <c:v>13.7</c:v>
                </c:pt>
                <c:pt idx="8">
                  <c:v>13.6</c:v>
                </c:pt>
                <c:pt idx="9">
                  <c:v>13.5</c:v>
                </c:pt>
                <c:pt idx="10">
                  <c:v>13.4</c:v>
                </c:pt>
                <c:pt idx="11">
                  <c:v>#N/A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'Analyses ED'!$AC$3:$AK$3</c:f>
              <c:strCache>
                <c:ptCount val="1"/>
                <c:pt idx="0">
                  <c:v>GLOBAL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ED'!$AG$6:$AG$17</c:f>
              <c:numCache>
                <c:formatCode>0.0</c:formatCode>
                <c:ptCount val="12"/>
                <c:pt idx="0">
                  <c:v>19.95</c:v>
                </c:pt>
                <c:pt idx="1">
                  <c:v>#N/A</c:v>
                </c:pt>
                <c:pt idx="2">
                  <c:v>20.25</c:v>
                </c:pt>
                <c:pt idx="3">
                  <c:v>18.883333333333336</c:v>
                </c:pt>
                <c:pt idx="4">
                  <c:v>19.533333333333335</c:v>
                </c:pt>
                <c:pt idx="5">
                  <c:v>19.033333333333331</c:v>
                </c:pt>
                <c:pt idx="6">
                  <c:v>19.966666666666669</c:v>
                </c:pt>
                <c:pt idx="7">
                  <c:v>19.466666666666665</c:v>
                </c:pt>
                <c:pt idx="8">
                  <c:v>17.823333333333331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'Analyses ED'!$AM$17</c:f>
              <c:strCache>
                <c:ptCount val="1"/>
                <c:pt idx="0">
                  <c:v>GLOBAL Année précédente</c:v>
                </c:pt>
              </c:strCache>
            </c:strRef>
          </c:tx>
          <c:xVal>
            <c:numRef>
              <c:f>'Analyses ED'!$A$6:$A$17</c:f>
              <c:numCache>
                <c:formatCode>mmmm\ yyyy</c:formatCode>
                <c:ptCount val="12"/>
                <c:pt idx="0">
                  <c:v>40198</c:v>
                </c:pt>
                <c:pt idx="1">
                  <c:v>40229</c:v>
                </c:pt>
                <c:pt idx="2">
                  <c:v>40257</c:v>
                </c:pt>
                <c:pt idx="3">
                  <c:v>40288</c:v>
                </c:pt>
                <c:pt idx="4">
                  <c:v>40318</c:v>
                </c:pt>
                <c:pt idx="5">
                  <c:v>40349</c:v>
                </c:pt>
                <c:pt idx="6">
                  <c:v>40379</c:v>
                </c:pt>
                <c:pt idx="7">
                  <c:v>40410</c:v>
                </c:pt>
                <c:pt idx="8">
                  <c:v>40441</c:v>
                </c:pt>
                <c:pt idx="9">
                  <c:v>40471</c:v>
                </c:pt>
                <c:pt idx="10">
                  <c:v>40502</c:v>
                </c:pt>
                <c:pt idx="11">
                  <c:v>40532</c:v>
                </c:pt>
              </c:numCache>
            </c:numRef>
          </c:xVal>
          <c:yVal>
            <c:numRef>
              <c:f>'Analyses ED'!$AG$19:$AG$30</c:f>
              <c:numCache>
                <c:formatCode>0.0</c:formatCode>
                <c:ptCount val="12"/>
                <c:pt idx="0">
                  <c:v>18.766666666666666</c:v>
                </c:pt>
                <c:pt idx="1">
                  <c:v>18.716666666666665</c:v>
                </c:pt>
                <c:pt idx="2">
                  <c:v>19.666666666666668</c:v>
                </c:pt>
                <c:pt idx="3">
                  <c:v>20.55</c:v>
                </c:pt>
                <c:pt idx="4">
                  <c:v>20.366666666666667</c:v>
                </c:pt>
                <c:pt idx="5">
                  <c:v>18.2</c:v>
                </c:pt>
                <c:pt idx="6">
                  <c:v>19.533333333333335</c:v>
                </c:pt>
                <c:pt idx="7">
                  <c:v>20.233333333333334</c:v>
                </c:pt>
                <c:pt idx="8">
                  <c:v>19.983333333333334</c:v>
                </c:pt>
                <c:pt idx="9">
                  <c:v>#N/A</c:v>
                </c:pt>
                <c:pt idx="10">
                  <c:v>20.149999999999999</c:v>
                </c:pt>
                <c:pt idx="11">
                  <c:v>#N/A</c:v>
                </c:pt>
              </c:numCache>
            </c:numRef>
          </c:yVal>
          <c:smooth val="1"/>
        </c:ser>
        <c:axId val="55243136"/>
        <c:axId val="55244672"/>
      </c:scatterChart>
      <c:valAx>
        <c:axId val="55243136"/>
        <c:scaling>
          <c:orientation val="minMax"/>
        </c:scaling>
        <c:axPos val="b"/>
        <c:majorGridlines/>
        <c:numFmt formatCode="mmmm\ yyyy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5244672"/>
        <c:crosses val="autoZero"/>
        <c:crossBetween val="midCat"/>
      </c:valAx>
      <c:valAx>
        <c:axId val="55244672"/>
        <c:scaling>
          <c:orientation val="minMax"/>
          <c:max val="30"/>
          <c:min val="10"/>
        </c:scaling>
        <c:axPos val="l"/>
        <c:majorGridlines/>
        <c:numFmt formatCode="0.0" sourceLinked="1"/>
        <c:majorTickMark val="none"/>
        <c:tickLblPos val="nextTo"/>
        <c:crossAx val="55243136"/>
        <c:crosses val="autoZero"/>
        <c:crossBetween val="midCat"/>
      </c:valAx>
    </c:plotArea>
    <c:legend>
      <c:legendPos val="b"/>
      <c:layout>
        <c:manualLayout>
          <c:xMode val="edge"/>
          <c:yMode val="edge"/>
          <c:x val="0.51125900331918284"/>
          <c:y val="3.0602508019830863E-3"/>
          <c:w val="0.48646786296145195"/>
          <c:h val="0.18664613589967927"/>
        </c:manualLayout>
      </c:layout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800"/>
              <a:t>Evolution générale sur les trois dernières années</a:t>
            </a:r>
            <a:endParaRPr lang="fr-FR"/>
          </a:p>
        </c:rich>
      </c:tx>
      <c:layout/>
    </c:title>
    <c:plotArea>
      <c:layout/>
      <c:scatterChart>
        <c:scatterStyle val="smoothMarker"/>
        <c:ser>
          <c:idx val="0"/>
          <c:order val="0"/>
          <c:tx>
            <c:strRef>
              <c:f>'Analyses C-F'!$M$3</c:f>
              <c:strCache>
                <c:ptCount val="1"/>
                <c:pt idx="0">
                  <c:v>TAC Captages 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diamond"/>
            <c:size val="7"/>
            <c:spPr>
              <a:solidFill>
                <a:srgbClr val="00B0F0"/>
              </a:solidFill>
            </c:spPr>
          </c:marker>
          <c:xVal>
            <c:numRef>
              <c:f>'Analyses C-F'!$A$18:$A$20</c:f>
              <c:numCache>
                <c:formatCode>General</c:formatCode>
                <c:ptCount val="3"/>
                <c:pt idx="0">
                  <c:v>2010</c:v>
                </c:pt>
                <c:pt idx="1">
                  <c:v>2009</c:v>
                </c:pt>
                <c:pt idx="2">
                  <c:v>2008</c:v>
                </c:pt>
              </c:numCache>
            </c:numRef>
          </c:xVal>
          <c:yVal>
            <c:numRef>
              <c:f>'Analyses C-F'!$B$18:$B$20</c:f>
              <c:numCache>
                <c:formatCode>0.00</c:formatCode>
                <c:ptCount val="3"/>
                <c:pt idx="0">
                  <c:v>4.2200000000000006</c:v>
                </c:pt>
                <c:pt idx="1">
                  <c:v>4.24</c:v>
                </c:pt>
                <c:pt idx="2">
                  <c:v>4.24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'Analyses C-F'!$M$4</c:f>
              <c:strCache>
                <c:ptCount val="1"/>
                <c:pt idx="0">
                  <c:v>TAC Forages</c:v>
                </c:pt>
              </c:strCache>
            </c:strRef>
          </c:tx>
          <c:spPr>
            <a:ln>
              <a:solidFill>
                <a:srgbClr val="00B0F0"/>
              </a:solidFill>
              <a:prstDash val="lgDashDot"/>
            </a:ln>
          </c:spPr>
          <c:marker>
            <c:symbol val="diamond"/>
            <c:size val="7"/>
            <c:spPr>
              <a:solidFill>
                <a:srgbClr val="00B0F0"/>
              </a:solidFill>
            </c:spPr>
          </c:marker>
          <c:xVal>
            <c:numRef>
              <c:f>'Analyses C-F'!$A$18:$A$20</c:f>
              <c:numCache>
                <c:formatCode>General</c:formatCode>
                <c:ptCount val="3"/>
                <c:pt idx="0">
                  <c:v>2010</c:v>
                </c:pt>
                <c:pt idx="1">
                  <c:v>2009</c:v>
                </c:pt>
                <c:pt idx="2">
                  <c:v>2008</c:v>
                </c:pt>
              </c:numCache>
            </c:numRef>
          </c:xVal>
          <c:yVal>
            <c:numRef>
              <c:f>'Analyses C-F'!$C$18:$C$20</c:f>
              <c:numCache>
                <c:formatCode>0.00</c:formatCode>
                <c:ptCount val="3"/>
                <c:pt idx="0">
                  <c:v>4.1000000000000005</c:v>
                </c:pt>
                <c:pt idx="1">
                  <c:v>4.1000000000000005</c:v>
                </c:pt>
                <c:pt idx="2">
                  <c:v>4.0285714285714294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'Analyses C-F'!$N$3</c:f>
              <c:strCache>
                <c:ptCount val="1"/>
                <c:pt idx="0">
                  <c:v>TH Captages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triangle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'Analyses C-F'!$A$18:$A$20</c:f>
              <c:numCache>
                <c:formatCode>General</c:formatCode>
                <c:ptCount val="3"/>
                <c:pt idx="0">
                  <c:v>2010</c:v>
                </c:pt>
                <c:pt idx="1">
                  <c:v>2009</c:v>
                </c:pt>
                <c:pt idx="2">
                  <c:v>2008</c:v>
                </c:pt>
              </c:numCache>
            </c:numRef>
          </c:xVal>
          <c:yVal>
            <c:numRef>
              <c:f>'Analyses C-F'!$D$18:$D$20</c:f>
              <c:numCache>
                <c:formatCode>0.00</c:formatCode>
                <c:ptCount val="3"/>
                <c:pt idx="0">
                  <c:v>7.2799999999999994</c:v>
                </c:pt>
                <c:pt idx="1">
                  <c:v>7.919999999999999</c:v>
                </c:pt>
                <c:pt idx="2">
                  <c:v>9.1399999999999988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'Analyses C-F'!$N$4</c:f>
              <c:strCache>
                <c:ptCount val="1"/>
                <c:pt idx="0">
                  <c:v>TH Forages</c:v>
                </c:pt>
              </c:strCache>
            </c:strRef>
          </c:tx>
          <c:spPr>
            <a:ln>
              <a:solidFill>
                <a:srgbClr val="FF0000"/>
              </a:solidFill>
              <a:prstDash val="lgDashDot"/>
            </a:ln>
          </c:spPr>
          <c:marker>
            <c:symbol val="triangle"/>
            <c:size val="7"/>
            <c:spPr>
              <a:solidFill>
                <a:srgbClr val="FF0000"/>
              </a:solidFill>
            </c:spPr>
          </c:marker>
          <c:xVal>
            <c:numRef>
              <c:f>'Analyses C-F'!$A$18:$A$20</c:f>
              <c:numCache>
                <c:formatCode>General</c:formatCode>
                <c:ptCount val="3"/>
                <c:pt idx="0">
                  <c:v>2010</c:v>
                </c:pt>
                <c:pt idx="1">
                  <c:v>2009</c:v>
                </c:pt>
                <c:pt idx="2">
                  <c:v>2008</c:v>
                </c:pt>
              </c:numCache>
            </c:numRef>
          </c:xVal>
          <c:yVal>
            <c:numRef>
              <c:f>'Analyses C-F'!$E$18:$E$20</c:f>
              <c:numCache>
                <c:formatCode>0.00</c:formatCode>
                <c:ptCount val="3"/>
                <c:pt idx="0">
                  <c:v>6.5285714285714276</c:v>
                </c:pt>
                <c:pt idx="1">
                  <c:v>7.4428571428571431</c:v>
                </c:pt>
                <c:pt idx="2">
                  <c:v>7.4857142857142867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'Analyses C-F'!$O$3</c:f>
              <c:strCache>
                <c:ptCount val="1"/>
                <c:pt idx="0">
                  <c:v>pH Captages </c:v>
                </c:pt>
              </c:strCache>
            </c:strRef>
          </c:tx>
          <c:spPr>
            <a:ln>
              <a:solidFill>
                <a:srgbClr val="FDEB07"/>
              </a:solidFill>
            </a:ln>
          </c:spPr>
          <c:marker>
            <c:symbol val="square"/>
            <c:size val="7"/>
            <c:spPr>
              <a:solidFill>
                <a:srgbClr val="FDEB07"/>
              </a:solidFill>
              <a:ln>
                <a:solidFill>
                  <a:srgbClr val="FDEB07"/>
                </a:solidFill>
              </a:ln>
            </c:spPr>
          </c:marker>
          <c:xVal>
            <c:numRef>
              <c:f>'Analyses C-F'!$A$18:$A$20</c:f>
              <c:numCache>
                <c:formatCode>General</c:formatCode>
                <c:ptCount val="3"/>
                <c:pt idx="0">
                  <c:v>2010</c:v>
                </c:pt>
                <c:pt idx="1">
                  <c:v>2009</c:v>
                </c:pt>
                <c:pt idx="2">
                  <c:v>2008</c:v>
                </c:pt>
              </c:numCache>
            </c:numRef>
          </c:xVal>
          <c:yVal>
            <c:numRef>
              <c:f>'Analyses C-F'!$F$18:$F$20</c:f>
              <c:numCache>
                <c:formatCode>0.00</c:formatCode>
                <c:ptCount val="3"/>
                <c:pt idx="0">
                  <c:v>5.8750000000000009</c:v>
                </c:pt>
                <c:pt idx="1">
                  <c:v>6.0750000000000002</c:v>
                </c:pt>
                <c:pt idx="2">
                  <c:v>5.083333333333333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'Analyses C-F'!$O$4</c:f>
              <c:strCache>
                <c:ptCount val="1"/>
                <c:pt idx="0">
                  <c:v>pH Forages</c:v>
                </c:pt>
              </c:strCache>
            </c:strRef>
          </c:tx>
          <c:spPr>
            <a:ln>
              <a:solidFill>
                <a:srgbClr val="FDEB07"/>
              </a:solidFill>
              <a:prstDash val="lgDashDot"/>
            </a:ln>
          </c:spPr>
          <c:marker>
            <c:symbol val="square"/>
            <c:size val="7"/>
            <c:spPr>
              <a:solidFill>
                <a:srgbClr val="FDEB07"/>
              </a:solidFill>
              <a:ln>
                <a:solidFill>
                  <a:srgbClr val="FDEB07"/>
                </a:solidFill>
              </a:ln>
            </c:spPr>
          </c:marker>
          <c:xVal>
            <c:numRef>
              <c:f>'Analyses C-F'!$A$18:$A$20</c:f>
              <c:numCache>
                <c:formatCode>General</c:formatCode>
                <c:ptCount val="3"/>
                <c:pt idx="0">
                  <c:v>2010</c:v>
                </c:pt>
                <c:pt idx="1">
                  <c:v>2009</c:v>
                </c:pt>
                <c:pt idx="2">
                  <c:v>2008</c:v>
                </c:pt>
              </c:numCache>
            </c:numRef>
          </c:xVal>
          <c:yVal>
            <c:numRef>
              <c:f>'Analyses C-F'!$G$18:$G$20</c:f>
              <c:numCache>
                <c:formatCode>0.00</c:formatCode>
                <c:ptCount val="3"/>
                <c:pt idx="0">
                  <c:v>5.9142857142857137</c:v>
                </c:pt>
                <c:pt idx="1">
                  <c:v>5.9785714285714295</c:v>
                </c:pt>
                <c:pt idx="2">
                  <c:v>6.8285714285714283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'Analyses C-F'!$P$3</c:f>
              <c:strCache>
                <c:ptCount val="1"/>
                <c:pt idx="0">
                  <c:v>Turbidité Captages 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'Analyses C-F'!$A$18:$A$20</c:f>
              <c:numCache>
                <c:formatCode>General</c:formatCode>
                <c:ptCount val="3"/>
                <c:pt idx="0">
                  <c:v>2010</c:v>
                </c:pt>
                <c:pt idx="1">
                  <c:v>2009</c:v>
                </c:pt>
                <c:pt idx="2">
                  <c:v>2008</c:v>
                </c:pt>
              </c:numCache>
            </c:numRef>
          </c:xVal>
          <c:yVal>
            <c:numRef>
              <c:f>'Analyses C-F'!$H$18:$H$20</c:f>
              <c:numCache>
                <c:formatCode>0.00</c:formatCode>
                <c:ptCount val="3"/>
                <c:pt idx="0">
                  <c:v>0.20833333333333334</c:v>
                </c:pt>
                <c:pt idx="1">
                  <c:v>0.17500000000000002</c:v>
                </c:pt>
                <c:pt idx="2">
                  <c:v>0.20000000000000004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'Analyses C-F'!$P$4</c:f>
              <c:strCache>
                <c:ptCount val="1"/>
                <c:pt idx="0">
                  <c:v>Turbidité Forages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'Analyses C-F'!$A$18:$A$20</c:f>
              <c:numCache>
                <c:formatCode>General</c:formatCode>
                <c:ptCount val="3"/>
                <c:pt idx="0">
                  <c:v>2010</c:v>
                </c:pt>
                <c:pt idx="1">
                  <c:v>2009</c:v>
                </c:pt>
                <c:pt idx="2">
                  <c:v>2008</c:v>
                </c:pt>
              </c:numCache>
            </c:numRef>
          </c:xVal>
          <c:yVal>
            <c:numRef>
              <c:f>'Analyses C-F'!$I$18:$I$20</c:f>
              <c:numCache>
                <c:formatCode>0.00</c:formatCode>
                <c:ptCount val="3"/>
                <c:pt idx="0">
                  <c:v>1.3071428571428572</c:v>
                </c:pt>
                <c:pt idx="1">
                  <c:v>0.27857142857142858</c:v>
                </c:pt>
                <c:pt idx="2">
                  <c:v>0.16428571428571431</c:v>
                </c:pt>
              </c:numCache>
            </c:numRef>
          </c:yVal>
          <c:smooth val="1"/>
        </c:ser>
        <c:axId val="55385088"/>
        <c:axId val="55395456"/>
      </c:scatterChart>
      <c:valAx>
        <c:axId val="55385088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5395456"/>
        <c:crosses val="autoZero"/>
        <c:crossBetween val="midCat"/>
      </c:valAx>
      <c:valAx>
        <c:axId val="55395456"/>
        <c:scaling>
          <c:orientation val="minMax"/>
        </c:scaling>
        <c:axPos val="l"/>
        <c:majorGridlines/>
        <c:numFmt formatCode="0.00" sourceLinked="1"/>
        <c:majorTickMark val="none"/>
        <c:tickLblPos val="nextTo"/>
        <c:crossAx val="55385088"/>
        <c:crosses val="autoZero"/>
        <c:crossBetween val="midCat"/>
      </c:valAx>
    </c:plotArea>
    <c:legend>
      <c:legendPos val="b"/>
      <c:layout/>
      <c:txPr>
        <a:bodyPr/>
        <a:lstStyle/>
        <a:p>
          <a:pPr>
            <a:defRPr sz="800" baseline="0"/>
          </a:pPr>
          <a:endParaRPr lang="fr-FR"/>
        </a:p>
      </c:txPr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31</xdr:row>
      <xdr:rowOff>152400</xdr:rowOff>
    </xdr:from>
    <xdr:to>
      <xdr:col>15</xdr:col>
      <xdr:colOff>400050</xdr:colOff>
      <xdr:row>55</xdr:row>
      <xdr:rowOff>123825</xdr:rowOff>
    </xdr:to>
    <xdr:graphicFrame macro="">
      <xdr:nvGraphicFramePr>
        <xdr:cNvPr id="102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19050</xdr:colOff>
      <xdr:row>31</xdr:row>
      <xdr:rowOff>161925</xdr:rowOff>
    </xdr:from>
    <xdr:to>
      <xdr:col>29</xdr:col>
      <xdr:colOff>171450</xdr:colOff>
      <xdr:row>55</xdr:row>
      <xdr:rowOff>114300</xdr:rowOff>
    </xdr:to>
    <xdr:graphicFrame macro="">
      <xdr:nvGraphicFramePr>
        <xdr:cNvPr id="1027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56</xdr:row>
      <xdr:rowOff>142875</xdr:rowOff>
    </xdr:from>
    <xdr:to>
      <xdr:col>15</xdr:col>
      <xdr:colOff>381000</xdr:colOff>
      <xdr:row>81</xdr:row>
      <xdr:rowOff>0</xdr:rowOff>
    </xdr:to>
    <xdr:graphicFrame macro="">
      <xdr:nvGraphicFramePr>
        <xdr:cNvPr id="1028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19050</xdr:colOff>
      <xdr:row>56</xdr:row>
      <xdr:rowOff>152400</xdr:rowOff>
    </xdr:from>
    <xdr:to>
      <xdr:col>30</xdr:col>
      <xdr:colOff>123825</xdr:colOff>
      <xdr:row>81</xdr:row>
      <xdr:rowOff>0</xdr:rowOff>
    </xdr:to>
    <xdr:graphicFrame macro="">
      <xdr:nvGraphicFramePr>
        <xdr:cNvPr id="1029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171450</xdr:colOff>
      <xdr:row>82</xdr:row>
      <xdr:rowOff>28575</xdr:rowOff>
    </xdr:from>
    <xdr:to>
      <xdr:col>15</xdr:col>
      <xdr:colOff>381000</xdr:colOff>
      <xdr:row>105</xdr:row>
      <xdr:rowOff>152400</xdr:rowOff>
    </xdr:to>
    <xdr:graphicFrame macro="">
      <xdr:nvGraphicFramePr>
        <xdr:cNvPr id="1030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0</xdr:row>
      <xdr:rowOff>114300</xdr:rowOff>
    </xdr:from>
    <xdr:to>
      <xdr:col>20</xdr:col>
      <xdr:colOff>752475</xdr:colOff>
      <xdr:row>20</xdr:row>
      <xdr:rowOff>123825</xdr:rowOff>
    </xdr:to>
    <xdr:graphicFrame macro="">
      <xdr:nvGraphicFramePr>
        <xdr:cNvPr id="819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20"/>
  <sheetViews>
    <sheetView zoomScale="75" workbookViewId="0">
      <selection activeCell="I14" sqref="I14"/>
    </sheetView>
  </sheetViews>
  <sheetFormatPr baseColWidth="10" defaultColWidth="11.5703125" defaultRowHeight="18.75"/>
  <cols>
    <col min="1" max="1" width="4.85546875" style="1" customWidth="1"/>
    <col min="2" max="2" width="21.85546875" style="1" customWidth="1"/>
    <col min="3" max="3" width="9.85546875" style="1" customWidth="1"/>
    <col min="4" max="5" width="11.5703125" style="1"/>
    <col min="6" max="6" width="52.7109375" style="1" customWidth="1"/>
    <col min="7" max="10" width="11.5703125" style="1"/>
    <col min="11" max="11" width="30.140625" style="1" customWidth="1"/>
    <col min="12" max="16384" width="11.5703125" style="1"/>
  </cols>
  <sheetData>
    <row r="2" spans="2:6">
      <c r="B2" s="2" t="s">
        <v>0</v>
      </c>
      <c r="C2" s="2" t="s">
        <v>1</v>
      </c>
      <c r="D2" s="2"/>
      <c r="E2" s="2"/>
      <c r="F2" s="2"/>
    </row>
    <row r="3" spans="2:6">
      <c r="B3" s="2"/>
      <c r="C3" s="2"/>
      <c r="D3" s="2"/>
      <c r="E3" s="2"/>
      <c r="F3" s="2"/>
    </row>
    <row r="4" spans="2:6">
      <c r="B4" s="2" t="s">
        <v>2</v>
      </c>
      <c r="C4" s="2"/>
      <c r="D4" s="2"/>
      <c r="E4" s="2"/>
      <c r="F4" s="2"/>
    </row>
    <row r="5" spans="2:6">
      <c r="B5" s="2" t="s">
        <v>3</v>
      </c>
      <c r="C5" s="2"/>
      <c r="D5" s="2"/>
      <c r="E5" s="2"/>
      <c r="F5" s="2"/>
    </row>
    <row r="6" spans="2:6">
      <c r="B6" s="2" t="s">
        <v>4</v>
      </c>
      <c r="C6" s="2"/>
      <c r="D6" s="2"/>
      <c r="E6" s="2"/>
      <c r="F6" s="2"/>
    </row>
    <row r="7" spans="2:6">
      <c r="B7" s="2" t="s">
        <v>5</v>
      </c>
      <c r="C7" s="2"/>
      <c r="D7" s="2"/>
      <c r="E7" s="2"/>
      <c r="F7" s="2"/>
    </row>
    <row r="9" spans="2:6">
      <c r="B9" s="1" t="s">
        <v>6</v>
      </c>
    </row>
    <row r="10" spans="2:6">
      <c r="B10" s="119" t="s">
        <v>58</v>
      </c>
      <c r="C10" s="119"/>
      <c r="D10" s="119"/>
      <c r="E10" s="119"/>
      <c r="F10" s="119"/>
    </row>
    <row r="15" spans="2:6">
      <c r="B15" s="1" t="s">
        <v>7</v>
      </c>
    </row>
    <row r="16" spans="2:6">
      <c r="B16" s="1" t="s">
        <v>8</v>
      </c>
    </row>
    <row r="17" spans="2:2">
      <c r="B17" s="91" t="s">
        <v>60</v>
      </c>
    </row>
    <row r="19" spans="2:2">
      <c r="B19" s="1" t="s">
        <v>9</v>
      </c>
    </row>
    <row r="20" spans="2:2">
      <c r="B20" s="1" t="s">
        <v>10</v>
      </c>
    </row>
  </sheetData>
  <sheetProtection password="DBAF" sheet="1" objects="1" scenarios="1" selectLockedCells="1"/>
  <mergeCells count="1">
    <mergeCell ref="B10:F10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B105"/>
  <sheetViews>
    <sheetView zoomScale="55" zoomScaleNormal="55" workbookViewId="0">
      <pane ySplit="5" topLeftCell="A6" activePane="bottomLeft" state="frozen"/>
      <selection pane="bottomLeft" activeCell="N45" sqref="N45"/>
    </sheetView>
  </sheetViews>
  <sheetFormatPr baseColWidth="10" defaultColWidth="11.5703125" defaultRowHeight="13.5"/>
  <cols>
    <col min="1" max="1" width="14.85546875" style="3" customWidth="1"/>
    <col min="2" max="3" width="5.7109375" style="3" customWidth="1"/>
    <col min="4" max="4" width="4.85546875" style="3" customWidth="1"/>
    <col min="5" max="5" width="8.42578125" style="3" customWidth="1"/>
    <col min="6" max="6" width="8.140625" style="3" customWidth="1"/>
    <col min="7" max="7" width="12.5703125" style="3" customWidth="1"/>
    <col min="8" max="8" width="8.42578125" style="3" customWidth="1"/>
    <col min="9" max="10" width="10.28515625" style="3" customWidth="1"/>
    <col min="11" max="12" width="5.7109375" style="3" customWidth="1"/>
    <col min="13" max="13" width="4.85546875" style="3" customWidth="1"/>
    <col min="14" max="14" width="8.42578125" style="3" customWidth="1"/>
    <col min="15" max="15" width="8.140625" style="3" customWidth="1"/>
    <col min="16" max="16" width="12.5703125" style="3" customWidth="1"/>
    <col min="17" max="17" width="8.42578125" style="3" customWidth="1"/>
    <col min="18" max="19" width="10.28515625" style="3" customWidth="1"/>
    <col min="20" max="21" width="5.7109375" style="3" customWidth="1"/>
    <col min="22" max="22" width="4.85546875" style="3" customWidth="1"/>
    <col min="23" max="23" width="8.42578125" style="3" customWidth="1"/>
    <col min="24" max="24" width="8.140625" style="3" customWidth="1"/>
    <col min="25" max="25" width="12.5703125" style="3" customWidth="1"/>
    <col min="26" max="26" width="8.42578125" style="3" customWidth="1"/>
    <col min="27" max="28" width="10.28515625" style="3" customWidth="1"/>
    <col min="29" max="16384" width="11.5703125" style="3"/>
  </cols>
  <sheetData>
    <row r="1" spans="1:28" ht="14.25" thickBot="1"/>
    <row r="2" spans="1:28" ht="27" thickTop="1" thickBot="1">
      <c r="A2" s="4"/>
      <c r="B2" s="120" t="s">
        <v>11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2"/>
    </row>
    <row r="3" spans="1:28" ht="15.75" thickTop="1" thickBot="1">
      <c r="A3" s="4"/>
      <c r="B3" s="123" t="s">
        <v>12</v>
      </c>
      <c r="C3" s="124"/>
      <c r="D3" s="124"/>
      <c r="E3" s="124"/>
      <c r="F3" s="124"/>
      <c r="G3" s="124"/>
      <c r="H3" s="124"/>
      <c r="I3" s="124"/>
      <c r="J3" s="125"/>
      <c r="K3" s="123" t="s">
        <v>13</v>
      </c>
      <c r="L3" s="124"/>
      <c r="M3" s="124"/>
      <c r="N3" s="124"/>
      <c r="O3" s="124"/>
      <c r="P3" s="124"/>
      <c r="Q3" s="124"/>
      <c r="R3" s="124"/>
      <c r="S3" s="125"/>
      <c r="T3" s="123" t="s">
        <v>14</v>
      </c>
      <c r="U3" s="124"/>
      <c r="V3" s="124"/>
      <c r="W3" s="124"/>
      <c r="X3" s="124"/>
      <c r="Y3" s="124"/>
      <c r="Z3" s="124"/>
      <c r="AA3" s="124"/>
      <c r="AB3" s="125"/>
    </row>
    <row r="4" spans="1:28" ht="15" thickBot="1">
      <c r="A4" s="4"/>
      <c r="B4" s="102" t="s">
        <v>15</v>
      </c>
      <c r="C4" s="103" t="s">
        <v>16</v>
      </c>
      <c r="D4" s="104" t="s">
        <v>17</v>
      </c>
      <c r="E4" s="104" t="s">
        <v>18</v>
      </c>
      <c r="F4" s="103" t="s">
        <v>19</v>
      </c>
      <c r="G4" s="105" t="s">
        <v>20</v>
      </c>
      <c r="H4" s="103" t="s">
        <v>21</v>
      </c>
      <c r="I4" s="105" t="s">
        <v>22</v>
      </c>
      <c r="J4" s="106" t="s">
        <v>23</v>
      </c>
      <c r="K4" s="102" t="s">
        <v>15</v>
      </c>
      <c r="L4" s="103" t="s">
        <v>16</v>
      </c>
      <c r="M4" s="104" t="s">
        <v>17</v>
      </c>
      <c r="N4" s="104" t="s">
        <v>18</v>
      </c>
      <c r="O4" s="103" t="s">
        <v>19</v>
      </c>
      <c r="P4" s="105" t="s">
        <v>20</v>
      </c>
      <c r="Q4" s="103" t="s">
        <v>21</v>
      </c>
      <c r="R4" s="105" t="s">
        <v>22</v>
      </c>
      <c r="S4" s="106" t="s">
        <v>23</v>
      </c>
      <c r="T4" s="102" t="s">
        <v>15</v>
      </c>
      <c r="U4" s="103" t="s">
        <v>16</v>
      </c>
      <c r="V4" s="104" t="s">
        <v>17</v>
      </c>
      <c r="W4" s="104" t="s">
        <v>18</v>
      </c>
      <c r="X4" s="103" t="s">
        <v>19</v>
      </c>
      <c r="Y4" s="105" t="s">
        <v>20</v>
      </c>
      <c r="Z4" s="103" t="s">
        <v>21</v>
      </c>
      <c r="AA4" s="105" t="s">
        <v>22</v>
      </c>
      <c r="AB4" s="106" t="s">
        <v>23</v>
      </c>
    </row>
    <row r="5" spans="1:28" ht="14.25">
      <c r="A5" s="4"/>
      <c r="B5" s="102" t="s">
        <v>24</v>
      </c>
      <c r="C5" s="103" t="s">
        <v>24</v>
      </c>
      <c r="D5" s="104">
        <v>1</v>
      </c>
      <c r="E5" s="104" t="s">
        <v>25</v>
      </c>
      <c r="F5" s="103" t="s">
        <v>26</v>
      </c>
      <c r="G5" s="105" t="s">
        <v>27</v>
      </c>
      <c r="H5" s="103" t="s">
        <v>28</v>
      </c>
      <c r="I5" s="105" t="s">
        <v>29</v>
      </c>
      <c r="J5" s="106" t="s">
        <v>29</v>
      </c>
      <c r="K5" s="102" t="s">
        <v>24</v>
      </c>
      <c r="L5" s="103" t="s">
        <v>24</v>
      </c>
      <c r="M5" s="104">
        <v>1</v>
      </c>
      <c r="N5" s="104" t="s">
        <v>25</v>
      </c>
      <c r="O5" s="103" t="s">
        <v>26</v>
      </c>
      <c r="P5" s="105" t="s">
        <v>27</v>
      </c>
      <c r="Q5" s="103" t="s">
        <v>28</v>
      </c>
      <c r="R5" s="105" t="s">
        <v>29</v>
      </c>
      <c r="S5" s="106" t="s">
        <v>29</v>
      </c>
      <c r="T5" s="102" t="s">
        <v>24</v>
      </c>
      <c r="U5" s="103" t="s">
        <v>24</v>
      </c>
      <c r="V5" s="104">
        <v>1</v>
      </c>
      <c r="W5" s="104" t="s">
        <v>25</v>
      </c>
      <c r="X5" s="103" t="s">
        <v>26</v>
      </c>
      <c r="Y5" s="105" t="s">
        <v>27</v>
      </c>
      <c r="Z5" s="103" t="s">
        <v>28</v>
      </c>
      <c r="AA5" s="105" t="s">
        <v>29</v>
      </c>
      <c r="AB5" s="106" t="s">
        <v>29</v>
      </c>
    </row>
    <row r="6" spans="1:28" ht="14.25">
      <c r="A6" s="10">
        <v>39467</v>
      </c>
      <c r="B6" s="107">
        <v>10.55</v>
      </c>
      <c r="C6" s="108">
        <v>14</v>
      </c>
      <c r="D6" s="107">
        <v>7.8</v>
      </c>
      <c r="E6" s="108">
        <v>0.1</v>
      </c>
      <c r="F6" s="107">
        <v>17.100000000000001</v>
      </c>
      <c r="G6" s="108">
        <v>407.5</v>
      </c>
      <c r="H6" s="107">
        <v>0.35</v>
      </c>
      <c r="I6" s="108">
        <v>30</v>
      </c>
      <c r="J6" s="109">
        <v>35</v>
      </c>
      <c r="K6" s="108">
        <v>16</v>
      </c>
      <c r="L6" s="107">
        <v>20.399999999999999</v>
      </c>
      <c r="M6" s="108">
        <v>7.8</v>
      </c>
      <c r="N6" s="107">
        <v>0.15</v>
      </c>
      <c r="O6" s="108">
        <v>27.6</v>
      </c>
      <c r="P6" s="107">
        <v>470</v>
      </c>
      <c r="Q6" s="108">
        <v>0.5</v>
      </c>
      <c r="R6" s="107">
        <v>66</v>
      </c>
      <c r="S6" s="110">
        <v>0</v>
      </c>
      <c r="T6" s="107">
        <v>10.9</v>
      </c>
      <c r="U6" s="108">
        <v>13.9</v>
      </c>
      <c r="V6" s="107">
        <v>7.6</v>
      </c>
      <c r="W6" s="108">
        <v>0.2</v>
      </c>
      <c r="X6" s="107">
        <v>12.4</v>
      </c>
      <c r="Y6" s="108">
        <v>375</v>
      </c>
      <c r="Z6" s="107">
        <v>0.4</v>
      </c>
      <c r="AA6" s="108">
        <v>0</v>
      </c>
      <c r="AB6" s="109">
        <v>25</v>
      </c>
    </row>
    <row r="7" spans="1:28" ht="14.25">
      <c r="A7" s="11">
        <f t="shared" ref="A7:A38" si="0">EDATE(A6, 1)</f>
        <v>39498</v>
      </c>
      <c r="B7" s="111">
        <v>10.3</v>
      </c>
      <c r="C7" s="112">
        <v>13.2</v>
      </c>
      <c r="D7" s="111">
        <v>7.9</v>
      </c>
      <c r="E7" s="112">
        <v>0.2</v>
      </c>
      <c r="F7" s="111">
        <v>16.5</v>
      </c>
      <c r="G7" s="112">
        <v>405</v>
      </c>
      <c r="H7" s="111" t="s">
        <v>30</v>
      </c>
      <c r="I7" s="112">
        <v>1</v>
      </c>
      <c r="J7" s="113">
        <v>4</v>
      </c>
      <c r="K7" s="112">
        <v>14.35</v>
      </c>
      <c r="L7" s="111">
        <v>17.7</v>
      </c>
      <c r="M7" s="112">
        <v>7.35</v>
      </c>
      <c r="N7" s="111">
        <v>0.1</v>
      </c>
      <c r="O7" s="112">
        <v>26.1</v>
      </c>
      <c r="P7" s="111">
        <v>452.5</v>
      </c>
      <c r="Q7" s="112">
        <v>0.35</v>
      </c>
      <c r="R7" s="111">
        <v>3</v>
      </c>
      <c r="S7" s="114">
        <v>11</v>
      </c>
      <c r="T7" s="111">
        <v>10.1</v>
      </c>
      <c r="U7" s="112">
        <v>12.8</v>
      </c>
      <c r="V7" s="111">
        <v>7.6</v>
      </c>
      <c r="W7" s="112">
        <v>0.25</v>
      </c>
      <c r="X7" s="111">
        <v>11</v>
      </c>
      <c r="Y7" s="112">
        <v>365</v>
      </c>
      <c r="Z7" s="111">
        <v>0.30000000000000004</v>
      </c>
      <c r="AA7" s="112">
        <v>0</v>
      </c>
      <c r="AB7" s="113">
        <v>13</v>
      </c>
    </row>
    <row r="8" spans="1:28" ht="14.25">
      <c r="A8" s="11">
        <f t="shared" si="0"/>
        <v>39527</v>
      </c>
      <c r="B8" s="111">
        <v>9.6999999999999993</v>
      </c>
      <c r="C8" s="112">
        <v>14.4</v>
      </c>
      <c r="D8" s="111">
        <v>8</v>
      </c>
      <c r="E8" s="112">
        <v>0.2</v>
      </c>
      <c r="F8" s="111">
        <v>17.899999999999999</v>
      </c>
      <c r="G8" s="112">
        <v>400</v>
      </c>
      <c r="H8" s="111">
        <v>0.30000000000000004</v>
      </c>
      <c r="I8" s="112">
        <v>18</v>
      </c>
      <c r="J8" s="113">
        <v>7</v>
      </c>
      <c r="K8" s="112">
        <v>14.4</v>
      </c>
      <c r="L8" s="111">
        <v>18.399999999999999</v>
      </c>
      <c r="M8" s="112">
        <v>7.8</v>
      </c>
      <c r="N8" s="111">
        <v>0.1</v>
      </c>
      <c r="O8" s="112">
        <v>27.2</v>
      </c>
      <c r="P8" s="111">
        <v>455</v>
      </c>
      <c r="Q8" s="112">
        <v>0.5</v>
      </c>
      <c r="R8" s="111">
        <v>0</v>
      </c>
      <c r="S8" s="114">
        <v>1</v>
      </c>
      <c r="T8" s="111">
        <v>9.6999999999999993</v>
      </c>
      <c r="U8" s="112">
        <v>14</v>
      </c>
      <c r="V8" s="111">
        <v>7.25</v>
      </c>
      <c r="W8" s="112">
        <v>0.15</v>
      </c>
      <c r="X8" s="111">
        <v>11.45</v>
      </c>
      <c r="Y8" s="112">
        <v>357.5</v>
      </c>
      <c r="Z8" s="111">
        <v>0.30000000000000004</v>
      </c>
      <c r="AA8" s="112">
        <v>2</v>
      </c>
      <c r="AB8" s="113">
        <v>1</v>
      </c>
    </row>
    <row r="9" spans="1:28" ht="14.25">
      <c r="A9" s="11">
        <f t="shared" si="0"/>
        <v>39558</v>
      </c>
      <c r="B9" s="111">
        <v>11.2</v>
      </c>
      <c r="C9" s="112">
        <v>13.7</v>
      </c>
      <c r="D9" s="111">
        <v>7.7</v>
      </c>
      <c r="E9" s="112">
        <v>0.35</v>
      </c>
      <c r="F9" s="111">
        <v>17.899999999999999</v>
      </c>
      <c r="G9" s="112">
        <v>425</v>
      </c>
      <c r="H9" s="111">
        <v>0.30000000000000004</v>
      </c>
      <c r="I9" s="112">
        <v>0</v>
      </c>
      <c r="J9" s="113">
        <v>0</v>
      </c>
      <c r="K9" s="112">
        <v>17</v>
      </c>
      <c r="L9" s="111">
        <v>22.1</v>
      </c>
      <c r="M9" s="112">
        <v>7.6</v>
      </c>
      <c r="N9" s="111">
        <v>0.15</v>
      </c>
      <c r="O9" s="112">
        <v>27.2</v>
      </c>
      <c r="P9" s="111">
        <v>500</v>
      </c>
      <c r="Q9" s="112">
        <v>0.4</v>
      </c>
      <c r="R9" s="111">
        <v>0</v>
      </c>
      <c r="S9" s="114">
        <v>0</v>
      </c>
      <c r="T9" s="111" t="e">
        <f>NA()</f>
        <v>#N/A</v>
      </c>
      <c r="U9" s="112" t="e">
        <f>NA()</f>
        <v>#N/A</v>
      </c>
      <c r="V9" s="111" t="e">
        <f>NA()</f>
        <v>#N/A</v>
      </c>
      <c r="W9" s="112" t="e">
        <f>NA()</f>
        <v>#N/A</v>
      </c>
      <c r="X9" s="111" t="e">
        <f>NA()</f>
        <v>#N/A</v>
      </c>
      <c r="Y9" s="112" t="e">
        <f>NA()</f>
        <v>#N/A</v>
      </c>
      <c r="Z9" s="111" t="e">
        <f>NA()</f>
        <v>#N/A</v>
      </c>
      <c r="AA9" s="112" t="e">
        <f>NA()</f>
        <v>#N/A</v>
      </c>
      <c r="AB9" s="113" t="e">
        <f>NA()</f>
        <v>#N/A</v>
      </c>
    </row>
    <row r="10" spans="1:28" ht="14.25">
      <c r="A10" s="11">
        <f t="shared" si="0"/>
        <v>39588</v>
      </c>
      <c r="B10" s="111">
        <v>10.5</v>
      </c>
      <c r="C10" s="112">
        <v>13.5</v>
      </c>
      <c r="D10" s="111">
        <v>7.8</v>
      </c>
      <c r="E10" s="112">
        <v>0.15</v>
      </c>
      <c r="F10" s="111">
        <v>17</v>
      </c>
      <c r="G10" s="112">
        <v>415</v>
      </c>
      <c r="H10" s="111">
        <v>0.4</v>
      </c>
      <c r="I10" s="112">
        <v>0</v>
      </c>
      <c r="J10" s="113">
        <v>0</v>
      </c>
      <c r="K10" s="112">
        <v>17.600000000000001</v>
      </c>
      <c r="L10" s="111">
        <v>21.5</v>
      </c>
      <c r="M10" s="112">
        <v>7.6</v>
      </c>
      <c r="N10" s="111">
        <v>0.15</v>
      </c>
      <c r="O10" s="112">
        <v>25.6</v>
      </c>
      <c r="P10" s="111">
        <v>515</v>
      </c>
      <c r="Q10" s="112">
        <v>0.5</v>
      </c>
      <c r="R10" s="111">
        <v>6</v>
      </c>
      <c r="S10" s="114">
        <v>1</v>
      </c>
      <c r="T10" s="111">
        <v>11.5</v>
      </c>
      <c r="U10" s="112">
        <v>13.7</v>
      </c>
      <c r="V10" s="111">
        <v>7.7</v>
      </c>
      <c r="W10" s="112">
        <v>0.1</v>
      </c>
      <c r="X10" s="111">
        <v>10.6</v>
      </c>
      <c r="Y10" s="112">
        <v>395</v>
      </c>
      <c r="Z10" s="111">
        <v>0.4</v>
      </c>
      <c r="AA10" s="112">
        <v>0</v>
      </c>
      <c r="AB10" s="113">
        <v>0</v>
      </c>
    </row>
    <row r="11" spans="1:28" ht="14.25">
      <c r="A11" s="11">
        <f t="shared" si="0"/>
        <v>39619</v>
      </c>
      <c r="B11" s="111">
        <v>10.6</v>
      </c>
      <c r="C11" s="112">
        <v>13.5</v>
      </c>
      <c r="D11" s="111">
        <v>7.8</v>
      </c>
      <c r="E11" s="112">
        <v>0.1</v>
      </c>
      <c r="F11" s="111">
        <v>16.600000000000001</v>
      </c>
      <c r="G11" s="112">
        <v>405</v>
      </c>
      <c r="H11" s="111">
        <v>0.5</v>
      </c>
      <c r="I11" s="112">
        <v>6</v>
      </c>
      <c r="J11" s="113">
        <v>3</v>
      </c>
      <c r="K11" s="112">
        <v>17.2</v>
      </c>
      <c r="L11" s="111">
        <v>20.5</v>
      </c>
      <c r="M11" s="112">
        <v>7.4</v>
      </c>
      <c r="N11" s="111">
        <v>0.15</v>
      </c>
      <c r="O11" s="112">
        <v>29.4</v>
      </c>
      <c r="P11" s="111">
        <v>500</v>
      </c>
      <c r="Q11" s="112">
        <v>0.4</v>
      </c>
      <c r="R11" s="111">
        <v>0</v>
      </c>
      <c r="S11" s="114">
        <v>0</v>
      </c>
      <c r="T11" s="111">
        <v>12.1</v>
      </c>
      <c r="U11" s="112">
        <v>16.2</v>
      </c>
      <c r="V11" s="111">
        <v>7.6</v>
      </c>
      <c r="W11" s="112">
        <v>0.15</v>
      </c>
      <c r="X11" s="111">
        <v>10.5</v>
      </c>
      <c r="Y11" s="112">
        <v>395</v>
      </c>
      <c r="Z11" s="111">
        <v>0.4</v>
      </c>
      <c r="AA11" s="112">
        <v>180</v>
      </c>
      <c r="AB11" s="113">
        <v>300</v>
      </c>
    </row>
    <row r="12" spans="1:28" ht="14.25">
      <c r="A12" s="11">
        <f t="shared" si="0"/>
        <v>39649</v>
      </c>
      <c r="B12" s="111" t="e">
        <f>NA()</f>
        <v>#N/A</v>
      </c>
      <c r="C12" s="112" t="e">
        <f>NA()</f>
        <v>#N/A</v>
      </c>
      <c r="D12" s="111" t="e">
        <f>NA()</f>
        <v>#N/A</v>
      </c>
      <c r="E12" s="112" t="e">
        <f>NA()</f>
        <v>#N/A</v>
      </c>
      <c r="F12" s="111" t="e">
        <f>NA()</f>
        <v>#N/A</v>
      </c>
      <c r="G12" s="112" t="e">
        <f>NA()</f>
        <v>#N/A</v>
      </c>
      <c r="H12" s="111" t="e">
        <f>NA()</f>
        <v>#N/A</v>
      </c>
      <c r="I12" s="112" t="e">
        <f>NA()</f>
        <v>#N/A</v>
      </c>
      <c r="J12" s="113" t="e">
        <f>NA()</f>
        <v>#N/A</v>
      </c>
      <c r="K12" s="112">
        <v>16.149999999999999</v>
      </c>
      <c r="L12" s="111">
        <v>18.850000000000001</v>
      </c>
      <c r="M12" s="112">
        <v>7.63</v>
      </c>
      <c r="N12" s="111">
        <v>0.23</v>
      </c>
      <c r="O12" s="112">
        <v>28.2</v>
      </c>
      <c r="P12" s="111">
        <v>495</v>
      </c>
      <c r="Q12" s="112">
        <v>0.5</v>
      </c>
      <c r="R12" s="111">
        <v>0</v>
      </c>
      <c r="S12" s="114">
        <v>0</v>
      </c>
      <c r="T12" s="111">
        <v>10.6</v>
      </c>
      <c r="U12" s="112">
        <v>13</v>
      </c>
      <c r="V12" s="111">
        <v>7.4</v>
      </c>
      <c r="W12" s="112">
        <v>0.30000000000000004</v>
      </c>
      <c r="X12" s="111">
        <v>12.9</v>
      </c>
      <c r="Y12" s="112">
        <v>370</v>
      </c>
      <c r="Z12" s="111">
        <v>0.5</v>
      </c>
      <c r="AA12" s="112">
        <v>0</v>
      </c>
      <c r="AB12" s="113">
        <v>1</v>
      </c>
    </row>
    <row r="13" spans="1:28" ht="14.25">
      <c r="A13" s="11">
        <f t="shared" si="0"/>
        <v>39680</v>
      </c>
      <c r="B13" s="111">
        <v>10.7</v>
      </c>
      <c r="C13" s="112">
        <v>13.85</v>
      </c>
      <c r="D13" s="111">
        <v>7.6749999999999998</v>
      </c>
      <c r="E13" s="112">
        <v>0.125</v>
      </c>
      <c r="F13" s="111">
        <v>18.5</v>
      </c>
      <c r="G13" s="112">
        <v>412.5</v>
      </c>
      <c r="H13" s="111">
        <v>0.35</v>
      </c>
      <c r="I13" s="112">
        <v>0.5</v>
      </c>
      <c r="J13" s="113">
        <v>0</v>
      </c>
      <c r="K13" s="112">
        <v>15.1</v>
      </c>
      <c r="L13" s="111">
        <v>18.600000000000001</v>
      </c>
      <c r="M13" s="112">
        <v>7.3</v>
      </c>
      <c r="N13" s="111">
        <v>0.1</v>
      </c>
      <c r="O13" s="112">
        <v>29.7</v>
      </c>
      <c r="P13" s="111">
        <v>475</v>
      </c>
      <c r="Q13" s="112">
        <v>0.5</v>
      </c>
      <c r="R13" s="111">
        <v>11</v>
      </c>
      <c r="S13" s="114">
        <v>14</v>
      </c>
      <c r="T13" s="111">
        <v>11.2</v>
      </c>
      <c r="U13" s="112">
        <v>14.3</v>
      </c>
      <c r="V13" s="111">
        <v>7.3</v>
      </c>
      <c r="W13" s="112">
        <v>0.1</v>
      </c>
      <c r="X13" s="111">
        <v>13.6</v>
      </c>
      <c r="Y13" s="112">
        <v>390</v>
      </c>
      <c r="Z13" s="111">
        <v>0.4</v>
      </c>
      <c r="AA13" s="112">
        <v>0</v>
      </c>
      <c r="AB13" s="113">
        <v>0</v>
      </c>
    </row>
    <row r="14" spans="1:28" ht="14.25">
      <c r="A14" s="11">
        <f t="shared" si="0"/>
        <v>39711</v>
      </c>
      <c r="B14" s="111">
        <v>10.4</v>
      </c>
      <c r="C14" s="112">
        <v>13.3</v>
      </c>
      <c r="D14" s="111">
        <v>7.5</v>
      </c>
      <c r="E14" s="112">
        <v>0.5</v>
      </c>
      <c r="F14" s="111">
        <v>17.600000000000001</v>
      </c>
      <c r="G14" s="112">
        <v>405</v>
      </c>
      <c r="H14" s="111">
        <v>0.30000000000000004</v>
      </c>
      <c r="I14" s="112">
        <v>0</v>
      </c>
      <c r="J14" s="113">
        <v>0</v>
      </c>
      <c r="K14" s="112">
        <v>16.8</v>
      </c>
      <c r="L14" s="111">
        <v>20.399999999999999</v>
      </c>
      <c r="M14" s="112">
        <v>7.55</v>
      </c>
      <c r="N14" s="111">
        <v>0.125</v>
      </c>
      <c r="O14" s="112">
        <v>28.75</v>
      </c>
      <c r="P14" s="111">
        <v>500</v>
      </c>
      <c r="Q14" s="112">
        <v>0.45</v>
      </c>
      <c r="R14" s="111">
        <v>2.5</v>
      </c>
      <c r="S14" s="114">
        <v>1</v>
      </c>
      <c r="T14" s="111">
        <v>10.4</v>
      </c>
      <c r="U14" s="112">
        <v>13.4</v>
      </c>
      <c r="V14" s="111">
        <v>7.5</v>
      </c>
      <c r="W14" s="112">
        <v>0.1</v>
      </c>
      <c r="X14" s="111">
        <v>13</v>
      </c>
      <c r="Y14" s="112">
        <v>375</v>
      </c>
      <c r="Z14" s="111">
        <v>0.30000000000000004</v>
      </c>
      <c r="AA14" s="112">
        <v>1</v>
      </c>
      <c r="AB14" s="113">
        <v>2</v>
      </c>
    </row>
    <row r="15" spans="1:28" ht="14.25">
      <c r="A15" s="11">
        <f t="shared" si="0"/>
        <v>39741</v>
      </c>
      <c r="B15" s="111">
        <v>10.6</v>
      </c>
      <c r="C15" s="112">
        <v>13.6</v>
      </c>
      <c r="D15" s="111">
        <v>7.8</v>
      </c>
      <c r="E15" s="112">
        <v>0.1</v>
      </c>
      <c r="F15" s="111">
        <v>15.9</v>
      </c>
      <c r="G15" s="112">
        <v>405</v>
      </c>
      <c r="H15" s="111">
        <v>0.4</v>
      </c>
      <c r="I15" s="112">
        <v>6</v>
      </c>
      <c r="J15" s="113">
        <v>0</v>
      </c>
      <c r="K15" s="112" t="e">
        <f>NA()</f>
        <v>#N/A</v>
      </c>
      <c r="L15" s="111" t="e">
        <f>NA()</f>
        <v>#N/A</v>
      </c>
      <c r="M15" s="112" t="e">
        <f>NA()</f>
        <v>#N/A</v>
      </c>
      <c r="N15" s="111" t="e">
        <f>NA()</f>
        <v>#N/A</v>
      </c>
      <c r="O15" s="112" t="e">
        <f>NA()</f>
        <v>#N/A</v>
      </c>
      <c r="P15" s="111" t="e">
        <f>NA()</f>
        <v>#N/A</v>
      </c>
      <c r="Q15" s="112" t="e">
        <f>NA()</f>
        <v>#N/A</v>
      </c>
      <c r="R15" s="111" t="e">
        <f>NA()</f>
        <v>#N/A</v>
      </c>
      <c r="S15" s="114" t="e">
        <f>NA()</f>
        <v>#N/A</v>
      </c>
      <c r="T15" s="111">
        <v>11.3</v>
      </c>
      <c r="U15" s="112">
        <v>14.2</v>
      </c>
      <c r="V15" s="111">
        <v>7.7</v>
      </c>
      <c r="W15" s="112">
        <v>0.1</v>
      </c>
      <c r="X15" s="111">
        <v>11.5</v>
      </c>
      <c r="Y15" s="112">
        <v>390</v>
      </c>
      <c r="Z15" s="111">
        <v>0.30000000000000004</v>
      </c>
      <c r="AA15" s="112">
        <v>0</v>
      </c>
      <c r="AB15" s="113">
        <v>2</v>
      </c>
    </row>
    <row r="16" spans="1:28" ht="14.25">
      <c r="A16" s="11">
        <f t="shared" si="0"/>
        <v>39772</v>
      </c>
      <c r="B16" s="111">
        <v>10</v>
      </c>
      <c r="C16" s="112">
        <v>12.9</v>
      </c>
      <c r="D16" s="111">
        <v>8</v>
      </c>
      <c r="E16" s="112">
        <v>0.15</v>
      </c>
      <c r="F16" s="111">
        <v>17.8</v>
      </c>
      <c r="G16" s="112">
        <v>415</v>
      </c>
      <c r="H16" s="111">
        <v>0.30000000000000004</v>
      </c>
      <c r="I16" s="112">
        <v>3</v>
      </c>
      <c r="J16" s="113">
        <v>2</v>
      </c>
      <c r="K16" s="112">
        <v>15.5</v>
      </c>
      <c r="L16" s="111">
        <v>18</v>
      </c>
      <c r="M16" s="112">
        <v>7.3</v>
      </c>
      <c r="N16" s="111">
        <v>0.1</v>
      </c>
      <c r="O16" s="112">
        <v>26.6</v>
      </c>
      <c r="P16" s="111">
        <v>480</v>
      </c>
      <c r="Q16" s="112">
        <v>0.5</v>
      </c>
      <c r="R16" s="111">
        <v>0</v>
      </c>
      <c r="S16" s="114">
        <v>0</v>
      </c>
      <c r="T16" s="111" t="e">
        <f>NA()</f>
        <v>#N/A</v>
      </c>
      <c r="U16" s="112" t="e">
        <f>NA()</f>
        <v>#N/A</v>
      </c>
      <c r="V16" s="111" t="e">
        <f>NA()</f>
        <v>#N/A</v>
      </c>
      <c r="W16" s="112" t="e">
        <f>NA()</f>
        <v>#N/A</v>
      </c>
      <c r="X16" s="111" t="e">
        <f>NA()</f>
        <v>#N/A</v>
      </c>
      <c r="Y16" s="112" t="e">
        <f>NA()</f>
        <v>#N/A</v>
      </c>
      <c r="Z16" s="111" t="e">
        <f>NA()</f>
        <v>#N/A</v>
      </c>
      <c r="AA16" s="112" t="e">
        <f>NA()</f>
        <v>#N/A</v>
      </c>
      <c r="AB16" s="113" t="e">
        <f>NA()</f>
        <v>#N/A</v>
      </c>
    </row>
    <row r="17" spans="1:28" ht="15" thickBot="1">
      <c r="A17" s="16">
        <f t="shared" si="0"/>
        <v>39802</v>
      </c>
      <c r="B17" s="115">
        <v>10.8</v>
      </c>
      <c r="C17" s="116">
        <v>14.4</v>
      </c>
      <c r="D17" s="115">
        <v>7.7</v>
      </c>
      <c r="E17" s="116">
        <v>0.125</v>
      </c>
      <c r="F17" s="115">
        <v>17.350000000000001</v>
      </c>
      <c r="G17" s="116">
        <v>422.5</v>
      </c>
      <c r="H17" s="115">
        <v>0.65</v>
      </c>
      <c r="I17" s="116">
        <v>0.5</v>
      </c>
      <c r="J17" s="117">
        <v>0</v>
      </c>
      <c r="K17" s="116">
        <v>17.899999999999999</v>
      </c>
      <c r="L17" s="115">
        <v>21.1</v>
      </c>
      <c r="M17" s="116">
        <v>7.4749999999999996</v>
      </c>
      <c r="N17" s="115">
        <v>0.125</v>
      </c>
      <c r="O17" s="116">
        <v>25.5</v>
      </c>
      <c r="P17" s="115">
        <v>515</v>
      </c>
      <c r="Q17" s="116">
        <v>0.7</v>
      </c>
      <c r="R17" s="115">
        <v>0</v>
      </c>
      <c r="S17" s="118">
        <v>2.5</v>
      </c>
      <c r="T17" s="115">
        <v>10.5</v>
      </c>
      <c r="U17" s="116">
        <v>12.9</v>
      </c>
      <c r="V17" s="115">
        <v>7.7</v>
      </c>
      <c r="W17" s="116">
        <v>0.1</v>
      </c>
      <c r="X17" s="115">
        <v>10.8</v>
      </c>
      <c r="Y17" s="116">
        <v>375</v>
      </c>
      <c r="Z17" s="115">
        <v>0.5</v>
      </c>
      <c r="AA17" s="116">
        <v>0</v>
      </c>
      <c r="AB17" s="117">
        <v>0</v>
      </c>
    </row>
    <row r="18" spans="1:28" ht="14.25">
      <c r="A18" s="11">
        <f t="shared" si="0"/>
        <v>39833</v>
      </c>
      <c r="B18" s="111">
        <v>10.1</v>
      </c>
      <c r="C18" s="112">
        <v>13.8</v>
      </c>
      <c r="D18" s="111">
        <v>7.9</v>
      </c>
      <c r="E18" s="112">
        <v>0.1</v>
      </c>
      <c r="F18" s="111">
        <v>17.8</v>
      </c>
      <c r="G18" s="112">
        <v>405</v>
      </c>
      <c r="H18" s="111">
        <v>0.30000000000000004</v>
      </c>
      <c r="I18" s="112">
        <v>11</v>
      </c>
      <c r="J18" s="113">
        <v>7</v>
      </c>
      <c r="K18" s="112">
        <v>16.8</v>
      </c>
      <c r="L18" s="111">
        <v>20.100000000000001</v>
      </c>
      <c r="M18" s="112">
        <v>7.7</v>
      </c>
      <c r="N18" s="111">
        <v>0.15</v>
      </c>
      <c r="O18" s="112">
        <v>27</v>
      </c>
      <c r="P18" s="111">
        <v>495</v>
      </c>
      <c r="Q18" s="112">
        <v>0.4</v>
      </c>
      <c r="R18" s="111">
        <v>0</v>
      </c>
      <c r="S18" s="114">
        <v>0</v>
      </c>
      <c r="T18" s="111">
        <v>9.4</v>
      </c>
      <c r="U18" s="112">
        <v>12.2</v>
      </c>
      <c r="V18" s="111">
        <v>7.4</v>
      </c>
      <c r="W18" s="112">
        <v>0.1</v>
      </c>
      <c r="X18" s="111">
        <v>11.5</v>
      </c>
      <c r="Y18" s="112">
        <v>355</v>
      </c>
      <c r="Z18" s="111">
        <v>0.30000000000000004</v>
      </c>
      <c r="AA18" s="112">
        <v>0</v>
      </c>
      <c r="AB18" s="113">
        <v>0</v>
      </c>
    </row>
    <row r="19" spans="1:28" ht="14.25">
      <c r="A19" s="11">
        <f t="shared" si="0"/>
        <v>39864</v>
      </c>
      <c r="B19" s="111">
        <v>10.65</v>
      </c>
      <c r="C19" s="112">
        <v>14.35</v>
      </c>
      <c r="D19" s="111">
        <v>7.25</v>
      </c>
      <c r="E19" s="112">
        <v>0.1</v>
      </c>
      <c r="F19" s="111">
        <v>18.100000000000001</v>
      </c>
      <c r="G19" s="112">
        <v>420</v>
      </c>
      <c r="H19" s="111">
        <v>0.4</v>
      </c>
      <c r="I19" s="112">
        <v>0.5</v>
      </c>
      <c r="J19" s="113">
        <v>2.5</v>
      </c>
      <c r="K19" s="112">
        <v>17.05</v>
      </c>
      <c r="L19" s="111">
        <v>20.6</v>
      </c>
      <c r="M19" s="112">
        <v>7.5250000000000004</v>
      </c>
      <c r="N19" s="111">
        <v>0.17500000000000002</v>
      </c>
      <c r="O19" s="112">
        <v>26.15</v>
      </c>
      <c r="P19" s="111">
        <v>495</v>
      </c>
      <c r="Q19" s="112">
        <v>0.55000000000000004</v>
      </c>
      <c r="R19" s="111">
        <v>1</v>
      </c>
      <c r="S19" s="114">
        <v>0</v>
      </c>
      <c r="T19" s="111">
        <v>11.35</v>
      </c>
      <c r="U19" s="112">
        <v>14.3</v>
      </c>
      <c r="V19" s="111">
        <v>7.45</v>
      </c>
      <c r="W19" s="112">
        <v>0.125</v>
      </c>
      <c r="X19" s="111">
        <v>11.9</v>
      </c>
      <c r="Y19" s="112">
        <v>390</v>
      </c>
      <c r="Z19" s="111">
        <v>0.4</v>
      </c>
      <c r="AA19" s="112">
        <v>0</v>
      </c>
      <c r="AB19" s="113">
        <v>0</v>
      </c>
    </row>
    <row r="20" spans="1:28" ht="14.25">
      <c r="A20" s="11">
        <f>EDATE(A19, 1)</f>
        <v>39892</v>
      </c>
      <c r="B20" s="111">
        <v>10.4</v>
      </c>
      <c r="C20" s="112">
        <v>13.7</v>
      </c>
      <c r="D20" s="111">
        <v>7.85</v>
      </c>
      <c r="E20" s="112">
        <v>0.1</v>
      </c>
      <c r="F20" s="111">
        <v>18.899999999999999</v>
      </c>
      <c r="G20" s="112">
        <v>415</v>
      </c>
      <c r="H20" s="111">
        <v>0.4</v>
      </c>
      <c r="I20" s="112">
        <v>0</v>
      </c>
      <c r="J20" s="113">
        <v>0</v>
      </c>
      <c r="K20" s="112">
        <v>16.100000000000001</v>
      </c>
      <c r="L20" s="111">
        <v>21.1</v>
      </c>
      <c r="M20" s="112">
        <v>7.75</v>
      </c>
      <c r="N20" s="111">
        <v>0.1</v>
      </c>
      <c r="O20" s="112">
        <v>27.6</v>
      </c>
      <c r="P20" s="111">
        <v>490</v>
      </c>
      <c r="Q20" s="112">
        <v>0.5</v>
      </c>
      <c r="R20" s="111">
        <v>2</v>
      </c>
      <c r="S20" s="114">
        <v>0</v>
      </c>
      <c r="T20" s="111">
        <v>12.7</v>
      </c>
      <c r="U20" s="112">
        <v>15.4</v>
      </c>
      <c r="V20" s="111">
        <v>7.9</v>
      </c>
      <c r="W20" s="112">
        <v>0.15</v>
      </c>
      <c r="X20" s="111">
        <v>12.5</v>
      </c>
      <c r="Y20" s="112">
        <v>410</v>
      </c>
      <c r="Z20" s="111">
        <v>0.5</v>
      </c>
      <c r="AA20" s="112">
        <v>0</v>
      </c>
      <c r="AB20" s="113">
        <v>0</v>
      </c>
    </row>
    <row r="21" spans="1:28" ht="14.25">
      <c r="A21" s="11">
        <f t="shared" si="0"/>
        <v>39923</v>
      </c>
      <c r="B21" s="111">
        <v>10.6</v>
      </c>
      <c r="C21" s="112">
        <v>14.05</v>
      </c>
      <c r="D21" s="111">
        <v>7.7</v>
      </c>
      <c r="E21" s="112">
        <v>0.125</v>
      </c>
      <c r="F21" s="111">
        <v>19.5</v>
      </c>
      <c r="G21" s="112">
        <v>422.5</v>
      </c>
      <c r="H21" s="111">
        <v>0.30000000000000004</v>
      </c>
      <c r="I21" s="112">
        <v>21</v>
      </c>
      <c r="J21" s="113">
        <v>2.5</v>
      </c>
      <c r="K21" s="112">
        <v>15.4</v>
      </c>
      <c r="L21" s="111">
        <v>19.05</v>
      </c>
      <c r="M21" s="112">
        <v>7.625</v>
      </c>
      <c r="N21" s="111">
        <v>0.125</v>
      </c>
      <c r="O21" s="112">
        <v>29.05</v>
      </c>
      <c r="P21" s="111">
        <v>480</v>
      </c>
      <c r="Q21" s="112">
        <v>0.4</v>
      </c>
      <c r="R21" s="111">
        <v>0</v>
      </c>
      <c r="S21" s="114">
        <v>1</v>
      </c>
      <c r="T21" s="111">
        <v>10.4</v>
      </c>
      <c r="U21" s="112">
        <v>13</v>
      </c>
      <c r="V21" s="111">
        <v>7.5</v>
      </c>
      <c r="W21" s="112">
        <v>0.15</v>
      </c>
      <c r="X21" s="111">
        <v>13.1</v>
      </c>
      <c r="Y21" s="112">
        <v>380</v>
      </c>
      <c r="Z21" s="111">
        <v>0.30000000000000004</v>
      </c>
      <c r="AA21" s="112">
        <v>0</v>
      </c>
      <c r="AB21" s="113">
        <v>0</v>
      </c>
    </row>
    <row r="22" spans="1:28" ht="14.25">
      <c r="A22" s="11">
        <f t="shared" si="0"/>
        <v>39953</v>
      </c>
      <c r="B22" s="111">
        <v>13</v>
      </c>
      <c r="C22" s="112">
        <v>15.8</v>
      </c>
      <c r="D22" s="111">
        <v>7.7</v>
      </c>
      <c r="E22" s="112">
        <v>0.2</v>
      </c>
      <c r="F22" s="111">
        <v>21</v>
      </c>
      <c r="G22" s="112">
        <v>450</v>
      </c>
      <c r="H22" s="111">
        <v>0.4</v>
      </c>
      <c r="I22" s="112">
        <v>2</v>
      </c>
      <c r="J22" s="113">
        <v>2</v>
      </c>
      <c r="K22" s="112">
        <v>17.899999999999999</v>
      </c>
      <c r="L22" s="111">
        <v>21.5</v>
      </c>
      <c r="M22" s="112">
        <v>7.8</v>
      </c>
      <c r="N22" s="111">
        <v>0.2</v>
      </c>
      <c r="O22" s="112">
        <v>27.6</v>
      </c>
      <c r="P22" s="111">
        <v>515</v>
      </c>
      <c r="Q22" s="112">
        <v>0.5</v>
      </c>
      <c r="R22" s="111">
        <v>1</v>
      </c>
      <c r="S22" s="114">
        <v>1</v>
      </c>
      <c r="T22" s="111">
        <v>12.3</v>
      </c>
      <c r="U22" s="112">
        <v>14.9</v>
      </c>
      <c r="V22" s="111">
        <v>7.6</v>
      </c>
      <c r="W22" s="112">
        <v>0.25</v>
      </c>
      <c r="X22" s="111">
        <v>12.5</v>
      </c>
      <c r="Y22" s="112">
        <v>400</v>
      </c>
      <c r="Z22" s="111">
        <v>0.4</v>
      </c>
      <c r="AA22" s="112">
        <v>0</v>
      </c>
      <c r="AB22" s="113">
        <v>0</v>
      </c>
    </row>
    <row r="23" spans="1:28" ht="14.25">
      <c r="A23" s="11">
        <f t="shared" si="0"/>
        <v>39984</v>
      </c>
      <c r="B23" s="111">
        <v>10.6</v>
      </c>
      <c r="C23" s="112">
        <v>14.2</v>
      </c>
      <c r="D23" s="111">
        <v>7.8</v>
      </c>
      <c r="E23" s="112">
        <v>7.9</v>
      </c>
      <c r="F23" s="111">
        <v>15</v>
      </c>
      <c r="G23" s="112">
        <v>420</v>
      </c>
      <c r="H23" s="111">
        <v>0.30000000000000004</v>
      </c>
      <c r="I23" s="112">
        <v>0</v>
      </c>
      <c r="J23" s="113">
        <v>0</v>
      </c>
      <c r="K23" s="112">
        <v>17</v>
      </c>
      <c r="L23" s="111">
        <v>21.4</v>
      </c>
      <c r="M23" s="112">
        <v>7.75</v>
      </c>
      <c r="N23" s="111">
        <v>0.15</v>
      </c>
      <c r="O23" s="112">
        <v>27.6</v>
      </c>
      <c r="P23" s="111">
        <v>505</v>
      </c>
      <c r="Q23" s="112">
        <v>0.4</v>
      </c>
      <c r="R23" s="111">
        <v>1</v>
      </c>
      <c r="S23" s="114">
        <v>0</v>
      </c>
      <c r="T23" s="111">
        <v>13.4</v>
      </c>
      <c r="U23" s="112">
        <v>15.6</v>
      </c>
      <c r="V23" s="111">
        <v>8</v>
      </c>
      <c r="W23" s="112">
        <v>0.2</v>
      </c>
      <c r="X23" s="111">
        <v>12</v>
      </c>
      <c r="Y23" s="112">
        <v>425</v>
      </c>
      <c r="Z23" s="111">
        <v>0.5</v>
      </c>
      <c r="AA23" s="112">
        <v>0</v>
      </c>
      <c r="AB23" s="113">
        <v>0</v>
      </c>
    </row>
    <row r="24" spans="1:28" ht="14.25">
      <c r="A24" s="11">
        <f t="shared" si="0"/>
        <v>40014</v>
      </c>
      <c r="B24" s="111">
        <v>10.8</v>
      </c>
      <c r="C24" s="112">
        <v>13.3</v>
      </c>
      <c r="D24" s="111">
        <v>7.6</v>
      </c>
      <c r="E24" s="112">
        <v>0.2</v>
      </c>
      <c r="F24" s="111">
        <v>17.8</v>
      </c>
      <c r="G24" s="112">
        <v>415</v>
      </c>
      <c r="H24" s="111">
        <v>0.5</v>
      </c>
      <c r="I24" s="112">
        <v>0</v>
      </c>
      <c r="J24" s="113">
        <v>0</v>
      </c>
      <c r="K24" s="112">
        <v>17.899999999999999</v>
      </c>
      <c r="L24" s="111">
        <v>20.100000000000001</v>
      </c>
      <c r="M24" s="112">
        <v>7.7</v>
      </c>
      <c r="N24" s="111">
        <v>0.2</v>
      </c>
      <c r="O24" s="112">
        <v>27.6</v>
      </c>
      <c r="P24" s="111">
        <v>520</v>
      </c>
      <c r="Q24" s="112">
        <v>0.60000000000000009</v>
      </c>
      <c r="R24" s="111">
        <v>0</v>
      </c>
      <c r="S24" s="114">
        <v>0</v>
      </c>
      <c r="T24" s="111">
        <v>11.7</v>
      </c>
      <c r="U24" s="112">
        <v>13.6</v>
      </c>
      <c r="V24" s="111">
        <v>7.5</v>
      </c>
      <c r="W24" s="112">
        <v>0.15</v>
      </c>
      <c r="X24" s="111">
        <v>13.2</v>
      </c>
      <c r="Y24" s="112">
        <v>400</v>
      </c>
      <c r="Z24" s="111">
        <v>0.4</v>
      </c>
      <c r="AA24" s="112">
        <v>0</v>
      </c>
      <c r="AB24" s="113">
        <v>0</v>
      </c>
    </row>
    <row r="25" spans="1:28" ht="14.25">
      <c r="A25" s="11">
        <f t="shared" si="0"/>
        <v>40045</v>
      </c>
      <c r="B25" s="111">
        <v>11.2</v>
      </c>
      <c r="C25" s="112">
        <v>14.7</v>
      </c>
      <c r="D25" s="111">
        <v>7.75</v>
      </c>
      <c r="E25" s="112">
        <v>0.1</v>
      </c>
      <c r="F25" s="111">
        <v>18.3</v>
      </c>
      <c r="G25" s="112">
        <v>420</v>
      </c>
      <c r="H25" s="111">
        <v>0.4</v>
      </c>
      <c r="I25" s="112">
        <v>6</v>
      </c>
      <c r="J25" s="113">
        <v>10</v>
      </c>
      <c r="K25" s="112">
        <v>16.7</v>
      </c>
      <c r="L25" s="111">
        <v>21.7</v>
      </c>
      <c r="M25" s="112">
        <v>7.7</v>
      </c>
      <c r="N25" s="111">
        <v>0.2</v>
      </c>
      <c r="O25" s="112">
        <v>28.7</v>
      </c>
      <c r="P25" s="111">
        <v>500</v>
      </c>
      <c r="Q25" s="112">
        <v>0.30000000000000004</v>
      </c>
      <c r="R25" s="111">
        <v>0</v>
      </c>
      <c r="S25" s="114">
        <v>0</v>
      </c>
      <c r="T25" s="111">
        <v>12.3</v>
      </c>
      <c r="U25" s="112">
        <v>15.6</v>
      </c>
      <c r="V25" s="111">
        <v>7.7</v>
      </c>
      <c r="W25" s="112">
        <v>0.1</v>
      </c>
      <c r="X25" s="111">
        <v>13.7</v>
      </c>
      <c r="Y25" s="112">
        <v>410</v>
      </c>
      <c r="Z25" s="111">
        <v>0.30000000000000004</v>
      </c>
      <c r="AA25" s="112">
        <v>1</v>
      </c>
      <c r="AB25" s="113">
        <v>0</v>
      </c>
    </row>
    <row r="26" spans="1:28" ht="14.25">
      <c r="A26" s="11">
        <f t="shared" si="0"/>
        <v>40076</v>
      </c>
      <c r="B26" s="111">
        <v>10.95</v>
      </c>
      <c r="C26" s="112">
        <v>14.25</v>
      </c>
      <c r="D26" s="111">
        <v>7.8</v>
      </c>
      <c r="E26" s="112">
        <v>0.125</v>
      </c>
      <c r="F26" s="111">
        <v>18.05</v>
      </c>
      <c r="G26" s="112">
        <v>417.5</v>
      </c>
      <c r="H26" s="111">
        <v>0.35</v>
      </c>
      <c r="I26" s="112">
        <v>2.5</v>
      </c>
      <c r="J26" s="113">
        <v>3</v>
      </c>
      <c r="K26" s="112">
        <v>17.149999999999999</v>
      </c>
      <c r="L26" s="111">
        <v>21.1</v>
      </c>
      <c r="M26" s="112">
        <v>7.6</v>
      </c>
      <c r="N26" s="111">
        <v>0.17500000000000002</v>
      </c>
      <c r="O26" s="112">
        <v>28.3</v>
      </c>
      <c r="P26" s="111">
        <v>505</v>
      </c>
      <c r="Q26" s="112">
        <v>0.4</v>
      </c>
      <c r="R26" s="111">
        <v>0</v>
      </c>
      <c r="S26" s="114">
        <v>0</v>
      </c>
      <c r="T26" s="111">
        <v>12.1</v>
      </c>
      <c r="U26" s="112">
        <v>14.9</v>
      </c>
      <c r="V26" s="111">
        <v>7.8</v>
      </c>
      <c r="W26" s="112">
        <v>0.1</v>
      </c>
      <c r="X26" s="111">
        <v>13.6</v>
      </c>
      <c r="Y26" s="112">
        <v>405</v>
      </c>
      <c r="Z26" s="111">
        <v>0.30000000000000004</v>
      </c>
      <c r="AA26" s="112">
        <v>0</v>
      </c>
      <c r="AB26" s="113">
        <v>2</v>
      </c>
    </row>
    <row r="27" spans="1:28" ht="14.25">
      <c r="A27" s="11">
        <f t="shared" si="0"/>
        <v>40106</v>
      </c>
      <c r="B27" s="111">
        <v>11.2</v>
      </c>
      <c r="C27" s="112">
        <v>14</v>
      </c>
      <c r="D27" s="111">
        <v>7.7</v>
      </c>
      <c r="E27" s="112">
        <v>0.1</v>
      </c>
      <c r="F27" s="111">
        <v>17.600000000000001</v>
      </c>
      <c r="G27" s="112">
        <v>415</v>
      </c>
      <c r="H27" s="111">
        <v>0.30000000000000004</v>
      </c>
      <c r="I27" s="112">
        <v>0</v>
      </c>
      <c r="J27" s="113">
        <v>0</v>
      </c>
      <c r="K27" s="112" t="e">
        <f>NA()</f>
        <v>#N/A</v>
      </c>
      <c r="L27" s="111" t="e">
        <f>NA()</f>
        <v>#N/A</v>
      </c>
      <c r="M27" s="112" t="e">
        <f>NA()</f>
        <v>#N/A</v>
      </c>
      <c r="N27" s="111" t="e">
        <f>NA()</f>
        <v>#N/A</v>
      </c>
      <c r="O27" s="112" t="e">
        <f>NA()</f>
        <v>#N/A</v>
      </c>
      <c r="P27" s="111" t="e">
        <f>NA()</f>
        <v>#N/A</v>
      </c>
      <c r="Q27" s="112" t="e">
        <f>NA()</f>
        <v>#N/A</v>
      </c>
      <c r="R27" s="111" t="e">
        <f>NA()</f>
        <v>#N/A</v>
      </c>
      <c r="S27" s="114" t="e">
        <f>NA()</f>
        <v>#N/A</v>
      </c>
      <c r="T27" s="111">
        <v>11.3</v>
      </c>
      <c r="U27" s="112">
        <v>13.9</v>
      </c>
      <c r="V27" s="111">
        <v>7.6</v>
      </c>
      <c r="W27" s="112">
        <v>0.1</v>
      </c>
      <c r="X27" s="111">
        <v>13.5</v>
      </c>
      <c r="Y27" s="112">
        <v>390</v>
      </c>
      <c r="Z27" s="111">
        <v>0.4</v>
      </c>
      <c r="AA27" s="112">
        <v>1</v>
      </c>
      <c r="AB27" s="113">
        <v>3</v>
      </c>
    </row>
    <row r="28" spans="1:28" ht="14.25">
      <c r="A28" s="11">
        <f t="shared" si="0"/>
        <v>40137</v>
      </c>
      <c r="B28" s="111">
        <v>10.050000000000001</v>
      </c>
      <c r="C28" s="112">
        <v>14</v>
      </c>
      <c r="D28" s="111">
        <v>7.8</v>
      </c>
      <c r="E28" s="112">
        <v>0.2</v>
      </c>
      <c r="F28" s="111">
        <v>18.2</v>
      </c>
      <c r="G28" s="112">
        <v>397.5</v>
      </c>
      <c r="H28" s="111">
        <v>0.35</v>
      </c>
      <c r="I28" s="112">
        <v>10</v>
      </c>
      <c r="J28" s="113">
        <v>0</v>
      </c>
      <c r="K28" s="112">
        <v>17.5</v>
      </c>
      <c r="L28" s="111">
        <v>21.15</v>
      </c>
      <c r="M28" s="112">
        <v>7.6</v>
      </c>
      <c r="N28" s="111">
        <v>0.2</v>
      </c>
      <c r="O28" s="112">
        <v>28.85</v>
      </c>
      <c r="P28" s="111">
        <v>515</v>
      </c>
      <c r="Q28" s="112">
        <v>0.55000000000000004</v>
      </c>
      <c r="R28" s="111">
        <v>0</v>
      </c>
      <c r="S28" s="114">
        <v>0</v>
      </c>
      <c r="T28" s="111">
        <v>10.65</v>
      </c>
      <c r="U28" s="112">
        <v>14.55</v>
      </c>
      <c r="V28" s="111">
        <v>7.35</v>
      </c>
      <c r="W28" s="112">
        <v>0.125</v>
      </c>
      <c r="X28" s="111">
        <v>13.4</v>
      </c>
      <c r="Y28" s="112">
        <v>382.5</v>
      </c>
      <c r="Z28" s="111">
        <v>0.35</v>
      </c>
      <c r="AA28" s="112">
        <v>13.5</v>
      </c>
      <c r="AB28" s="113">
        <v>15.5</v>
      </c>
    </row>
    <row r="29" spans="1:28" ht="15" thickBot="1">
      <c r="A29" s="16">
        <f t="shared" si="0"/>
        <v>40167</v>
      </c>
      <c r="B29" s="115">
        <v>10.1</v>
      </c>
      <c r="C29" s="116">
        <v>13.1</v>
      </c>
      <c r="D29" s="115">
        <v>8</v>
      </c>
      <c r="E29" s="116">
        <v>0.25</v>
      </c>
      <c r="F29" s="115">
        <v>18.100000000000001</v>
      </c>
      <c r="G29" s="116">
        <v>395</v>
      </c>
      <c r="H29" s="115">
        <v>0.4</v>
      </c>
      <c r="I29" s="116">
        <v>0</v>
      </c>
      <c r="J29" s="117">
        <v>0</v>
      </c>
      <c r="K29" s="116" t="e">
        <f>NA()</f>
        <v>#N/A</v>
      </c>
      <c r="L29" s="115" t="e">
        <f>NA()</f>
        <v>#N/A</v>
      </c>
      <c r="M29" s="116" t="e">
        <f>NA()</f>
        <v>#N/A</v>
      </c>
      <c r="N29" s="115" t="e">
        <f>NA()</f>
        <v>#N/A</v>
      </c>
      <c r="O29" s="116" t="e">
        <f>NA()</f>
        <v>#N/A</v>
      </c>
      <c r="P29" s="115" t="e">
        <f>NA()</f>
        <v>#N/A</v>
      </c>
      <c r="Q29" s="116" t="e">
        <f>NA()</f>
        <v>#N/A</v>
      </c>
      <c r="R29" s="115" t="e">
        <f>NA()</f>
        <v>#N/A</v>
      </c>
      <c r="S29" s="118" t="e">
        <f>NA()</f>
        <v>#N/A</v>
      </c>
      <c r="T29" s="115" t="e">
        <f>NA()</f>
        <v>#N/A</v>
      </c>
      <c r="U29" s="116" t="e">
        <f>NA()</f>
        <v>#N/A</v>
      </c>
      <c r="V29" s="115" t="e">
        <f>NA()</f>
        <v>#N/A</v>
      </c>
      <c r="W29" s="116" t="e">
        <f>NA()</f>
        <v>#N/A</v>
      </c>
      <c r="X29" s="115" t="e">
        <f>NA()</f>
        <v>#N/A</v>
      </c>
      <c r="Y29" s="116" t="e">
        <f>NA()</f>
        <v>#N/A</v>
      </c>
      <c r="Z29" s="115" t="e">
        <f>NA()</f>
        <v>#N/A</v>
      </c>
      <c r="AA29" s="116" t="e">
        <f>NA()</f>
        <v>#N/A</v>
      </c>
      <c r="AB29" s="117" t="e">
        <f>NA()</f>
        <v>#N/A</v>
      </c>
    </row>
    <row r="30" spans="1:28" ht="14.25">
      <c r="A30" s="11">
        <f t="shared" si="0"/>
        <v>40198</v>
      </c>
      <c r="B30" s="111">
        <v>10.9</v>
      </c>
      <c r="C30" s="112">
        <v>13.4</v>
      </c>
      <c r="D30" s="111">
        <v>8</v>
      </c>
      <c r="E30" s="112">
        <v>0.1</v>
      </c>
      <c r="F30" s="111">
        <v>27.9</v>
      </c>
      <c r="G30" s="112">
        <v>405</v>
      </c>
      <c r="H30" s="111">
        <v>0.60000000000000009</v>
      </c>
      <c r="I30" s="112">
        <v>0</v>
      </c>
      <c r="J30" s="113">
        <v>3</v>
      </c>
      <c r="K30" s="112">
        <v>14.4</v>
      </c>
      <c r="L30" s="111">
        <v>17.2</v>
      </c>
      <c r="M30" s="112">
        <v>7.55</v>
      </c>
      <c r="N30" s="111">
        <v>0.1</v>
      </c>
      <c r="O30" s="112">
        <v>16.600000000000001</v>
      </c>
      <c r="P30" s="111">
        <v>455</v>
      </c>
      <c r="Q30" s="112">
        <v>0.60000000000000009</v>
      </c>
      <c r="R30" s="111">
        <v>0</v>
      </c>
      <c r="S30" s="114">
        <v>4</v>
      </c>
      <c r="T30" s="111">
        <v>11.6</v>
      </c>
      <c r="U30" s="112">
        <v>13.7</v>
      </c>
      <c r="V30" s="111">
        <v>7.9</v>
      </c>
      <c r="W30" s="112">
        <v>0.125</v>
      </c>
      <c r="X30" s="111">
        <v>15.35</v>
      </c>
      <c r="Y30" s="112">
        <v>387.5</v>
      </c>
      <c r="Z30" s="111">
        <v>0.35</v>
      </c>
      <c r="AA30" s="112">
        <v>1</v>
      </c>
      <c r="AB30" s="113">
        <v>1.5</v>
      </c>
    </row>
    <row r="31" spans="1:28" ht="14.25">
      <c r="A31" s="11">
        <f t="shared" si="0"/>
        <v>40229</v>
      </c>
      <c r="B31" s="111">
        <v>10.5</v>
      </c>
      <c r="C31" s="112">
        <v>12.9</v>
      </c>
      <c r="D31" s="111">
        <v>8.1</v>
      </c>
      <c r="E31" s="112">
        <v>0.1</v>
      </c>
      <c r="F31" s="111">
        <v>19</v>
      </c>
      <c r="G31" s="112">
        <v>395</v>
      </c>
      <c r="H31" s="111">
        <v>0.30000000000000004</v>
      </c>
      <c r="I31" s="112">
        <v>2</v>
      </c>
      <c r="J31" s="113">
        <v>1</v>
      </c>
      <c r="K31" s="112">
        <v>16.899999999999999</v>
      </c>
      <c r="L31" s="111">
        <v>18.3</v>
      </c>
      <c r="M31" s="112">
        <v>7.85</v>
      </c>
      <c r="N31" s="111">
        <v>0.15</v>
      </c>
      <c r="O31" s="112">
        <v>28.9</v>
      </c>
      <c r="P31" s="111">
        <v>480</v>
      </c>
      <c r="Q31" s="112">
        <v>0.4</v>
      </c>
      <c r="R31" s="111">
        <v>0</v>
      </c>
      <c r="S31" s="114">
        <v>3</v>
      </c>
      <c r="T31" s="111" t="e">
        <f>NA()</f>
        <v>#N/A</v>
      </c>
      <c r="U31" s="112" t="e">
        <f>NA()</f>
        <v>#N/A</v>
      </c>
      <c r="V31" s="111" t="e">
        <f>NA()</f>
        <v>#N/A</v>
      </c>
      <c r="W31" s="112" t="e">
        <f>NA()</f>
        <v>#N/A</v>
      </c>
      <c r="X31" s="111" t="e">
        <f>NA()</f>
        <v>#N/A</v>
      </c>
      <c r="Y31" s="112" t="e">
        <f>NA()</f>
        <v>#N/A</v>
      </c>
      <c r="Z31" s="111" t="e">
        <f>NA()</f>
        <v>#N/A</v>
      </c>
      <c r="AA31" s="112" t="e">
        <f>NA()</f>
        <v>#N/A</v>
      </c>
      <c r="AB31" s="113" t="e">
        <f>NA()</f>
        <v>#N/A</v>
      </c>
    </row>
    <row r="32" spans="1:28" ht="14.25">
      <c r="A32" s="11">
        <f t="shared" si="0"/>
        <v>40257</v>
      </c>
      <c r="B32" s="111">
        <v>10.65</v>
      </c>
      <c r="C32" s="112">
        <v>13.1</v>
      </c>
      <c r="D32" s="111">
        <v>7.85</v>
      </c>
      <c r="E32" s="112">
        <v>0.125</v>
      </c>
      <c r="F32" s="111">
        <v>19.55</v>
      </c>
      <c r="G32" s="112">
        <v>410</v>
      </c>
      <c r="H32" s="111">
        <v>0.30000000000000004</v>
      </c>
      <c r="I32" s="112">
        <v>0.5</v>
      </c>
      <c r="J32" s="113">
        <v>0.5</v>
      </c>
      <c r="K32" s="112">
        <v>18.149999999999999</v>
      </c>
      <c r="L32" s="111">
        <v>20.95</v>
      </c>
      <c r="M32" s="112">
        <v>7.75</v>
      </c>
      <c r="N32" s="111">
        <v>0.2</v>
      </c>
      <c r="O32" s="112">
        <v>28.5</v>
      </c>
      <c r="P32" s="111">
        <v>517.5</v>
      </c>
      <c r="Q32" s="112">
        <v>0.5</v>
      </c>
      <c r="R32" s="111">
        <v>1</v>
      </c>
      <c r="S32" s="114">
        <v>1</v>
      </c>
      <c r="T32" s="111">
        <v>11.85</v>
      </c>
      <c r="U32" s="112">
        <v>12.5</v>
      </c>
      <c r="V32" s="111">
        <v>7.7</v>
      </c>
      <c r="W32" s="112">
        <v>0.125</v>
      </c>
      <c r="X32" s="111">
        <v>12.7</v>
      </c>
      <c r="Y32" s="112">
        <v>395</v>
      </c>
      <c r="Z32" s="111">
        <v>0.30000000000000004</v>
      </c>
      <c r="AA32" s="112">
        <v>0</v>
      </c>
      <c r="AB32" s="113">
        <v>0</v>
      </c>
    </row>
    <row r="33" spans="1:28" ht="14.25">
      <c r="A33" s="11">
        <f t="shared" si="0"/>
        <v>40288</v>
      </c>
      <c r="B33" s="111">
        <v>10.8</v>
      </c>
      <c r="C33" s="112">
        <v>13.6</v>
      </c>
      <c r="D33" s="111">
        <v>7.8250000000000002</v>
      </c>
      <c r="E33" s="112">
        <v>0.1</v>
      </c>
      <c r="F33" s="111">
        <v>17.8</v>
      </c>
      <c r="G33" s="112">
        <v>410</v>
      </c>
      <c r="H33" s="111">
        <v>0.30000000000000004</v>
      </c>
      <c r="I33" s="112">
        <v>2.5</v>
      </c>
      <c r="J33" s="113">
        <v>4</v>
      </c>
      <c r="K33" s="112">
        <v>17.95</v>
      </c>
      <c r="L33" s="111">
        <v>20.2</v>
      </c>
      <c r="M33" s="112">
        <v>7.9249999999999998</v>
      </c>
      <c r="N33" s="111">
        <v>0.15</v>
      </c>
      <c r="O33" s="112">
        <v>27.65</v>
      </c>
      <c r="P33" s="111">
        <v>520</v>
      </c>
      <c r="Q33" s="112">
        <v>0.45</v>
      </c>
      <c r="R33" s="111">
        <v>0.5</v>
      </c>
      <c r="S33" s="114">
        <v>0.5</v>
      </c>
      <c r="T33" s="111">
        <v>12.2</v>
      </c>
      <c r="U33" s="112">
        <v>14.5</v>
      </c>
      <c r="V33" s="111">
        <v>8</v>
      </c>
      <c r="W33" s="112">
        <v>0.1</v>
      </c>
      <c r="X33" s="111">
        <v>11.2</v>
      </c>
      <c r="Y33" s="112">
        <v>400</v>
      </c>
      <c r="Z33" s="111">
        <v>0.30000000000000004</v>
      </c>
      <c r="AA33" s="112">
        <v>20</v>
      </c>
      <c r="AB33" s="113">
        <v>22</v>
      </c>
    </row>
    <row r="34" spans="1:28" ht="14.25">
      <c r="A34" s="11">
        <f t="shared" si="0"/>
        <v>40318</v>
      </c>
      <c r="B34" s="111">
        <v>11.4</v>
      </c>
      <c r="C34" s="112">
        <v>14.2</v>
      </c>
      <c r="D34" s="111">
        <v>7.95</v>
      </c>
      <c r="E34" s="112">
        <v>0.1</v>
      </c>
      <c r="F34" s="111">
        <v>19.100000000000001</v>
      </c>
      <c r="G34" s="112">
        <v>420</v>
      </c>
      <c r="H34" s="111">
        <v>0.5</v>
      </c>
      <c r="I34" s="112">
        <v>0</v>
      </c>
      <c r="J34" s="113">
        <v>0</v>
      </c>
      <c r="K34" s="112">
        <v>17.899999999999999</v>
      </c>
      <c r="L34" s="111">
        <v>20</v>
      </c>
      <c r="M34" s="112">
        <v>7.6</v>
      </c>
      <c r="N34" s="111">
        <v>0.4</v>
      </c>
      <c r="O34" s="112">
        <v>26.8</v>
      </c>
      <c r="P34" s="111">
        <v>520</v>
      </c>
      <c r="Q34" s="112">
        <v>0.4</v>
      </c>
      <c r="R34" s="111">
        <v>0</v>
      </c>
      <c r="S34" s="114">
        <v>0</v>
      </c>
      <c r="T34" s="111">
        <v>12</v>
      </c>
      <c r="U34" s="112">
        <v>14.7</v>
      </c>
      <c r="V34" s="111">
        <v>7.9</v>
      </c>
      <c r="W34" s="112">
        <v>0.1</v>
      </c>
      <c r="X34" s="111">
        <v>12.7</v>
      </c>
      <c r="Y34" s="112">
        <v>400</v>
      </c>
      <c r="Z34" s="111">
        <v>0.5</v>
      </c>
      <c r="AA34" s="112">
        <v>0</v>
      </c>
      <c r="AB34" s="113">
        <v>0</v>
      </c>
    </row>
    <row r="35" spans="1:28" ht="14.25">
      <c r="A35" s="11">
        <f t="shared" si="0"/>
        <v>40349</v>
      </c>
      <c r="B35" s="111">
        <v>11.8</v>
      </c>
      <c r="C35" s="112">
        <v>14.6</v>
      </c>
      <c r="D35" s="111">
        <v>8</v>
      </c>
      <c r="E35" s="112">
        <v>0.1</v>
      </c>
      <c r="F35" s="111">
        <v>18.7</v>
      </c>
      <c r="G35" s="112">
        <v>435</v>
      </c>
      <c r="H35" s="111">
        <v>0.4</v>
      </c>
      <c r="I35" s="112">
        <v>0</v>
      </c>
      <c r="J35" s="113">
        <v>0</v>
      </c>
      <c r="K35" s="112">
        <v>18.399999999999999</v>
      </c>
      <c r="L35" s="111">
        <v>21</v>
      </c>
      <c r="M35" s="112">
        <v>7.9</v>
      </c>
      <c r="N35" s="111">
        <v>0.2</v>
      </c>
      <c r="O35" s="112">
        <v>26.4</v>
      </c>
      <c r="P35" s="111">
        <v>540</v>
      </c>
      <c r="Q35" s="112">
        <v>0.4</v>
      </c>
      <c r="R35" s="111">
        <v>0</v>
      </c>
      <c r="S35" s="114">
        <v>32</v>
      </c>
      <c r="T35" s="111">
        <v>13.2</v>
      </c>
      <c r="U35" s="112">
        <v>15.6</v>
      </c>
      <c r="V35" s="111">
        <v>8.1</v>
      </c>
      <c r="W35" s="112">
        <v>0.1</v>
      </c>
      <c r="X35" s="111">
        <v>12</v>
      </c>
      <c r="Y35" s="112">
        <v>430</v>
      </c>
      <c r="Z35" s="111">
        <v>0.30000000000000004</v>
      </c>
      <c r="AA35" s="112">
        <v>0</v>
      </c>
      <c r="AB35" s="113">
        <v>2</v>
      </c>
    </row>
    <row r="36" spans="1:28" ht="14.25">
      <c r="A36" s="11">
        <f t="shared" si="0"/>
        <v>40379</v>
      </c>
      <c r="B36" s="111">
        <v>10.95</v>
      </c>
      <c r="C36" s="112">
        <v>12.6</v>
      </c>
      <c r="D36" s="111">
        <v>7.875</v>
      </c>
      <c r="E36" s="112">
        <v>0.1</v>
      </c>
      <c r="F36" s="111">
        <v>18.55</v>
      </c>
      <c r="G36" s="112">
        <v>415</v>
      </c>
      <c r="H36" s="111">
        <v>0.5</v>
      </c>
      <c r="I36" s="112">
        <v>0</v>
      </c>
      <c r="J36" s="113">
        <v>3.5</v>
      </c>
      <c r="K36" s="112">
        <v>16.399999999999999</v>
      </c>
      <c r="L36" s="111">
        <v>18.7</v>
      </c>
      <c r="M36" s="112">
        <v>7.6749999999999998</v>
      </c>
      <c r="N36" s="111">
        <v>0.17500000000000002</v>
      </c>
      <c r="O36" s="112">
        <v>28.35</v>
      </c>
      <c r="P36" s="111">
        <v>497.5</v>
      </c>
      <c r="Q36" s="112">
        <v>0.5</v>
      </c>
      <c r="R36" s="111">
        <v>0</v>
      </c>
      <c r="S36" s="114">
        <v>0</v>
      </c>
      <c r="T36" s="111">
        <v>13.2</v>
      </c>
      <c r="U36" s="112">
        <v>14.5</v>
      </c>
      <c r="V36" s="111">
        <v>8.1</v>
      </c>
      <c r="W36" s="112">
        <v>0.15</v>
      </c>
      <c r="X36" s="111">
        <v>13</v>
      </c>
      <c r="Y36" s="112">
        <v>425</v>
      </c>
      <c r="Z36" s="111">
        <v>0.5</v>
      </c>
      <c r="AA36" s="112">
        <v>0</v>
      </c>
      <c r="AB36" s="113">
        <v>2</v>
      </c>
    </row>
    <row r="37" spans="1:28" ht="14.25">
      <c r="A37" s="11">
        <f t="shared" si="0"/>
        <v>40410</v>
      </c>
      <c r="B37" s="111">
        <v>11.2</v>
      </c>
      <c r="C37" s="112">
        <v>13.7</v>
      </c>
      <c r="D37" s="111">
        <v>7.9</v>
      </c>
      <c r="E37" s="112">
        <v>0.1</v>
      </c>
      <c r="F37" s="111">
        <v>18.399999999999999</v>
      </c>
      <c r="G37" s="112">
        <v>415</v>
      </c>
      <c r="H37" s="111">
        <v>0.5</v>
      </c>
      <c r="I37" s="112">
        <v>0</v>
      </c>
      <c r="J37" s="113">
        <v>1</v>
      </c>
      <c r="K37" s="112">
        <v>19.100000000000001</v>
      </c>
      <c r="L37" s="111">
        <v>21.5</v>
      </c>
      <c r="M37" s="112">
        <v>7.95</v>
      </c>
      <c r="N37" s="111">
        <v>0.2</v>
      </c>
      <c r="O37" s="112">
        <v>27.1</v>
      </c>
      <c r="P37" s="111">
        <v>535</v>
      </c>
      <c r="Q37" s="112">
        <v>0.4</v>
      </c>
      <c r="R37" s="111">
        <v>0</v>
      </c>
      <c r="S37" s="114">
        <v>87</v>
      </c>
      <c r="T37" s="111">
        <v>12</v>
      </c>
      <c r="U37" s="112">
        <v>14.4</v>
      </c>
      <c r="V37" s="111">
        <v>7.8</v>
      </c>
      <c r="W37" s="112">
        <v>0.1</v>
      </c>
      <c r="X37" s="111">
        <v>12.9</v>
      </c>
      <c r="Y37" s="112">
        <v>400</v>
      </c>
      <c r="Z37" s="111">
        <v>0.30000000000000004</v>
      </c>
      <c r="AA37" s="112">
        <v>0</v>
      </c>
      <c r="AB37" s="113">
        <v>0</v>
      </c>
    </row>
    <row r="38" spans="1:28" ht="14.25">
      <c r="A38" s="11">
        <f t="shared" si="0"/>
        <v>40441</v>
      </c>
      <c r="B38" s="12">
        <v>11.05</v>
      </c>
      <c r="C38" s="13">
        <v>13.35</v>
      </c>
      <c r="D38" s="12">
        <v>7.7750000000000004</v>
      </c>
      <c r="E38" s="13">
        <v>0.1</v>
      </c>
      <c r="F38" s="12">
        <v>17.45</v>
      </c>
      <c r="G38" s="13">
        <v>410</v>
      </c>
      <c r="H38" s="12">
        <v>0.25</v>
      </c>
      <c r="I38" s="13">
        <v>4.5</v>
      </c>
      <c r="J38" s="14">
        <v>5</v>
      </c>
      <c r="K38" s="13">
        <v>17.45</v>
      </c>
      <c r="L38" s="12">
        <v>18.649999999999999</v>
      </c>
      <c r="M38" s="13">
        <v>7.85</v>
      </c>
      <c r="N38" s="12">
        <v>0.99750000000000005</v>
      </c>
      <c r="O38" s="13">
        <v>23.15</v>
      </c>
      <c r="P38" s="12">
        <v>505</v>
      </c>
      <c r="Q38" s="13">
        <v>0.35</v>
      </c>
      <c r="R38" s="12">
        <v>0</v>
      </c>
      <c r="S38" s="15">
        <v>15</v>
      </c>
      <c r="T38" s="12">
        <v>11.5</v>
      </c>
      <c r="U38" s="13">
        <v>13.4</v>
      </c>
      <c r="V38" s="12">
        <v>7.48</v>
      </c>
      <c r="W38" s="13">
        <v>0.1</v>
      </c>
      <c r="X38" s="12">
        <v>12.87</v>
      </c>
      <c r="Y38" s="13">
        <v>390</v>
      </c>
      <c r="Z38" s="12">
        <v>0.30000000000000004</v>
      </c>
      <c r="AA38" s="13">
        <v>2.33</v>
      </c>
      <c r="AB38" s="14">
        <v>4.67</v>
      </c>
    </row>
    <row r="39" spans="1:28" ht="14.25">
      <c r="A39" s="11">
        <f t="shared" ref="A39:A70" si="1">EDATE(A38, 1)</f>
        <v>40471</v>
      </c>
      <c r="B39" s="12">
        <v>11</v>
      </c>
      <c r="C39" s="13">
        <v>13.3</v>
      </c>
      <c r="D39" s="12">
        <v>8.0500000000000007</v>
      </c>
      <c r="E39" s="13">
        <v>0.2</v>
      </c>
      <c r="F39" s="12">
        <v>17.7</v>
      </c>
      <c r="G39" s="13">
        <v>405</v>
      </c>
      <c r="H39" s="12">
        <v>0.5</v>
      </c>
      <c r="I39" s="13">
        <v>89</v>
      </c>
      <c r="J39" s="14">
        <v>13</v>
      </c>
      <c r="K39" s="13" t="e">
        <f>NA()</f>
        <v>#N/A</v>
      </c>
      <c r="L39" s="12" t="e">
        <f>NA()</f>
        <v>#N/A</v>
      </c>
      <c r="M39" s="13" t="e">
        <f>NA()</f>
        <v>#N/A</v>
      </c>
      <c r="N39" s="12" t="e">
        <f>NA()</f>
        <v>#N/A</v>
      </c>
      <c r="O39" s="13" t="e">
        <f>NA()</f>
        <v>#N/A</v>
      </c>
      <c r="P39" s="12" t="e">
        <f>NA()</f>
        <v>#N/A</v>
      </c>
      <c r="Q39" s="13" t="e">
        <f>NA()</f>
        <v>#N/A</v>
      </c>
      <c r="R39" s="12" t="e">
        <f>NA()</f>
        <v>#N/A</v>
      </c>
      <c r="S39" s="15" t="e">
        <f>NA()</f>
        <v>#N/A</v>
      </c>
      <c r="T39" s="12" t="e">
        <f>NA()</f>
        <v>#N/A</v>
      </c>
      <c r="U39" s="13" t="e">
        <f>NA()</f>
        <v>#N/A</v>
      </c>
      <c r="V39" s="12" t="e">
        <f>NA()</f>
        <v>#N/A</v>
      </c>
      <c r="W39" s="13" t="e">
        <f>NA()</f>
        <v>#N/A</v>
      </c>
      <c r="X39" s="12" t="e">
        <f>NA()</f>
        <v>#N/A</v>
      </c>
      <c r="Y39" s="13" t="e">
        <f>NA()</f>
        <v>#N/A</v>
      </c>
      <c r="Z39" s="12" t="e">
        <f>NA()</f>
        <v>#N/A</v>
      </c>
      <c r="AA39" s="13" t="e">
        <f>NA()</f>
        <v>#N/A</v>
      </c>
      <c r="AB39" s="14" t="e">
        <f>NA()</f>
        <v>#N/A</v>
      </c>
    </row>
    <row r="40" spans="1:28" ht="14.25">
      <c r="A40" s="11">
        <f t="shared" si="1"/>
        <v>40502</v>
      </c>
      <c r="B40" s="12" t="e">
        <f>NA()</f>
        <v>#N/A</v>
      </c>
      <c r="C40" s="13" t="e">
        <f>NA()</f>
        <v>#N/A</v>
      </c>
      <c r="D40" s="12" t="e">
        <f>NA()</f>
        <v>#N/A</v>
      </c>
      <c r="E40" s="13" t="e">
        <f>NA()</f>
        <v>#N/A</v>
      </c>
      <c r="F40" s="12" t="e">
        <f>NA()</f>
        <v>#N/A</v>
      </c>
      <c r="G40" s="13" t="e">
        <f>NA()</f>
        <v>#N/A</v>
      </c>
      <c r="H40" s="12" t="e">
        <f>NA()</f>
        <v>#N/A</v>
      </c>
      <c r="I40" s="13" t="e">
        <f>NA()</f>
        <v>#N/A</v>
      </c>
      <c r="J40" s="14" t="e">
        <f>NA()</f>
        <v>#N/A</v>
      </c>
      <c r="K40" s="13" t="e">
        <f>NA()</f>
        <v>#N/A</v>
      </c>
      <c r="L40" s="12" t="e">
        <f>NA()</f>
        <v>#N/A</v>
      </c>
      <c r="M40" s="13" t="e">
        <f>NA()</f>
        <v>#N/A</v>
      </c>
      <c r="N40" s="12" t="e">
        <f>NA()</f>
        <v>#N/A</v>
      </c>
      <c r="O40" s="13" t="e">
        <f>NA()</f>
        <v>#N/A</v>
      </c>
      <c r="P40" s="12" t="e">
        <f>NA()</f>
        <v>#N/A</v>
      </c>
      <c r="Q40" s="13" t="e">
        <f>NA()</f>
        <v>#N/A</v>
      </c>
      <c r="R40" s="12" t="e">
        <f>NA()</f>
        <v>#N/A</v>
      </c>
      <c r="S40" s="15" t="e">
        <f>NA()</f>
        <v>#N/A</v>
      </c>
      <c r="T40" s="12">
        <v>12.6</v>
      </c>
      <c r="U40" s="13">
        <v>14.5</v>
      </c>
      <c r="V40" s="12">
        <v>7.9</v>
      </c>
      <c r="W40" s="13">
        <v>0.1</v>
      </c>
      <c r="X40" s="12">
        <v>12.9</v>
      </c>
      <c r="Y40" s="13">
        <v>390</v>
      </c>
      <c r="Z40" s="12">
        <v>0.4</v>
      </c>
      <c r="AA40" s="13">
        <v>2</v>
      </c>
      <c r="AB40" s="14">
        <v>14</v>
      </c>
    </row>
    <row r="41" spans="1:28" ht="15" thickBot="1">
      <c r="A41" s="16">
        <f t="shared" si="1"/>
        <v>40532</v>
      </c>
      <c r="B41" s="17" t="e">
        <f>NA()</f>
        <v>#N/A</v>
      </c>
      <c r="C41" s="18" t="e">
        <f>NA()</f>
        <v>#N/A</v>
      </c>
      <c r="D41" s="17" t="e">
        <f>NA()</f>
        <v>#N/A</v>
      </c>
      <c r="E41" s="89" t="e">
        <f>NA()</f>
        <v>#N/A</v>
      </c>
      <c r="F41" s="17" t="e">
        <f>NA()</f>
        <v>#N/A</v>
      </c>
      <c r="G41" s="89" t="e">
        <f>NA()</f>
        <v>#N/A</v>
      </c>
      <c r="H41" s="17" t="e">
        <f>NA()</f>
        <v>#N/A</v>
      </c>
      <c r="I41" s="89" t="e">
        <f>NA()</f>
        <v>#N/A</v>
      </c>
      <c r="J41" s="17" t="e">
        <f>NA()</f>
        <v>#N/A</v>
      </c>
      <c r="K41" s="18" t="e">
        <f>NA()</f>
        <v>#N/A</v>
      </c>
      <c r="L41" s="17" t="e">
        <f>NA()</f>
        <v>#N/A</v>
      </c>
      <c r="M41" s="18" t="e">
        <f>NA()</f>
        <v>#N/A</v>
      </c>
      <c r="N41" s="17" t="e">
        <f>NA()</f>
        <v>#N/A</v>
      </c>
      <c r="O41" s="18" t="e">
        <f>NA()</f>
        <v>#N/A</v>
      </c>
      <c r="P41" s="17" t="e">
        <f>NA()</f>
        <v>#N/A</v>
      </c>
      <c r="Q41" s="18" t="e">
        <f>NA()</f>
        <v>#N/A</v>
      </c>
      <c r="R41" s="17" t="e">
        <f>NA()</f>
        <v>#N/A</v>
      </c>
      <c r="S41" s="20" t="e">
        <f>NA()</f>
        <v>#N/A</v>
      </c>
      <c r="T41" s="17" t="e">
        <f>NA()</f>
        <v>#N/A</v>
      </c>
      <c r="U41" s="18" t="e">
        <f>NA()</f>
        <v>#N/A</v>
      </c>
      <c r="V41" s="17" t="e">
        <f>NA()</f>
        <v>#N/A</v>
      </c>
      <c r="W41" s="18" t="e">
        <f>NA()</f>
        <v>#N/A</v>
      </c>
      <c r="X41" s="17" t="e">
        <f>NA()</f>
        <v>#N/A</v>
      </c>
      <c r="Y41" s="18" t="e">
        <f>NA()</f>
        <v>#N/A</v>
      </c>
      <c r="Z41" s="17" t="e">
        <f>NA()</f>
        <v>#N/A</v>
      </c>
      <c r="AA41" s="18" t="e">
        <f>NA()</f>
        <v>#N/A</v>
      </c>
      <c r="AB41" s="19" t="e">
        <f>NA()</f>
        <v>#N/A</v>
      </c>
    </row>
    <row r="42" spans="1:28" ht="14.25">
      <c r="A42" s="11">
        <f t="shared" si="1"/>
        <v>40563</v>
      </c>
      <c r="B42" s="12"/>
      <c r="C42" s="13"/>
      <c r="D42" s="12"/>
      <c r="E42" s="13"/>
      <c r="F42" s="12"/>
      <c r="G42" s="13"/>
      <c r="H42" s="12"/>
      <c r="I42" s="13"/>
      <c r="J42" s="14"/>
      <c r="K42" s="13"/>
      <c r="L42" s="12"/>
      <c r="M42" s="13"/>
      <c r="N42" s="12"/>
      <c r="O42" s="13"/>
      <c r="P42" s="12"/>
      <c r="Q42" s="13"/>
      <c r="R42" s="12"/>
      <c r="S42" s="15"/>
      <c r="T42" s="12"/>
      <c r="U42" s="13"/>
      <c r="V42" s="12"/>
      <c r="W42" s="13"/>
      <c r="X42" s="12"/>
      <c r="Y42" s="13"/>
      <c r="Z42" s="12"/>
      <c r="AA42" s="13"/>
      <c r="AB42" s="14"/>
    </row>
    <row r="43" spans="1:28" ht="14.25">
      <c r="A43" s="11">
        <f t="shared" si="1"/>
        <v>40594</v>
      </c>
      <c r="B43" s="12"/>
      <c r="C43" s="13"/>
      <c r="D43" s="12"/>
      <c r="E43" s="13"/>
      <c r="F43" s="12"/>
      <c r="G43" s="13"/>
      <c r="H43" s="12"/>
      <c r="I43" s="13"/>
      <c r="J43" s="14"/>
      <c r="K43" s="13"/>
      <c r="L43" s="12"/>
      <c r="M43" s="13"/>
      <c r="N43" s="12"/>
      <c r="O43" s="13"/>
      <c r="P43" s="12"/>
      <c r="Q43" s="13"/>
      <c r="R43" s="12"/>
      <c r="S43" s="15"/>
      <c r="T43" s="12"/>
      <c r="U43" s="13"/>
      <c r="V43" s="12"/>
      <c r="W43" s="13"/>
      <c r="X43" s="12"/>
      <c r="Y43" s="13"/>
      <c r="Z43" s="12"/>
      <c r="AA43" s="13"/>
      <c r="AB43" s="14"/>
    </row>
    <row r="44" spans="1:28" ht="14.25">
      <c r="A44" s="11">
        <f t="shared" si="1"/>
        <v>40622</v>
      </c>
      <c r="B44" s="12"/>
      <c r="C44" s="13"/>
      <c r="D44" s="12"/>
      <c r="E44" s="13"/>
      <c r="F44" s="12"/>
      <c r="G44" s="13"/>
      <c r="H44" s="12"/>
      <c r="I44" s="13"/>
      <c r="J44" s="14"/>
      <c r="K44" s="13"/>
      <c r="L44" s="12"/>
      <c r="M44" s="13"/>
      <c r="N44" s="12"/>
      <c r="O44" s="13"/>
      <c r="P44" s="12"/>
      <c r="Q44" s="13"/>
      <c r="R44" s="12"/>
      <c r="S44" s="15"/>
      <c r="T44" s="12"/>
      <c r="U44" s="13"/>
      <c r="V44" s="12"/>
      <c r="W44" s="13"/>
      <c r="X44" s="12"/>
      <c r="Y44" s="13"/>
      <c r="Z44" s="12"/>
      <c r="AA44" s="13"/>
      <c r="AB44" s="14"/>
    </row>
    <row r="45" spans="1:28" ht="14.25">
      <c r="A45" s="11">
        <f t="shared" si="1"/>
        <v>40653</v>
      </c>
      <c r="B45" s="12"/>
      <c r="C45" s="13"/>
      <c r="D45" s="12"/>
      <c r="E45" s="13"/>
      <c r="F45" s="12"/>
      <c r="G45" s="13"/>
      <c r="H45" s="12"/>
      <c r="I45" s="13"/>
      <c r="J45" s="14"/>
      <c r="K45" s="13"/>
      <c r="L45" s="12"/>
      <c r="M45" s="13"/>
      <c r="N45" s="12"/>
      <c r="O45" s="13"/>
      <c r="P45" s="12"/>
      <c r="Q45" s="13"/>
      <c r="R45" s="12"/>
      <c r="S45" s="15"/>
      <c r="T45" s="12"/>
      <c r="U45" s="13"/>
      <c r="V45" s="12"/>
      <c r="W45" s="13"/>
      <c r="X45" s="12"/>
      <c r="Y45" s="13"/>
      <c r="Z45" s="12"/>
      <c r="AA45" s="13"/>
      <c r="AB45" s="14"/>
    </row>
    <row r="46" spans="1:28" ht="14.25">
      <c r="A46" s="11">
        <f t="shared" si="1"/>
        <v>40683</v>
      </c>
      <c r="B46" s="12"/>
      <c r="C46" s="13"/>
      <c r="D46" s="12"/>
      <c r="E46" s="13"/>
      <c r="F46" s="12"/>
      <c r="G46" s="13"/>
      <c r="H46" s="12"/>
      <c r="I46" s="13"/>
      <c r="J46" s="14"/>
      <c r="K46" s="13"/>
      <c r="L46" s="12"/>
      <c r="M46" s="13"/>
      <c r="N46" s="12"/>
      <c r="O46" s="13"/>
      <c r="P46" s="12"/>
      <c r="Q46" s="13"/>
      <c r="R46" s="12"/>
      <c r="S46" s="15"/>
      <c r="T46" s="12"/>
      <c r="U46" s="13"/>
      <c r="V46" s="12"/>
      <c r="W46" s="13"/>
      <c r="X46" s="12"/>
      <c r="Y46" s="13"/>
      <c r="Z46" s="12"/>
      <c r="AA46" s="13"/>
      <c r="AB46" s="14"/>
    </row>
    <row r="47" spans="1:28" ht="14.25">
      <c r="A47" s="11">
        <f t="shared" si="1"/>
        <v>40714</v>
      </c>
      <c r="B47" s="12"/>
      <c r="C47" s="13"/>
      <c r="D47" s="12"/>
      <c r="E47" s="13"/>
      <c r="F47" s="12"/>
      <c r="G47" s="13"/>
      <c r="H47" s="12"/>
      <c r="I47" s="13"/>
      <c r="J47" s="14"/>
      <c r="K47" s="13"/>
      <c r="L47" s="12"/>
      <c r="M47" s="13"/>
      <c r="N47" s="12"/>
      <c r="O47" s="13"/>
      <c r="P47" s="12"/>
      <c r="Q47" s="13"/>
      <c r="R47" s="12"/>
      <c r="S47" s="15"/>
      <c r="T47" s="12"/>
      <c r="U47" s="13"/>
      <c r="V47" s="12"/>
      <c r="W47" s="13"/>
      <c r="X47" s="12"/>
      <c r="Y47" s="13"/>
      <c r="Z47" s="12"/>
      <c r="AA47" s="13"/>
      <c r="AB47" s="14"/>
    </row>
    <row r="48" spans="1:28" ht="14.25">
      <c r="A48" s="11">
        <f t="shared" si="1"/>
        <v>40744</v>
      </c>
      <c r="B48" s="12"/>
      <c r="C48" s="13"/>
      <c r="D48" s="12"/>
      <c r="E48" s="13"/>
      <c r="F48" s="12"/>
      <c r="G48" s="13"/>
      <c r="H48" s="12"/>
      <c r="I48" s="13"/>
      <c r="J48" s="14"/>
      <c r="K48" s="13"/>
      <c r="L48" s="12"/>
      <c r="M48" s="13"/>
      <c r="N48" s="12"/>
      <c r="O48" s="13"/>
      <c r="P48" s="12"/>
      <c r="Q48" s="13"/>
      <c r="R48" s="12"/>
      <c r="S48" s="15"/>
      <c r="T48" s="12"/>
      <c r="U48" s="13"/>
      <c r="V48" s="12"/>
      <c r="W48" s="13"/>
      <c r="X48" s="12"/>
      <c r="Y48" s="13"/>
      <c r="Z48" s="12"/>
      <c r="AA48" s="13"/>
      <c r="AB48" s="14"/>
    </row>
    <row r="49" spans="1:28" ht="14.25">
      <c r="A49" s="11">
        <f t="shared" si="1"/>
        <v>40775</v>
      </c>
      <c r="B49" s="12"/>
      <c r="C49" s="13"/>
      <c r="D49" s="12"/>
      <c r="E49" s="13"/>
      <c r="F49" s="12"/>
      <c r="G49" s="13"/>
      <c r="H49" s="12"/>
      <c r="I49" s="13"/>
      <c r="J49" s="14"/>
      <c r="K49" s="13"/>
      <c r="L49" s="12"/>
      <c r="M49" s="13"/>
      <c r="N49" s="12"/>
      <c r="O49" s="13"/>
      <c r="P49" s="12"/>
      <c r="Q49" s="13"/>
      <c r="R49" s="12"/>
      <c r="S49" s="15"/>
      <c r="T49" s="12"/>
      <c r="U49" s="13"/>
      <c r="V49" s="12"/>
      <c r="W49" s="13"/>
      <c r="X49" s="12"/>
      <c r="Y49" s="13"/>
      <c r="Z49" s="12"/>
      <c r="AA49" s="13"/>
      <c r="AB49" s="14"/>
    </row>
    <row r="50" spans="1:28" ht="14.25">
      <c r="A50" s="11">
        <f t="shared" si="1"/>
        <v>40806</v>
      </c>
      <c r="B50" s="12"/>
      <c r="C50" s="13"/>
      <c r="D50" s="12"/>
      <c r="E50" s="13"/>
      <c r="F50" s="12"/>
      <c r="G50" s="13"/>
      <c r="H50" s="12"/>
      <c r="I50" s="13"/>
      <c r="J50" s="14"/>
      <c r="K50" s="13"/>
      <c r="L50" s="12"/>
      <c r="M50" s="13"/>
      <c r="N50" s="12"/>
      <c r="O50" s="13"/>
      <c r="P50" s="12"/>
      <c r="Q50" s="13"/>
      <c r="R50" s="12"/>
      <c r="S50" s="15"/>
      <c r="T50" s="12"/>
      <c r="U50" s="13"/>
      <c r="V50" s="12"/>
      <c r="W50" s="13"/>
      <c r="X50" s="12"/>
      <c r="Y50" s="13"/>
      <c r="Z50" s="12"/>
      <c r="AA50" s="13"/>
      <c r="AB50" s="14"/>
    </row>
    <row r="51" spans="1:28" ht="14.25">
      <c r="A51" s="11">
        <f t="shared" si="1"/>
        <v>40836</v>
      </c>
      <c r="B51" s="12"/>
      <c r="C51" s="13"/>
      <c r="D51" s="12"/>
      <c r="E51" s="13"/>
      <c r="F51" s="12"/>
      <c r="G51" s="13"/>
      <c r="H51" s="12"/>
      <c r="I51" s="13"/>
      <c r="J51" s="14"/>
      <c r="K51" s="13"/>
      <c r="L51" s="12"/>
      <c r="M51" s="13"/>
      <c r="N51" s="12"/>
      <c r="O51" s="13"/>
      <c r="P51" s="12"/>
      <c r="Q51" s="13"/>
      <c r="R51" s="12"/>
      <c r="S51" s="15"/>
      <c r="T51" s="12"/>
      <c r="U51" s="13"/>
      <c r="V51" s="12"/>
      <c r="W51" s="13"/>
      <c r="X51" s="12"/>
      <c r="Y51" s="13"/>
      <c r="Z51" s="12"/>
      <c r="AA51" s="13"/>
      <c r="AB51" s="14"/>
    </row>
    <row r="52" spans="1:28" ht="14.25">
      <c r="A52" s="11">
        <f t="shared" si="1"/>
        <v>40867</v>
      </c>
      <c r="B52" s="12"/>
      <c r="C52" s="13"/>
      <c r="D52" s="12"/>
      <c r="E52" s="13"/>
      <c r="F52" s="12"/>
      <c r="G52" s="13"/>
      <c r="H52" s="12"/>
      <c r="I52" s="13"/>
      <c r="J52" s="14"/>
      <c r="K52" s="13"/>
      <c r="L52" s="12"/>
      <c r="M52" s="13"/>
      <c r="N52" s="12"/>
      <c r="O52" s="13"/>
      <c r="P52" s="12"/>
      <c r="Q52" s="13"/>
      <c r="R52" s="12"/>
      <c r="S52" s="15"/>
      <c r="T52" s="12"/>
      <c r="U52" s="13"/>
      <c r="V52" s="12"/>
      <c r="W52" s="13"/>
      <c r="X52" s="12"/>
      <c r="Y52" s="13"/>
      <c r="Z52" s="12"/>
      <c r="AA52" s="13"/>
      <c r="AB52" s="14"/>
    </row>
    <row r="53" spans="1:28" ht="14.25">
      <c r="A53" s="16">
        <f t="shared" si="1"/>
        <v>40897</v>
      </c>
      <c r="B53" s="17"/>
      <c r="C53" s="18"/>
      <c r="D53" s="17"/>
      <c r="E53" s="18"/>
      <c r="F53" s="17"/>
      <c r="G53" s="18"/>
      <c r="H53" s="17"/>
      <c r="I53" s="18"/>
      <c r="J53" s="19"/>
      <c r="K53" s="18"/>
      <c r="L53" s="17"/>
      <c r="M53" s="18"/>
      <c r="N53" s="17"/>
      <c r="O53" s="18"/>
      <c r="P53" s="17"/>
      <c r="Q53" s="18"/>
      <c r="R53" s="17"/>
      <c r="S53" s="20"/>
      <c r="T53" s="17"/>
      <c r="U53" s="18"/>
      <c r="V53" s="17"/>
      <c r="W53" s="18"/>
      <c r="X53" s="17"/>
      <c r="Y53" s="18"/>
      <c r="Z53" s="17"/>
      <c r="AA53" s="18"/>
      <c r="AB53" s="19"/>
    </row>
    <row r="54" spans="1:28" ht="14.25">
      <c r="A54" s="11">
        <f t="shared" si="1"/>
        <v>40928</v>
      </c>
      <c r="B54" s="12"/>
      <c r="C54" s="13"/>
      <c r="D54" s="12"/>
      <c r="E54" s="13"/>
      <c r="F54" s="12"/>
      <c r="G54" s="13"/>
      <c r="H54" s="12"/>
      <c r="I54" s="13"/>
      <c r="J54" s="14"/>
      <c r="K54" s="13"/>
      <c r="L54" s="12"/>
      <c r="M54" s="13"/>
      <c r="N54" s="12"/>
      <c r="O54" s="13"/>
      <c r="P54" s="12"/>
      <c r="Q54" s="13"/>
      <c r="R54" s="12"/>
      <c r="S54" s="15"/>
      <c r="T54" s="12"/>
      <c r="U54" s="13"/>
      <c r="V54" s="12"/>
      <c r="W54" s="13"/>
      <c r="X54" s="12"/>
      <c r="Y54" s="13"/>
      <c r="Z54" s="12"/>
      <c r="AA54" s="13"/>
      <c r="AB54" s="14"/>
    </row>
    <row r="55" spans="1:28" ht="14.25">
      <c r="A55" s="11">
        <f t="shared" si="1"/>
        <v>40959</v>
      </c>
      <c r="B55" s="12"/>
      <c r="C55" s="13"/>
      <c r="D55" s="12"/>
      <c r="E55" s="13"/>
      <c r="F55" s="12"/>
      <c r="G55" s="13"/>
      <c r="H55" s="12"/>
      <c r="I55" s="13"/>
      <c r="J55" s="14"/>
      <c r="K55" s="13"/>
      <c r="L55" s="12"/>
      <c r="M55" s="13"/>
      <c r="N55" s="12"/>
      <c r="O55" s="13"/>
      <c r="P55" s="12"/>
      <c r="Q55" s="13"/>
      <c r="R55" s="12"/>
      <c r="S55" s="15"/>
      <c r="T55" s="12"/>
      <c r="U55" s="13"/>
      <c r="V55" s="12"/>
      <c r="W55" s="13"/>
      <c r="X55" s="12"/>
      <c r="Y55" s="13"/>
      <c r="Z55" s="12"/>
      <c r="AA55" s="13"/>
      <c r="AB55" s="14"/>
    </row>
    <row r="56" spans="1:28" ht="14.25">
      <c r="A56" s="11">
        <f t="shared" si="1"/>
        <v>40988</v>
      </c>
      <c r="B56" s="12"/>
      <c r="C56" s="13"/>
      <c r="D56" s="12"/>
      <c r="E56" s="13"/>
      <c r="F56" s="12"/>
      <c r="G56" s="13"/>
      <c r="H56" s="12"/>
      <c r="I56" s="13"/>
      <c r="J56" s="14"/>
      <c r="K56" s="13"/>
      <c r="L56" s="12"/>
      <c r="M56" s="13"/>
      <c r="N56" s="12"/>
      <c r="O56" s="13"/>
      <c r="P56" s="12"/>
      <c r="Q56" s="13"/>
      <c r="R56" s="12"/>
      <c r="S56" s="15"/>
      <c r="T56" s="12"/>
      <c r="U56" s="13"/>
      <c r="V56" s="12"/>
      <c r="W56" s="13"/>
      <c r="X56" s="12"/>
      <c r="Y56" s="13"/>
      <c r="Z56" s="12"/>
      <c r="AA56" s="13"/>
      <c r="AB56" s="14"/>
    </row>
    <row r="57" spans="1:28" ht="14.25">
      <c r="A57" s="11">
        <f t="shared" si="1"/>
        <v>41019</v>
      </c>
      <c r="B57" s="12"/>
      <c r="C57" s="13"/>
      <c r="D57" s="12"/>
      <c r="E57" s="13"/>
      <c r="F57" s="12"/>
      <c r="G57" s="13"/>
      <c r="H57" s="12"/>
      <c r="I57" s="13"/>
      <c r="J57" s="14"/>
      <c r="K57" s="13"/>
      <c r="L57" s="12"/>
      <c r="M57" s="13"/>
      <c r="N57" s="12"/>
      <c r="O57" s="13"/>
      <c r="P57" s="12"/>
      <c r="Q57" s="13"/>
      <c r="R57" s="12"/>
      <c r="S57" s="15"/>
      <c r="T57" s="12"/>
      <c r="U57" s="13"/>
      <c r="V57" s="12"/>
      <c r="W57" s="13"/>
      <c r="X57" s="12"/>
      <c r="Y57" s="13"/>
      <c r="Z57" s="12"/>
      <c r="AA57" s="13"/>
      <c r="AB57" s="14"/>
    </row>
    <row r="58" spans="1:28" ht="14.25">
      <c r="A58" s="11">
        <f t="shared" si="1"/>
        <v>41049</v>
      </c>
      <c r="B58" s="12"/>
      <c r="C58" s="13"/>
      <c r="D58" s="12"/>
      <c r="E58" s="13"/>
      <c r="F58" s="12"/>
      <c r="G58" s="13"/>
      <c r="H58" s="12"/>
      <c r="I58" s="13"/>
      <c r="J58" s="14"/>
      <c r="K58" s="13"/>
      <c r="L58" s="12"/>
      <c r="M58" s="13"/>
      <c r="N58" s="12"/>
      <c r="O58" s="13"/>
      <c r="P58" s="12"/>
      <c r="Q58" s="13"/>
      <c r="R58" s="12"/>
      <c r="S58" s="15"/>
      <c r="T58" s="12"/>
      <c r="U58" s="13"/>
      <c r="V58" s="12"/>
      <c r="W58" s="13"/>
      <c r="X58" s="12"/>
      <c r="Y58" s="13"/>
      <c r="Z58" s="12"/>
      <c r="AA58" s="13"/>
      <c r="AB58" s="14"/>
    </row>
    <row r="59" spans="1:28" ht="14.25">
      <c r="A59" s="11">
        <f t="shared" si="1"/>
        <v>41080</v>
      </c>
      <c r="B59" s="12"/>
      <c r="C59" s="13"/>
      <c r="D59" s="12"/>
      <c r="E59" s="13"/>
      <c r="F59" s="12"/>
      <c r="G59" s="13"/>
      <c r="H59" s="12"/>
      <c r="I59" s="13"/>
      <c r="J59" s="14"/>
      <c r="K59" s="13"/>
      <c r="L59" s="12"/>
      <c r="M59" s="13"/>
      <c r="N59" s="12"/>
      <c r="O59" s="13"/>
      <c r="P59" s="12"/>
      <c r="Q59" s="13"/>
      <c r="R59" s="12"/>
      <c r="S59" s="15"/>
      <c r="T59" s="12"/>
      <c r="U59" s="13"/>
      <c r="V59" s="12"/>
      <c r="W59" s="13"/>
      <c r="X59" s="12"/>
      <c r="Y59" s="13"/>
      <c r="Z59" s="12"/>
      <c r="AA59" s="13"/>
      <c r="AB59" s="14"/>
    </row>
    <row r="60" spans="1:28" ht="14.25">
      <c r="A60" s="11">
        <f t="shared" si="1"/>
        <v>41110</v>
      </c>
      <c r="B60" s="12"/>
      <c r="C60" s="13"/>
      <c r="D60" s="12"/>
      <c r="E60" s="13"/>
      <c r="F60" s="12"/>
      <c r="G60" s="13"/>
      <c r="H60" s="12"/>
      <c r="I60" s="13"/>
      <c r="J60" s="14"/>
      <c r="K60" s="13"/>
      <c r="L60" s="12"/>
      <c r="M60" s="13"/>
      <c r="N60" s="12"/>
      <c r="O60" s="13"/>
      <c r="P60" s="12"/>
      <c r="Q60" s="13"/>
      <c r="R60" s="12"/>
      <c r="S60" s="15"/>
      <c r="T60" s="12"/>
      <c r="U60" s="13"/>
      <c r="V60" s="12"/>
      <c r="W60" s="13"/>
      <c r="X60" s="12"/>
      <c r="Y60" s="13"/>
      <c r="Z60" s="12"/>
      <c r="AA60" s="13"/>
      <c r="AB60" s="14"/>
    </row>
    <row r="61" spans="1:28" ht="14.25">
      <c r="A61" s="11">
        <f t="shared" si="1"/>
        <v>41141</v>
      </c>
      <c r="B61" s="12"/>
      <c r="C61" s="13"/>
      <c r="D61" s="12"/>
      <c r="E61" s="13"/>
      <c r="F61" s="12"/>
      <c r="G61" s="13"/>
      <c r="H61" s="12"/>
      <c r="I61" s="13"/>
      <c r="J61" s="14"/>
      <c r="K61" s="13"/>
      <c r="L61" s="12"/>
      <c r="M61" s="13"/>
      <c r="N61" s="12"/>
      <c r="O61" s="13"/>
      <c r="P61" s="12"/>
      <c r="Q61" s="13"/>
      <c r="R61" s="12"/>
      <c r="S61" s="15"/>
      <c r="T61" s="12"/>
      <c r="U61" s="13"/>
      <c r="V61" s="12"/>
      <c r="W61" s="13"/>
      <c r="X61" s="12"/>
      <c r="Y61" s="13"/>
      <c r="Z61" s="12"/>
      <c r="AA61" s="13"/>
      <c r="AB61" s="14"/>
    </row>
    <row r="62" spans="1:28" ht="14.25">
      <c r="A62" s="11">
        <f t="shared" si="1"/>
        <v>41172</v>
      </c>
      <c r="B62" s="12"/>
      <c r="C62" s="13"/>
      <c r="D62" s="12"/>
      <c r="E62" s="13"/>
      <c r="F62" s="12"/>
      <c r="G62" s="13"/>
      <c r="H62" s="12"/>
      <c r="I62" s="13"/>
      <c r="J62" s="14"/>
      <c r="K62" s="13"/>
      <c r="L62" s="12"/>
      <c r="M62" s="13"/>
      <c r="N62" s="12"/>
      <c r="O62" s="13"/>
      <c r="P62" s="12"/>
      <c r="Q62" s="13"/>
      <c r="R62" s="12"/>
      <c r="S62" s="15"/>
      <c r="T62" s="12"/>
      <c r="U62" s="13"/>
      <c r="V62" s="12"/>
      <c r="W62" s="13"/>
      <c r="X62" s="12"/>
      <c r="Y62" s="13"/>
      <c r="Z62" s="12"/>
      <c r="AA62" s="13"/>
      <c r="AB62" s="14"/>
    </row>
    <row r="63" spans="1:28" ht="14.25">
      <c r="A63" s="11">
        <f t="shared" si="1"/>
        <v>41202</v>
      </c>
      <c r="B63" s="12"/>
      <c r="C63" s="13"/>
      <c r="D63" s="12"/>
      <c r="E63" s="13"/>
      <c r="F63" s="12"/>
      <c r="G63" s="13"/>
      <c r="H63" s="12"/>
      <c r="I63" s="13"/>
      <c r="J63" s="14"/>
      <c r="K63" s="13"/>
      <c r="L63" s="12"/>
      <c r="M63" s="13"/>
      <c r="N63" s="12"/>
      <c r="O63" s="13"/>
      <c r="P63" s="12"/>
      <c r="Q63" s="13"/>
      <c r="R63" s="12"/>
      <c r="S63" s="15"/>
      <c r="T63" s="12"/>
      <c r="U63" s="13"/>
      <c r="V63" s="12"/>
      <c r="W63" s="13"/>
      <c r="X63" s="12"/>
      <c r="Y63" s="13"/>
      <c r="Z63" s="12"/>
      <c r="AA63" s="13"/>
      <c r="AB63" s="14"/>
    </row>
    <row r="64" spans="1:28" ht="14.25">
      <c r="A64" s="11">
        <f t="shared" si="1"/>
        <v>41233</v>
      </c>
      <c r="B64" s="12"/>
      <c r="C64" s="13"/>
      <c r="D64" s="12"/>
      <c r="E64" s="13"/>
      <c r="F64" s="12"/>
      <c r="G64" s="13"/>
      <c r="H64" s="12"/>
      <c r="I64" s="13"/>
      <c r="J64" s="14"/>
      <c r="K64" s="13"/>
      <c r="L64" s="12"/>
      <c r="M64" s="13"/>
      <c r="N64" s="12"/>
      <c r="O64" s="13"/>
      <c r="P64" s="12"/>
      <c r="Q64" s="13"/>
      <c r="R64" s="12"/>
      <c r="S64" s="15"/>
      <c r="T64" s="12"/>
      <c r="U64" s="13"/>
      <c r="V64" s="12"/>
      <c r="W64" s="13"/>
      <c r="X64" s="12"/>
      <c r="Y64" s="13"/>
      <c r="Z64" s="12"/>
      <c r="AA64" s="13"/>
      <c r="AB64" s="14"/>
    </row>
    <row r="65" spans="1:28" ht="14.25">
      <c r="A65" s="16">
        <f t="shared" si="1"/>
        <v>41263</v>
      </c>
      <c r="B65" s="17"/>
      <c r="C65" s="18"/>
      <c r="D65" s="17"/>
      <c r="E65" s="18"/>
      <c r="F65" s="17"/>
      <c r="G65" s="18"/>
      <c r="H65" s="17"/>
      <c r="I65" s="18"/>
      <c r="J65" s="19"/>
      <c r="K65" s="18"/>
      <c r="L65" s="17"/>
      <c r="M65" s="18"/>
      <c r="N65" s="17"/>
      <c r="O65" s="18"/>
      <c r="P65" s="17"/>
      <c r="Q65" s="18"/>
      <c r="R65" s="17"/>
      <c r="S65" s="20"/>
      <c r="T65" s="17"/>
      <c r="U65" s="18"/>
      <c r="V65" s="17"/>
      <c r="W65" s="18"/>
      <c r="X65" s="17"/>
      <c r="Y65" s="18"/>
      <c r="Z65" s="17"/>
      <c r="AA65" s="18"/>
      <c r="AB65" s="19"/>
    </row>
    <row r="66" spans="1:28" ht="14.25">
      <c r="A66" s="11">
        <f t="shared" si="1"/>
        <v>41294</v>
      </c>
      <c r="B66" s="12"/>
      <c r="C66" s="13"/>
      <c r="D66" s="12"/>
      <c r="E66" s="13"/>
      <c r="F66" s="12"/>
      <c r="G66" s="13"/>
      <c r="H66" s="12"/>
      <c r="I66" s="13"/>
      <c r="J66" s="14"/>
      <c r="K66" s="13"/>
      <c r="L66" s="12"/>
      <c r="M66" s="13"/>
      <c r="N66" s="12"/>
      <c r="O66" s="13"/>
      <c r="P66" s="12"/>
      <c r="Q66" s="13"/>
      <c r="R66" s="12"/>
      <c r="S66" s="15"/>
      <c r="T66" s="12"/>
      <c r="U66" s="13"/>
      <c r="V66" s="12"/>
      <c r="W66" s="13"/>
      <c r="X66" s="12"/>
      <c r="Y66" s="13"/>
      <c r="Z66" s="12"/>
      <c r="AA66" s="13"/>
      <c r="AB66" s="14"/>
    </row>
    <row r="67" spans="1:28" ht="14.25">
      <c r="A67" s="11">
        <f t="shared" si="1"/>
        <v>41325</v>
      </c>
      <c r="B67" s="12"/>
      <c r="C67" s="13"/>
      <c r="D67" s="12"/>
      <c r="E67" s="13"/>
      <c r="F67" s="12"/>
      <c r="G67" s="13"/>
      <c r="H67" s="12"/>
      <c r="I67" s="13"/>
      <c r="J67" s="14"/>
      <c r="K67" s="13"/>
      <c r="L67" s="12"/>
      <c r="M67" s="13"/>
      <c r="N67" s="12"/>
      <c r="O67" s="13"/>
      <c r="P67" s="12"/>
      <c r="Q67" s="13"/>
      <c r="R67" s="12"/>
      <c r="S67" s="15"/>
      <c r="T67" s="12"/>
      <c r="U67" s="13"/>
      <c r="V67" s="12"/>
      <c r="W67" s="13"/>
      <c r="X67" s="12"/>
      <c r="Y67" s="13"/>
      <c r="Z67" s="12"/>
      <c r="AA67" s="13"/>
      <c r="AB67" s="14"/>
    </row>
    <row r="68" spans="1:28" ht="14.25">
      <c r="A68" s="11">
        <f t="shared" si="1"/>
        <v>41353</v>
      </c>
      <c r="B68" s="12"/>
      <c r="C68" s="13"/>
      <c r="D68" s="12"/>
      <c r="E68" s="13"/>
      <c r="F68" s="12"/>
      <c r="G68" s="13"/>
      <c r="H68" s="12"/>
      <c r="I68" s="13"/>
      <c r="J68" s="14"/>
      <c r="K68" s="13"/>
      <c r="L68" s="12"/>
      <c r="M68" s="13"/>
      <c r="N68" s="12"/>
      <c r="O68" s="13"/>
      <c r="P68" s="12"/>
      <c r="Q68" s="13"/>
      <c r="R68" s="12"/>
      <c r="S68" s="15"/>
      <c r="T68" s="12"/>
      <c r="U68" s="13"/>
      <c r="V68" s="12"/>
      <c r="W68" s="13"/>
      <c r="X68" s="12"/>
      <c r="Y68" s="13"/>
      <c r="Z68" s="12"/>
      <c r="AA68" s="13"/>
      <c r="AB68" s="14"/>
    </row>
    <row r="69" spans="1:28" ht="14.25">
      <c r="A69" s="11">
        <f t="shared" si="1"/>
        <v>41384</v>
      </c>
      <c r="B69" s="12"/>
      <c r="C69" s="13"/>
      <c r="D69" s="12"/>
      <c r="E69" s="13"/>
      <c r="F69" s="12"/>
      <c r="G69" s="13"/>
      <c r="H69" s="12"/>
      <c r="I69" s="13"/>
      <c r="J69" s="14"/>
      <c r="K69" s="13"/>
      <c r="L69" s="12"/>
      <c r="M69" s="13"/>
      <c r="N69" s="12"/>
      <c r="O69" s="13"/>
      <c r="P69" s="12"/>
      <c r="Q69" s="13"/>
      <c r="R69" s="12"/>
      <c r="S69" s="15"/>
      <c r="T69" s="12"/>
      <c r="U69" s="13"/>
      <c r="V69" s="12"/>
      <c r="W69" s="13"/>
      <c r="X69" s="12"/>
      <c r="Y69" s="13"/>
      <c r="Z69" s="12"/>
      <c r="AA69" s="13"/>
      <c r="AB69" s="14"/>
    </row>
    <row r="70" spans="1:28" ht="14.25">
      <c r="A70" s="11">
        <f t="shared" si="1"/>
        <v>41414</v>
      </c>
      <c r="B70" s="12"/>
      <c r="C70" s="13"/>
      <c r="D70" s="12"/>
      <c r="E70" s="13"/>
      <c r="F70" s="12"/>
      <c r="G70" s="13"/>
      <c r="H70" s="12"/>
      <c r="I70" s="13"/>
      <c r="J70" s="14"/>
      <c r="K70" s="13"/>
      <c r="L70" s="12"/>
      <c r="M70" s="13"/>
      <c r="N70" s="12"/>
      <c r="O70" s="13"/>
      <c r="P70" s="12"/>
      <c r="Q70" s="13"/>
      <c r="R70" s="12"/>
      <c r="S70" s="15"/>
      <c r="T70" s="12"/>
      <c r="U70" s="13"/>
      <c r="V70" s="12"/>
      <c r="W70" s="13"/>
      <c r="X70" s="12"/>
      <c r="Y70" s="13"/>
      <c r="Z70" s="12"/>
      <c r="AA70" s="13"/>
      <c r="AB70" s="14"/>
    </row>
    <row r="71" spans="1:28" ht="14.25">
      <c r="A71" s="11">
        <f t="shared" ref="A71:A101" si="2">EDATE(A70, 1)</f>
        <v>41445</v>
      </c>
      <c r="B71" s="12"/>
      <c r="C71" s="13"/>
      <c r="D71" s="12"/>
      <c r="E71" s="13"/>
      <c r="F71" s="12"/>
      <c r="G71" s="13"/>
      <c r="H71" s="12"/>
      <c r="I71" s="13"/>
      <c r="J71" s="14"/>
      <c r="K71" s="13"/>
      <c r="L71" s="12"/>
      <c r="M71" s="13"/>
      <c r="N71" s="12"/>
      <c r="O71" s="13"/>
      <c r="P71" s="12"/>
      <c r="Q71" s="13"/>
      <c r="R71" s="12"/>
      <c r="S71" s="15"/>
      <c r="T71" s="12"/>
      <c r="U71" s="13"/>
      <c r="V71" s="12"/>
      <c r="W71" s="13"/>
      <c r="X71" s="12"/>
      <c r="Y71" s="13"/>
      <c r="Z71" s="12"/>
      <c r="AA71" s="13"/>
      <c r="AB71" s="14"/>
    </row>
    <row r="72" spans="1:28" ht="14.25">
      <c r="A72" s="11">
        <f t="shared" si="2"/>
        <v>41475</v>
      </c>
      <c r="B72" s="12"/>
      <c r="C72" s="13"/>
      <c r="D72" s="12"/>
      <c r="E72" s="13"/>
      <c r="F72" s="12"/>
      <c r="G72" s="13"/>
      <c r="H72" s="12"/>
      <c r="I72" s="13"/>
      <c r="J72" s="14"/>
      <c r="K72" s="13"/>
      <c r="L72" s="12"/>
      <c r="M72" s="13"/>
      <c r="N72" s="12"/>
      <c r="O72" s="13"/>
      <c r="P72" s="12"/>
      <c r="Q72" s="13"/>
      <c r="R72" s="12"/>
      <c r="S72" s="15"/>
      <c r="T72" s="12"/>
      <c r="U72" s="13"/>
      <c r="V72" s="12"/>
      <c r="W72" s="13"/>
      <c r="X72" s="12"/>
      <c r="Y72" s="13"/>
      <c r="Z72" s="12"/>
      <c r="AA72" s="13"/>
      <c r="AB72" s="14"/>
    </row>
    <row r="73" spans="1:28" ht="14.25">
      <c r="A73" s="11">
        <f t="shared" si="2"/>
        <v>41506</v>
      </c>
      <c r="B73" s="12"/>
      <c r="C73" s="13"/>
      <c r="D73" s="12"/>
      <c r="E73" s="13"/>
      <c r="F73" s="12"/>
      <c r="G73" s="13"/>
      <c r="H73" s="12"/>
      <c r="I73" s="13"/>
      <c r="J73" s="14"/>
      <c r="K73" s="13"/>
      <c r="L73" s="12"/>
      <c r="M73" s="13"/>
      <c r="N73" s="12"/>
      <c r="O73" s="13"/>
      <c r="P73" s="12"/>
      <c r="Q73" s="13"/>
      <c r="R73" s="12"/>
      <c r="S73" s="15"/>
      <c r="T73" s="12"/>
      <c r="U73" s="13"/>
      <c r="V73" s="12"/>
      <c r="W73" s="13"/>
      <c r="X73" s="12"/>
      <c r="Y73" s="13"/>
      <c r="Z73" s="12"/>
      <c r="AA73" s="13"/>
      <c r="AB73" s="14"/>
    </row>
    <row r="74" spans="1:28" ht="14.25">
      <c r="A74" s="11">
        <f t="shared" si="2"/>
        <v>41537</v>
      </c>
      <c r="B74" s="12"/>
      <c r="C74" s="13"/>
      <c r="D74" s="12"/>
      <c r="E74" s="13"/>
      <c r="F74" s="12"/>
      <c r="G74" s="13"/>
      <c r="H74" s="12"/>
      <c r="I74" s="13"/>
      <c r="J74" s="14"/>
      <c r="K74" s="13"/>
      <c r="L74" s="12"/>
      <c r="M74" s="13"/>
      <c r="N74" s="12"/>
      <c r="O74" s="13"/>
      <c r="P74" s="12"/>
      <c r="Q74" s="13"/>
      <c r="R74" s="12"/>
      <c r="S74" s="15"/>
      <c r="T74" s="12"/>
      <c r="U74" s="13"/>
      <c r="V74" s="12"/>
      <c r="W74" s="13"/>
      <c r="X74" s="12"/>
      <c r="Y74" s="13"/>
      <c r="Z74" s="12"/>
      <c r="AA74" s="13"/>
      <c r="AB74" s="14"/>
    </row>
    <row r="75" spans="1:28" ht="14.25">
      <c r="A75" s="11">
        <f t="shared" si="2"/>
        <v>41567</v>
      </c>
      <c r="B75" s="12"/>
      <c r="C75" s="13"/>
      <c r="D75" s="12"/>
      <c r="E75" s="13"/>
      <c r="F75" s="12"/>
      <c r="G75" s="13"/>
      <c r="H75" s="12"/>
      <c r="I75" s="13"/>
      <c r="J75" s="14"/>
      <c r="K75" s="13"/>
      <c r="L75" s="12"/>
      <c r="M75" s="13"/>
      <c r="N75" s="12"/>
      <c r="O75" s="13"/>
      <c r="P75" s="12"/>
      <c r="Q75" s="13"/>
      <c r="R75" s="12"/>
      <c r="S75" s="15"/>
      <c r="T75" s="12"/>
      <c r="U75" s="13"/>
      <c r="V75" s="12"/>
      <c r="W75" s="13"/>
      <c r="X75" s="12"/>
      <c r="Y75" s="13"/>
      <c r="Z75" s="12"/>
      <c r="AA75" s="13"/>
      <c r="AB75" s="14"/>
    </row>
    <row r="76" spans="1:28" ht="14.25">
      <c r="A76" s="11">
        <f t="shared" si="2"/>
        <v>41598</v>
      </c>
      <c r="B76" s="12"/>
      <c r="C76" s="13"/>
      <c r="D76" s="12"/>
      <c r="E76" s="13"/>
      <c r="F76" s="12"/>
      <c r="G76" s="13"/>
      <c r="H76" s="12"/>
      <c r="I76" s="13"/>
      <c r="J76" s="14"/>
      <c r="K76" s="13"/>
      <c r="L76" s="12"/>
      <c r="M76" s="13"/>
      <c r="N76" s="12"/>
      <c r="O76" s="13"/>
      <c r="P76" s="12"/>
      <c r="Q76" s="13"/>
      <c r="R76" s="12"/>
      <c r="S76" s="15"/>
      <c r="T76" s="12"/>
      <c r="U76" s="13"/>
      <c r="V76" s="12"/>
      <c r="W76" s="13"/>
      <c r="X76" s="12"/>
      <c r="Y76" s="13"/>
      <c r="Z76" s="12"/>
      <c r="AA76" s="13"/>
      <c r="AB76" s="14"/>
    </row>
    <row r="77" spans="1:28" ht="14.25">
      <c r="A77" s="16">
        <f t="shared" si="2"/>
        <v>41628</v>
      </c>
      <c r="B77" s="17"/>
      <c r="C77" s="18"/>
      <c r="D77" s="17"/>
      <c r="E77" s="18"/>
      <c r="F77" s="17"/>
      <c r="G77" s="18"/>
      <c r="H77" s="17"/>
      <c r="I77" s="18"/>
      <c r="J77" s="19"/>
      <c r="K77" s="18"/>
      <c r="L77" s="17"/>
      <c r="M77" s="18"/>
      <c r="N77" s="17"/>
      <c r="O77" s="18"/>
      <c r="P77" s="17"/>
      <c r="Q77" s="18"/>
      <c r="R77" s="17"/>
      <c r="S77" s="20"/>
      <c r="T77" s="17"/>
      <c r="U77" s="18"/>
      <c r="V77" s="17"/>
      <c r="W77" s="18"/>
      <c r="X77" s="17"/>
      <c r="Y77" s="18"/>
      <c r="Z77" s="17"/>
      <c r="AA77" s="18"/>
      <c r="AB77" s="19"/>
    </row>
    <row r="78" spans="1:28" ht="14.25">
      <c r="A78" s="11">
        <f t="shared" si="2"/>
        <v>41659</v>
      </c>
      <c r="B78" s="12"/>
      <c r="C78" s="13"/>
      <c r="D78" s="12"/>
      <c r="E78" s="13"/>
      <c r="F78" s="12"/>
      <c r="G78" s="13"/>
      <c r="H78" s="12"/>
      <c r="I78" s="13"/>
      <c r="J78" s="14"/>
      <c r="K78" s="13"/>
      <c r="L78" s="12"/>
      <c r="M78" s="13"/>
      <c r="N78" s="12"/>
      <c r="O78" s="13"/>
      <c r="P78" s="12"/>
      <c r="Q78" s="13"/>
      <c r="R78" s="12"/>
      <c r="S78" s="15"/>
      <c r="T78" s="12"/>
      <c r="U78" s="13"/>
      <c r="V78" s="12"/>
      <c r="W78" s="13"/>
      <c r="X78" s="12"/>
      <c r="Y78" s="13"/>
      <c r="Z78" s="12"/>
      <c r="AA78" s="13"/>
      <c r="AB78" s="14"/>
    </row>
    <row r="79" spans="1:28" ht="14.25">
      <c r="A79" s="11">
        <f t="shared" si="2"/>
        <v>41690</v>
      </c>
      <c r="B79" s="12"/>
      <c r="C79" s="13"/>
      <c r="D79" s="12"/>
      <c r="E79" s="13"/>
      <c r="F79" s="12"/>
      <c r="G79" s="13"/>
      <c r="H79" s="12"/>
      <c r="I79" s="13"/>
      <c r="J79" s="14"/>
      <c r="K79" s="13"/>
      <c r="L79" s="12"/>
      <c r="M79" s="13"/>
      <c r="N79" s="12"/>
      <c r="O79" s="13"/>
      <c r="P79" s="12"/>
      <c r="Q79" s="13"/>
      <c r="R79" s="12"/>
      <c r="S79" s="15"/>
      <c r="T79" s="12"/>
      <c r="U79" s="13"/>
      <c r="V79" s="12"/>
      <c r="W79" s="13"/>
      <c r="X79" s="12"/>
      <c r="Y79" s="13"/>
      <c r="Z79" s="12"/>
      <c r="AA79" s="13"/>
      <c r="AB79" s="14"/>
    </row>
    <row r="80" spans="1:28" ht="14.25">
      <c r="A80" s="11">
        <f t="shared" si="2"/>
        <v>41718</v>
      </c>
      <c r="B80" s="12"/>
      <c r="C80" s="13"/>
      <c r="D80" s="12"/>
      <c r="E80" s="13"/>
      <c r="F80" s="12"/>
      <c r="G80" s="13"/>
      <c r="H80" s="12"/>
      <c r="I80" s="13"/>
      <c r="J80" s="14"/>
      <c r="K80" s="13"/>
      <c r="L80" s="12"/>
      <c r="M80" s="13"/>
      <c r="N80" s="12"/>
      <c r="O80" s="13"/>
      <c r="P80" s="12"/>
      <c r="Q80" s="13"/>
      <c r="R80" s="12"/>
      <c r="S80" s="15"/>
      <c r="T80" s="12"/>
      <c r="U80" s="13"/>
      <c r="V80" s="12"/>
      <c r="W80" s="13"/>
      <c r="X80" s="12"/>
      <c r="Y80" s="13"/>
      <c r="Z80" s="12"/>
      <c r="AA80" s="13"/>
      <c r="AB80" s="14"/>
    </row>
    <row r="81" spans="1:28" ht="14.25">
      <c r="A81" s="11">
        <f t="shared" si="2"/>
        <v>41749</v>
      </c>
      <c r="B81" s="12"/>
      <c r="C81" s="13"/>
      <c r="D81" s="12"/>
      <c r="E81" s="13"/>
      <c r="F81" s="12"/>
      <c r="G81" s="13"/>
      <c r="H81" s="12"/>
      <c r="I81" s="13"/>
      <c r="J81" s="14"/>
      <c r="K81" s="13"/>
      <c r="L81" s="12"/>
      <c r="M81" s="13"/>
      <c r="N81" s="12"/>
      <c r="O81" s="13"/>
      <c r="P81" s="12"/>
      <c r="Q81" s="13"/>
      <c r="R81" s="12"/>
      <c r="S81" s="15"/>
      <c r="T81" s="12"/>
      <c r="U81" s="13"/>
      <c r="V81" s="12"/>
      <c r="W81" s="13"/>
      <c r="X81" s="12"/>
      <c r="Y81" s="13"/>
      <c r="Z81" s="12"/>
      <c r="AA81" s="13"/>
      <c r="AB81" s="14"/>
    </row>
    <row r="82" spans="1:28" ht="14.25">
      <c r="A82" s="11">
        <f t="shared" si="2"/>
        <v>41779</v>
      </c>
      <c r="B82" s="12"/>
      <c r="C82" s="13"/>
      <c r="D82" s="12"/>
      <c r="E82" s="13"/>
      <c r="F82" s="12"/>
      <c r="G82" s="13"/>
      <c r="H82" s="12"/>
      <c r="I82" s="13"/>
      <c r="J82" s="14"/>
      <c r="K82" s="13"/>
      <c r="L82" s="12"/>
      <c r="M82" s="13"/>
      <c r="N82" s="12"/>
      <c r="O82" s="13"/>
      <c r="P82" s="12"/>
      <c r="Q82" s="13"/>
      <c r="R82" s="12"/>
      <c r="S82" s="15"/>
      <c r="T82" s="12"/>
      <c r="U82" s="13"/>
      <c r="V82" s="12"/>
      <c r="W82" s="13"/>
      <c r="X82" s="12"/>
      <c r="Y82" s="13"/>
      <c r="Z82" s="12"/>
      <c r="AA82" s="13"/>
      <c r="AB82" s="14"/>
    </row>
    <row r="83" spans="1:28" ht="14.25">
      <c r="A83" s="11">
        <f t="shared" si="2"/>
        <v>41810</v>
      </c>
      <c r="B83" s="12"/>
      <c r="C83" s="13"/>
      <c r="D83" s="12"/>
      <c r="E83" s="13"/>
      <c r="F83" s="12"/>
      <c r="G83" s="13"/>
      <c r="H83" s="12"/>
      <c r="I83" s="13"/>
      <c r="J83" s="14"/>
      <c r="K83" s="13"/>
      <c r="L83" s="12"/>
      <c r="M83" s="13"/>
      <c r="N83" s="12"/>
      <c r="O83" s="13"/>
      <c r="P83" s="12"/>
      <c r="Q83" s="13"/>
      <c r="R83" s="12"/>
      <c r="S83" s="15"/>
      <c r="T83" s="12"/>
      <c r="U83" s="13"/>
      <c r="V83" s="12"/>
      <c r="W83" s="13"/>
      <c r="X83" s="12"/>
      <c r="Y83" s="13"/>
      <c r="Z83" s="12"/>
      <c r="AA83" s="13"/>
      <c r="AB83" s="14"/>
    </row>
    <row r="84" spans="1:28" ht="14.25">
      <c r="A84" s="11">
        <f t="shared" si="2"/>
        <v>41840</v>
      </c>
      <c r="B84" s="12"/>
      <c r="C84" s="13"/>
      <c r="D84" s="12"/>
      <c r="E84" s="13"/>
      <c r="F84" s="12"/>
      <c r="G84" s="13"/>
      <c r="H84" s="12"/>
      <c r="I84" s="13"/>
      <c r="J84" s="14"/>
      <c r="K84" s="13"/>
      <c r="L84" s="12"/>
      <c r="M84" s="13"/>
      <c r="N84" s="12"/>
      <c r="O84" s="13"/>
      <c r="P84" s="12"/>
      <c r="Q84" s="13"/>
      <c r="R84" s="12"/>
      <c r="S84" s="15"/>
      <c r="T84" s="12"/>
      <c r="U84" s="13"/>
      <c r="V84" s="12"/>
      <c r="W84" s="13"/>
      <c r="X84" s="12"/>
      <c r="Y84" s="13"/>
      <c r="Z84" s="12"/>
      <c r="AA84" s="13"/>
      <c r="AB84" s="14"/>
    </row>
    <row r="85" spans="1:28" ht="14.25">
      <c r="A85" s="11">
        <f t="shared" si="2"/>
        <v>41871</v>
      </c>
      <c r="B85" s="12"/>
      <c r="C85" s="13"/>
      <c r="D85" s="12"/>
      <c r="E85" s="13"/>
      <c r="F85" s="12"/>
      <c r="G85" s="13"/>
      <c r="H85" s="12"/>
      <c r="I85" s="13"/>
      <c r="J85" s="14"/>
      <c r="K85" s="13"/>
      <c r="L85" s="12"/>
      <c r="M85" s="13"/>
      <c r="N85" s="12"/>
      <c r="O85" s="13"/>
      <c r="P85" s="12"/>
      <c r="Q85" s="13"/>
      <c r="R85" s="12"/>
      <c r="S85" s="15"/>
      <c r="T85" s="12"/>
      <c r="U85" s="13"/>
      <c r="V85" s="12"/>
      <c r="W85" s="13"/>
      <c r="X85" s="12"/>
      <c r="Y85" s="13"/>
      <c r="Z85" s="12"/>
      <c r="AA85" s="13"/>
      <c r="AB85" s="14"/>
    </row>
    <row r="86" spans="1:28" ht="14.25">
      <c r="A86" s="11">
        <f t="shared" si="2"/>
        <v>41902</v>
      </c>
      <c r="B86" s="12"/>
      <c r="C86" s="13"/>
      <c r="D86" s="12"/>
      <c r="E86" s="13"/>
      <c r="F86" s="12"/>
      <c r="G86" s="13"/>
      <c r="H86" s="12"/>
      <c r="I86" s="13"/>
      <c r="J86" s="14"/>
      <c r="K86" s="13"/>
      <c r="L86" s="12"/>
      <c r="M86" s="13"/>
      <c r="N86" s="12"/>
      <c r="O86" s="13"/>
      <c r="P86" s="12"/>
      <c r="Q86" s="13"/>
      <c r="R86" s="12"/>
      <c r="S86" s="15"/>
      <c r="T86" s="12"/>
      <c r="U86" s="13"/>
      <c r="V86" s="12"/>
      <c r="W86" s="13"/>
      <c r="X86" s="12"/>
      <c r="Y86" s="13"/>
      <c r="Z86" s="12"/>
      <c r="AA86" s="13"/>
      <c r="AB86" s="14"/>
    </row>
    <row r="87" spans="1:28" ht="14.25">
      <c r="A87" s="11">
        <f t="shared" si="2"/>
        <v>41932</v>
      </c>
      <c r="B87" s="12"/>
      <c r="C87" s="13"/>
      <c r="D87" s="12"/>
      <c r="E87" s="13"/>
      <c r="F87" s="12"/>
      <c r="G87" s="13"/>
      <c r="H87" s="12"/>
      <c r="I87" s="13"/>
      <c r="J87" s="14"/>
      <c r="K87" s="13"/>
      <c r="L87" s="12"/>
      <c r="M87" s="13"/>
      <c r="N87" s="12"/>
      <c r="O87" s="13"/>
      <c r="P87" s="12"/>
      <c r="Q87" s="13"/>
      <c r="R87" s="12"/>
      <c r="S87" s="15"/>
      <c r="T87" s="12"/>
      <c r="U87" s="13"/>
      <c r="V87" s="12"/>
      <c r="W87" s="13"/>
      <c r="X87" s="12"/>
      <c r="Y87" s="13"/>
      <c r="Z87" s="12"/>
      <c r="AA87" s="13"/>
      <c r="AB87" s="14"/>
    </row>
    <row r="88" spans="1:28" ht="14.25">
      <c r="A88" s="11">
        <f t="shared" si="2"/>
        <v>41963</v>
      </c>
      <c r="B88" s="12"/>
      <c r="C88" s="13"/>
      <c r="D88" s="12"/>
      <c r="E88" s="13"/>
      <c r="F88" s="12"/>
      <c r="G88" s="13"/>
      <c r="H88" s="12"/>
      <c r="I88" s="13"/>
      <c r="J88" s="14"/>
      <c r="K88" s="13"/>
      <c r="L88" s="12"/>
      <c r="M88" s="13"/>
      <c r="N88" s="12"/>
      <c r="O88" s="13"/>
      <c r="P88" s="12"/>
      <c r="Q88" s="13"/>
      <c r="R88" s="12"/>
      <c r="S88" s="15"/>
      <c r="T88" s="12"/>
      <c r="U88" s="13"/>
      <c r="V88" s="12"/>
      <c r="W88" s="13"/>
      <c r="X88" s="12"/>
      <c r="Y88" s="13"/>
      <c r="Z88" s="12"/>
      <c r="AA88" s="13"/>
      <c r="AB88" s="14"/>
    </row>
    <row r="89" spans="1:28" ht="14.25">
      <c r="A89" s="16">
        <f t="shared" si="2"/>
        <v>41993</v>
      </c>
      <c r="B89" s="17"/>
      <c r="C89" s="18"/>
      <c r="D89" s="17"/>
      <c r="E89" s="18"/>
      <c r="F89" s="17"/>
      <c r="G89" s="18"/>
      <c r="H89" s="17"/>
      <c r="I89" s="18"/>
      <c r="J89" s="19"/>
      <c r="K89" s="18"/>
      <c r="L89" s="17"/>
      <c r="M89" s="18"/>
      <c r="N89" s="17"/>
      <c r="O89" s="18"/>
      <c r="P89" s="17"/>
      <c r="Q89" s="18"/>
      <c r="R89" s="17"/>
      <c r="S89" s="20"/>
      <c r="T89" s="17"/>
      <c r="U89" s="18"/>
      <c r="V89" s="17"/>
      <c r="W89" s="18"/>
      <c r="X89" s="17"/>
      <c r="Y89" s="18"/>
      <c r="Z89" s="17"/>
      <c r="AA89" s="18"/>
      <c r="AB89" s="19"/>
    </row>
    <row r="90" spans="1:28" ht="14.25">
      <c r="A90" s="11">
        <f t="shared" si="2"/>
        <v>42024</v>
      </c>
      <c r="B90" s="12"/>
      <c r="C90" s="13"/>
      <c r="D90" s="12"/>
      <c r="E90" s="13"/>
      <c r="F90" s="12"/>
      <c r="G90" s="13"/>
      <c r="H90" s="12"/>
      <c r="I90" s="13"/>
      <c r="J90" s="14"/>
      <c r="K90" s="13"/>
      <c r="L90" s="12"/>
      <c r="M90" s="13"/>
      <c r="N90" s="12"/>
      <c r="O90" s="13"/>
      <c r="P90" s="12"/>
      <c r="Q90" s="13"/>
      <c r="R90" s="12"/>
      <c r="S90" s="15"/>
      <c r="T90" s="12"/>
      <c r="U90" s="13"/>
      <c r="V90" s="12"/>
      <c r="W90" s="13"/>
      <c r="X90" s="12"/>
      <c r="Y90" s="13"/>
      <c r="Z90" s="12"/>
      <c r="AA90" s="13"/>
      <c r="AB90" s="14"/>
    </row>
    <row r="91" spans="1:28" ht="14.25">
      <c r="A91" s="11">
        <f t="shared" si="2"/>
        <v>42055</v>
      </c>
      <c r="B91" s="12"/>
      <c r="C91" s="13"/>
      <c r="D91" s="12"/>
      <c r="E91" s="13"/>
      <c r="F91" s="12"/>
      <c r="G91" s="13"/>
      <c r="H91" s="12"/>
      <c r="I91" s="13"/>
      <c r="J91" s="14"/>
      <c r="K91" s="13"/>
      <c r="L91" s="12"/>
      <c r="M91" s="13"/>
      <c r="N91" s="12"/>
      <c r="O91" s="13"/>
      <c r="P91" s="12"/>
      <c r="Q91" s="13"/>
      <c r="R91" s="12"/>
      <c r="S91" s="15"/>
      <c r="T91" s="12"/>
      <c r="U91" s="13"/>
      <c r="V91" s="12"/>
      <c r="W91" s="13"/>
      <c r="X91" s="12"/>
      <c r="Y91" s="13"/>
      <c r="Z91" s="12"/>
      <c r="AA91" s="13"/>
      <c r="AB91" s="14"/>
    </row>
    <row r="92" spans="1:28" ht="14.25">
      <c r="A92" s="11">
        <f t="shared" si="2"/>
        <v>42083</v>
      </c>
      <c r="B92" s="12"/>
      <c r="C92" s="13"/>
      <c r="D92" s="12"/>
      <c r="E92" s="13"/>
      <c r="F92" s="12"/>
      <c r="G92" s="13"/>
      <c r="H92" s="12"/>
      <c r="I92" s="13"/>
      <c r="J92" s="14"/>
      <c r="K92" s="13"/>
      <c r="L92" s="12"/>
      <c r="M92" s="13"/>
      <c r="N92" s="12"/>
      <c r="O92" s="13"/>
      <c r="P92" s="12"/>
      <c r="Q92" s="13"/>
      <c r="R92" s="12"/>
      <c r="S92" s="15"/>
      <c r="T92" s="12"/>
      <c r="U92" s="13"/>
      <c r="V92" s="12"/>
      <c r="W92" s="13"/>
      <c r="X92" s="12"/>
      <c r="Y92" s="13"/>
      <c r="Z92" s="12"/>
      <c r="AA92" s="13"/>
      <c r="AB92" s="14"/>
    </row>
    <row r="93" spans="1:28" ht="14.25">
      <c r="A93" s="11">
        <f t="shared" si="2"/>
        <v>42114</v>
      </c>
      <c r="B93" s="12"/>
      <c r="C93" s="13"/>
      <c r="D93" s="12"/>
      <c r="E93" s="13"/>
      <c r="F93" s="12"/>
      <c r="G93" s="13"/>
      <c r="H93" s="12"/>
      <c r="I93" s="13"/>
      <c r="J93" s="14"/>
      <c r="K93" s="13"/>
      <c r="L93" s="12"/>
      <c r="M93" s="13"/>
      <c r="N93" s="12"/>
      <c r="O93" s="13"/>
      <c r="P93" s="12"/>
      <c r="Q93" s="13"/>
      <c r="R93" s="12"/>
      <c r="S93" s="15"/>
      <c r="T93" s="12"/>
      <c r="U93" s="13"/>
      <c r="V93" s="12"/>
      <c r="W93" s="13"/>
      <c r="X93" s="12"/>
      <c r="Y93" s="13"/>
      <c r="Z93" s="12"/>
      <c r="AA93" s="13"/>
      <c r="AB93" s="14"/>
    </row>
    <row r="94" spans="1:28" ht="14.25">
      <c r="A94" s="11">
        <f t="shared" si="2"/>
        <v>42144</v>
      </c>
      <c r="B94" s="12"/>
      <c r="C94" s="13"/>
      <c r="D94" s="12"/>
      <c r="E94" s="13"/>
      <c r="F94" s="12"/>
      <c r="G94" s="13"/>
      <c r="H94" s="12"/>
      <c r="I94" s="13"/>
      <c r="J94" s="14"/>
      <c r="K94" s="13"/>
      <c r="L94" s="12"/>
      <c r="M94" s="13"/>
      <c r="N94" s="12"/>
      <c r="O94" s="13"/>
      <c r="P94" s="12"/>
      <c r="Q94" s="13"/>
      <c r="R94" s="12"/>
      <c r="S94" s="15"/>
      <c r="T94" s="12"/>
      <c r="U94" s="13"/>
      <c r="V94" s="12"/>
      <c r="W94" s="13"/>
      <c r="X94" s="12"/>
      <c r="Y94" s="13"/>
      <c r="Z94" s="12"/>
      <c r="AA94" s="13"/>
      <c r="AB94" s="14"/>
    </row>
    <row r="95" spans="1:28" ht="14.25">
      <c r="A95" s="11">
        <f t="shared" si="2"/>
        <v>42175</v>
      </c>
      <c r="B95" s="12"/>
      <c r="C95" s="13"/>
      <c r="D95" s="12"/>
      <c r="E95" s="13"/>
      <c r="F95" s="12"/>
      <c r="G95" s="13"/>
      <c r="H95" s="12"/>
      <c r="I95" s="13"/>
      <c r="J95" s="14"/>
      <c r="K95" s="13"/>
      <c r="L95" s="12"/>
      <c r="M95" s="13"/>
      <c r="N95" s="12"/>
      <c r="O95" s="13"/>
      <c r="P95" s="12"/>
      <c r="Q95" s="13"/>
      <c r="R95" s="12"/>
      <c r="S95" s="15"/>
      <c r="T95" s="12"/>
      <c r="U95" s="13"/>
      <c r="V95" s="12"/>
      <c r="W95" s="13"/>
      <c r="X95" s="12"/>
      <c r="Y95" s="13"/>
      <c r="Z95" s="12"/>
      <c r="AA95" s="13"/>
      <c r="AB95" s="14"/>
    </row>
    <row r="96" spans="1:28" ht="14.25">
      <c r="A96" s="11">
        <f t="shared" si="2"/>
        <v>42205</v>
      </c>
      <c r="B96" s="12"/>
      <c r="C96" s="13"/>
      <c r="D96" s="12"/>
      <c r="E96" s="13"/>
      <c r="F96" s="12"/>
      <c r="G96" s="13"/>
      <c r="H96" s="12"/>
      <c r="I96" s="13"/>
      <c r="J96" s="14"/>
      <c r="K96" s="13"/>
      <c r="L96" s="12"/>
      <c r="M96" s="13"/>
      <c r="N96" s="12"/>
      <c r="O96" s="13"/>
      <c r="P96" s="12"/>
      <c r="Q96" s="13"/>
      <c r="R96" s="12"/>
      <c r="S96" s="15"/>
      <c r="T96" s="12"/>
      <c r="U96" s="13"/>
      <c r="V96" s="12"/>
      <c r="W96" s="13"/>
      <c r="X96" s="12"/>
      <c r="Y96" s="13"/>
      <c r="Z96" s="12"/>
      <c r="AA96" s="13"/>
      <c r="AB96" s="14"/>
    </row>
    <row r="97" spans="1:28" ht="14.25">
      <c r="A97" s="11">
        <f t="shared" si="2"/>
        <v>42236</v>
      </c>
      <c r="B97" s="12"/>
      <c r="C97" s="13"/>
      <c r="D97" s="12"/>
      <c r="E97" s="13"/>
      <c r="F97" s="12"/>
      <c r="G97" s="13"/>
      <c r="H97" s="12"/>
      <c r="I97" s="13"/>
      <c r="J97" s="14"/>
      <c r="K97" s="13"/>
      <c r="L97" s="12"/>
      <c r="M97" s="13"/>
      <c r="N97" s="12"/>
      <c r="O97" s="13"/>
      <c r="P97" s="12"/>
      <c r="Q97" s="13"/>
      <c r="R97" s="12"/>
      <c r="S97" s="15"/>
      <c r="T97" s="12"/>
      <c r="U97" s="13"/>
      <c r="V97" s="12"/>
      <c r="W97" s="13"/>
      <c r="X97" s="12"/>
      <c r="Y97" s="13"/>
      <c r="Z97" s="12"/>
      <c r="AA97" s="13"/>
      <c r="AB97" s="14"/>
    </row>
    <row r="98" spans="1:28" ht="14.25">
      <c r="A98" s="11">
        <f t="shared" si="2"/>
        <v>42267</v>
      </c>
      <c r="B98" s="12"/>
      <c r="C98" s="13"/>
      <c r="D98" s="12"/>
      <c r="E98" s="13"/>
      <c r="F98" s="12"/>
      <c r="G98" s="13"/>
      <c r="H98" s="12"/>
      <c r="I98" s="13"/>
      <c r="J98" s="14"/>
      <c r="K98" s="13"/>
      <c r="L98" s="12"/>
      <c r="M98" s="13"/>
      <c r="N98" s="12"/>
      <c r="O98" s="13"/>
      <c r="P98" s="12"/>
      <c r="Q98" s="13"/>
      <c r="R98" s="12"/>
      <c r="S98" s="15"/>
      <c r="T98" s="12"/>
      <c r="U98" s="13"/>
      <c r="V98" s="12"/>
      <c r="W98" s="13"/>
      <c r="X98" s="12"/>
      <c r="Y98" s="13"/>
      <c r="Z98" s="12"/>
      <c r="AA98" s="13"/>
      <c r="AB98" s="14"/>
    </row>
    <row r="99" spans="1:28" ht="14.25">
      <c r="A99" s="11">
        <f t="shared" si="2"/>
        <v>42297</v>
      </c>
      <c r="B99" s="12"/>
      <c r="C99" s="13"/>
      <c r="D99" s="12"/>
      <c r="E99" s="13"/>
      <c r="F99" s="12"/>
      <c r="G99" s="13"/>
      <c r="H99" s="12"/>
      <c r="I99" s="13"/>
      <c r="J99" s="14"/>
      <c r="K99" s="13"/>
      <c r="L99" s="12"/>
      <c r="M99" s="13"/>
      <c r="N99" s="12"/>
      <c r="O99" s="13"/>
      <c r="P99" s="12"/>
      <c r="Q99" s="13"/>
      <c r="R99" s="12"/>
      <c r="S99" s="15"/>
      <c r="T99" s="12"/>
      <c r="U99" s="13"/>
      <c r="V99" s="12"/>
      <c r="W99" s="13"/>
      <c r="X99" s="12"/>
      <c r="Y99" s="13"/>
      <c r="Z99" s="12"/>
      <c r="AA99" s="13"/>
      <c r="AB99" s="14"/>
    </row>
    <row r="100" spans="1:28" ht="14.25">
      <c r="A100" s="11">
        <f t="shared" si="2"/>
        <v>42328</v>
      </c>
      <c r="B100" s="12"/>
      <c r="C100" s="13"/>
      <c r="D100" s="12"/>
      <c r="E100" s="13"/>
      <c r="F100" s="12"/>
      <c r="G100" s="13"/>
      <c r="H100" s="12"/>
      <c r="I100" s="13"/>
      <c r="J100" s="14"/>
      <c r="K100" s="13"/>
      <c r="L100" s="12"/>
      <c r="M100" s="13"/>
      <c r="N100" s="12"/>
      <c r="O100" s="13"/>
      <c r="P100" s="12"/>
      <c r="Q100" s="13"/>
      <c r="R100" s="12"/>
      <c r="S100" s="15"/>
      <c r="T100" s="12"/>
      <c r="U100" s="13"/>
      <c r="V100" s="12"/>
      <c r="W100" s="13"/>
      <c r="X100" s="12"/>
      <c r="Y100" s="13"/>
      <c r="Z100" s="12"/>
      <c r="AA100" s="13"/>
      <c r="AB100" s="14"/>
    </row>
    <row r="101" spans="1:28" ht="14.25">
      <c r="A101" s="11">
        <f t="shared" si="2"/>
        <v>42358</v>
      </c>
      <c r="B101" s="17"/>
      <c r="C101" s="18"/>
      <c r="D101" s="17"/>
      <c r="E101" s="18"/>
      <c r="F101" s="17"/>
      <c r="G101" s="18"/>
      <c r="H101" s="17"/>
      <c r="I101" s="18"/>
      <c r="J101" s="19"/>
      <c r="K101" s="18"/>
      <c r="L101" s="17"/>
      <c r="M101" s="18"/>
      <c r="N101" s="17"/>
      <c r="O101" s="18"/>
      <c r="P101" s="17"/>
      <c r="Q101" s="18"/>
      <c r="R101" s="17"/>
      <c r="S101" s="20"/>
      <c r="T101" s="17"/>
      <c r="U101" s="18"/>
      <c r="V101" s="17"/>
      <c r="W101" s="18"/>
      <c r="X101" s="17"/>
      <c r="Y101" s="18"/>
      <c r="Z101" s="17"/>
      <c r="AA101" s="18"/>
      <c r="AB101" s="19"/>
    </row>
    <row r="102" spans="1:28" ht="14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4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4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4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</sheetData>
  <sheetProtection password="DBAF" sheet="1" objects="1" scenarios="1" selectLockedCells="1"/>
  <mergeCells count="4">
    <mergeCell ref="B2:AB2"/>
    <mergeCell ref="B3:J3"/>
    <mergeCell ref="K3:S3"/>
    <mergeCell ref="T3:AB3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BQ134"/>
  <sheetViews>
    <sheetView zoomScale="55" zoomScaleNormal="55" workbookViewId="0">
      <selection activeCell="J1" sqref="J1"/>
    </sheetView>
  </sheetViews>
  <sheetFormatPr baseColWidth="10" defaultColWidth="11.5703125" defaultRowHeight="14.25"/>
  <cols>
    <col min="1" max="1" width="15" style="4" bestFit="1" customWidth="1"/>
    <col min="2" max="4" width="5.85546875" style="51" bestFit="1" customWidth="1"/>
    <col min="5" max="5" width="9" style="61" bestFit="1" customWidth="1"/>
    <col min="6" max="6" width="8.140625" style="51" customWidth="1"/>
    <col min="7" max="7" width="12.42578125" style="58" bestFit="1" customWidth="1"/>
    <col min="8" max="8" width="8.42578125" style="51" customWidth="1"/>
    <col min="9" max="10" width="10.5703125" style="58" bestFit="1" customWidth="1"/>
    <col min="11" max="13" width="5.85546875" style="51" bestFit="1" customWidth="1"/>
    <col min="14" max="14" width="9" style="61" bestFit="1" customWidth="1"/>
    <col min="15" max="15" width="8.140625" style="51" customWidth="1"/>
    <col min="16" max="16" width="12.42578125" style="58" bestFit="1" customWidth="1"/>
    <col min="17" max="17" width="8.42578125" style="51" customWidth="1"/>
    <col min="18" max="19" width="10.5703125" style="58" bestFit="1" customWidth="1"/>
    <col min="20" max="22" width="5.85546875" style="51" bestFit="1" customWidth="1"/>
    <col min="23" max="23" width="9" style="61" bestFit="1" customWidth="1"/>
    <col min="24" max="24" width="8.140625" style="51" customWidth="1"/>
    <col min="25" max="25" width="12.42578125" style="58" bestFit="1" customWidth="1"/>
    <col min="26" max="26" width="8.42578125" style="51" customWidth="1"/>
    <col min="27" max="28" width="10.5703125" style="58" bestFit="1" customWidth="1"/>
    <col min="29" max="31" width="5.85546875" style="51" bestFit="1" customWidth="1"/>
    <col min="32" max="32" width="9" style="61" bestFit="1" customWidth="1"/>
    <col min="33" max="33" width="8.140625" style="51" customWidth="1"/>
    <col min="34" max="34" width="12.42578125" style="58" bestFit="1" customWidth="1"/>
    <col min="35" max="35" width="8.42578125" style="51" customWidth="1"/>
    <col min="36" max="37" width="10.5703125" style="58" bestFit="1" customWidth="1"/>
    <col min="38" max="38" width="11.5703125" style="4"/>
    <col min="39" max="39" width="32.5703125" style="4" bestFit="1" customWidth="1"/>
    <col min="40" max="40" width="7.85546875" style="4" bestFit="1" customWidth="1"/>
    <col min="41" max="41" width="9.140625" style="4" bestFit="1" customWidth="1"/>
    <col min="42" max="42" width="8.28515625" style="4" bestFit="1" customWidth="1"/>
    <col min="43" max="43" width="7.42578125" style="4" bestFit="1" customWidth="1"/>
    <col min="44" max="44" width="9.5703125" style="4" bestFit="1" customWidth="1"/>
    <col min="45" max="45" width="7.42578125" style="4" bestFit="1" customWidth="1"/>
    <col min="46" max="47" width="9.140625" style="4" bestFit="1" customWidth="1"/>
    <col min="48" max="58" width="11.5703125" style="4"/>
    <col min="59" max="69" width="11.5703125" style="22"/>
    <col min="70" max="16384" width="11.5703125" style="4"/>
  </cols>
  <sheetData>
    <row r="1" spans="1:69" ht="32.25" thickTop="1" thickBot="1">
      <c r="A1" s="23"/>
      <c r="B1" s="126" t="s">
        <v>31</v>
      </c>
      <c r="C1" s="127"/>
      <c r="D1" s="127"/>
      <c r="E1" s="127"/>
      <c r="F1" s="127"/>
      <c r="G1" s="127"/>
      <c r="H1" s="127"/>
      <c r="I1" s="128"/>
      <c r="J1" s="64">
        <v>2010</v>
      </c>
      <c r="K1" s="53"/>
      <c r="AD1" s="54"/>
      <c r="AE1" s="54"/>
      <c r="AF1" s="63"/>
      <c r="AG1" s="54"/>
      <c r="AH1" s="55"/>
      <c r="AI1" s="54"/>
      <c r="AJ1" s="55"/>
      <c r="AK1" s="55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</row>
    <row r="2" spans="1:69" ht="27" thickTop="1" thickBot="1">
      <c r="A2" s="23"/>
      <c r="B2" s="129" t="str">
        <f>"Analyses  " &amp;J1</f>
        <v>Analyses  2010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1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P2" s="3"/>
      <c r="BQ2" s="3"/>
    </row>
    <row r="3" spans="1:69" ht="15.75" thickTop="1" thickBot="1">
      <c r="A3" s="21"/>
      <c r="B3" s="132" t="s">
        <v>12</v>
      </c>
      <c r="C3" s="133"/>
      <c r="D3" s="133"/>
      <c r="E3" s="133"/>
      <c r="F3" s="133"/>
      <c r="G3" s="133"/>
      <c r="H3" s="133"/>
      <c r="I3" s="133"/>
      <c r="J3" s="134"/>
      <c r="K3" s="132" t="s">
        <v>13</v>
      </c>
      <c r="L3" s="133"/>
      <c r="M3" s="133"/>
      <c r="N3" s="133"/>
      <c r="O3" s="133"/>
      <c r="P3" s="133"/>
      <c r="Q3" s="133"/>
      <c r="R3" s="133"/>
      <c r="S3" s="134"/>
      <c r="T3" s="132" t="s">
        <v>14</v>
      </c>
      <c r="U3" s="133"/>
      <c r="V3" s="133"/>
      <c r="W3" s="133"/>
      <c r="X3" s="133"/>
      <c r="Y3" s="133"/>
      <c r="Z3" s="133"/>
      <c r="AA3" s="133"/>
      <c r="AB3" s="134"/>
      <c r="AC3" s="132" t="s">
        <v>32</v>
      </c>
      <c r="AD3" s="133"/>
      <c r="AE3" s="133"/>
      <c r="AF3" s="133"/>
      <c r="AG3" s="133"/>
      <c r="AH3" s="133"/>
      <c r="AI3" s="133"/>
      <c r="AJ3" s="133"/>
      <c r="AK3" s="134"/>
      <c r="AL3" s="3"/>
      <c r="AM3" s="3" t="str">
        <f>B4&amp; " Année précédente "</f>
        <v xml:space="preserve">TAC Année précédente </v>
      </c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</row>
    <row r="4" spans="1:69" ht="15" thickBot="1">
      <c r="A4" s="21"/>
      <c r="B4" s="5" t="s">
        <v>15</v>
      </c>
      <c r="C4" s="6" t="s">
        <v>16</v>
      </c>
      <c r="D4" s="6" t="s">
        <v>17</v>
      </c>
      <c r="E4" s="7" t="s">
        <v>18</v>
      </c>
      <c r="F4" s="6" t="s">
        <v>19</v>
      </c>
      <c r="G4" s="8" t="s">
        <v>20</v>
      </c>
      <c r="H4" s="6" t="s">
        <v>21</v>
      </c>
      <c r="I4" s="8" t="s">
        <v>22</v>
      </c>
      <c r="J4" s="9" t="s">
        <v>23</v>
      </c>
      <c r="K4" s="5" t="s">
        <v>15</v>
      </c>
      <c r="L4" s="6" t="s">
        <v>16</v>
      </c>
      <c r="M4" s="6" t="s">
        <v>17</v>
      </c>
      <c r="N4" s="7" t="s">
        <v>18</v>
      </c>
      <c r="O4" s="6" t="s">
        <v>19</v>
      </c>
      <c r="P4" s="8" t="s">
        <v>20</v>
      </c>
      <c r="Q4" s="6" t="s">
        <v>21</v>
      </c>
      <c r="R4" s="8" t="s">
        <v>22</v>
      </c>
      <c r="S4" s="9" t="s">
        <v>23</v>
      </c>
      <c r="T4" s="5" t="s">
        <v>15</v>
      </c>
      <c r="U4" s="6" t="s">
        <v>16</v>
      </c>
      <c r="V4" s="6" t="s">
        <v>17</v>
      </c>
      <c r="W4" s="7" t="s">
        <v>18</v>
      </c>
      <c r="X4" s="6" t="s">
        <v>19</v>
      </c>
      <c r="Y4" s="8" t="s">
        <v>20</v>
      </c>
      <c r="Z4" s="6" t="s">
        <v>21</v>
      </c>
      <c r="AA4" s="8" t="s">
        <v>22</v>
      </c>
      <c r="AB4" s="9" t="s">
        <v>23</v>
      </c>
      <c r="AC4" s="5" t="s">
        <v>15</v>
      </c>
      <c r="AD4" s="6" t="s">
        <v>16</v>
      </c>
      <c r="AE4" s="6" t="s">
        <v>17</v>
      </c>
      <c r="AF4" s="7" t="s">
        <v>18</v>
      </c>
      <c r="AG4" s="6" t="s">
        <v>19</v>
      </c>
      <c r="AH4" s="8" t="s">
        <v>20</v>
      </c>
      <c r="AI4" s="6" t="s">
        <v>21</v>
      </c>
      <c r="AJ4" s="8" t="s">
        <v>22</v>
      </c>
      <c r="AK4" s="9" t="s">
        <v>23</v>
      </c>
      <c r="AL4" s="3"/>
      <c r="AM4" s="3"/>
      <c r="AR4" s="48"/>
      <c r="AS4" s="48"/>
      <c r="AT4" s="48"/>
      <c r="AU4" s="48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</row>
    <row r="5" spans="1:69" ht="15" thickBot="1">
      <c r="A5" s="21"/>
      <c r="B5" s="68" t="s">
        <v>24</v>
      </c>
      <c r="C5" s="70" t="s">
        <v>24</v>
      </c>
      <c r="D5" s="70">
        <v>1</v>
      </c>
      <c r="E5" s="71" t="s">
        <v>25</v>
      </c>
      <c r="F5" s="70" t="s">
        <v>26</v>
      </c>
      <c r="G5" s="72" t="s">
        <v>27</v>
      </c>
      <c r="H5" s="70" t="s">
        <v>28</v>
      </c>
      <c r="I5" s="72" t="s">
        <v>29</v>
      </c>
      <c r="J5" s="73" t="s">
        <v>29</v>
      </c>
      <c r="K5" s="68" t="s">
        <v>24</v>
      </c>
      <c r="L5" s="70" t="s">
        <v>24</v>
      </c>
      <c r="M5" s="70">
        <v>1</v>
      </c>
      <c r="N5" s="71" t="s">
        <v>25</v>
      </c>
      <c r="O5" s="70" t="s">
        <v>26</v>
      </c>
      <c r="P5" s="72" t="s">
        <v>27</v>
      </c>
      <c r="Q5" s="70" t="s">
        <v>28</v>
      </c>
      <c r="R5" s="72" t="s">
        <v>29</v>
      </c>
      <c r="S5" s="73" t="s">
        <v>29</v>
      </c>
      <c r="T5" s="68" t="s">
        <v>24</v>
      </c>
      <c r="U5" s="70" t="s">
        <v>24</v>
      </c>
      <c r="V5" s="70">
        <v>1</v>
      </c>
      <c r="W5" s="71" t="s">
        <v>25</v>
      </c>
      <c r="X5" s="70" t="s">
        <v>26</v>
      </c>
      <c r="Y5" s="72" t="s">
        <v>27</v>
      </c>
      <c r="Z5" s="70" t="s">
        <v>28</v>
      </c>
      <c r="AA5" s="72" t="s">
        <v>29</v>
      </c>
      <c r="AB5" s="73" t="s">
        <v>29</v>
      </c>
      <c r="AC5" s="68" t="s">
        <v>24</v>
      </c>
      <c r="AD5" s="70" t="s">
        <v>24</v>
      </c>
      <c r="AE5" s="70">
        <v>1</v>
      </c>
      <c r="AF5" s="71" t="s">
        <v>25</v>
      </c>
      <c r="AG5" s="70" t="s">
        <v>26</v>
      </c>
      <c r="AH5" s="72" t="s">
        <v>27</v>
      </c>
      <c r="AI5" s="70" t="s">
        <v>28</v>
      </c>
      <c r="AJ5" s="72" t="s">
        <v>29</v>
      </c>
      <c r="AK5" s="73" t="s">
        <v>29</v>
      </c>
      <c r="AL5" s="3"/>
      <c r="AM5" s="3" t="s">
        <v>33</v>
      </c>
      <c r="AR5" s="48"/>
      <c r="AS5" s="48"/>
      <c r="AT5" s="48"/>
      <c r="AU5" s="48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</row>
    <row r="6" spans="1:69" ht="15.75" thickTop="1" thickBot="1">
      <c r="A6" s="66">
        <f>DATE(J1, 1, 20)</f>
        <v>40198</v>
      </c>
      <c r="B6" s="69">
        <f>VLOOKUP(A6,'Données ED'!$A$6:$AB$101,2,0)</f>
        <v>10.9</v>
      </c>
      <c r="C6" s="74">
        <f>VLOOKUP(A6,'Données ED'!$A$6:$AB$101,3,0)</f>
        <v>13.4</v>
      </c>
      <c r="D6" s="75">
        <f>VLOOKUP(A6,'Données ED'!$A$6:$AB$101,4,0)</f>
        <v>8</v>
      </c>
      <c r="E6" s="76">
        <f>VLOOKUP(A6,'Données ED'!$A$6:$AB$101,5,0)</f>
        <v>0.1</v>
      </c>
      <c r="F6" s="75">
        <f>VLOOKUP(A6,'Données ED'!$A$6:$AB$101,6,0)</f>
        <v>27.9</v>
      </c>
      <c r="G6" s="77">
        <f>VLOOKUP(A6,'Données ED'!$A$6:$AB$101,7,0)</f>
        <v>405</v>
      </c>
      <c r="H6" s="75">
        <f>VLOOKUP(A6,'Données ED'!$A$6:$AB$101,8,0)</f>
        <v>0.60000000000000009</v>
      </c>
      <c r="I6" s="77">
        <f>VLOOKUP(A6,'Données ED'!$A$6:$AB$101,9,0)</f>
        <v>0</v>
      </c>
      <c r="J6" s="83">
        <f>VLOOKUP(A6,'Données ED'!$A$6:$AB$101,10,0)</f>
        <v>3</v>
      </c>
      <c r="K6" s="84">
        <f>VLOOKUP(A6,'Données ED'!$A$6:$AB$101,11,0)</f>
        <v>14.4</v>
      </c>
      <c r="L6" s="75">
        <f>VLOOKUP(A6,'Données ED'!$A$6:$AB$101,12,0)</f>
        <v>17.2</v>
      </c>
      <c r="M6" s="74">
        <f>VLOOKUP(A6,'Données ED'!$A$6:$AB$101,13,0)</f>
        <v>7.55</v>
      </c>
      <c r="N6" s="79">
        <f>VLOOKUP(A6,'Données ED'!$A$6:$AB$101,14,0)</f>
        <v>0.1</v>
      </c>
      <c r="O6" s="74">
        <f>VLOOKUP(A6,'Données ED'!$A$6:$AB$101,15,0)</f>
        <v>16.600000000000001</v>
      </c>
      <c r="P6" s="78">
        <f>VLOOKUP(A6,'Données ED'!$A$6:$AB$101,16,0)</f>
        <v>455</v>
      </c>
      <c r="Q6" s="74">
        <f>VLOOKUP(A6,'Données ED'!$A$6:$AB$101,17,0)</f>
        <v>0.60000000000000009</v>
      </c>
      <c r="R6" s="78">
        <f>VLOOKUP(A6,'Données ED'!$A$6:$AB$101,18,0)</f>
        <v>0</v>
      </c>
      <c r="S6" s="80">
        <f>VLOOKUP(A6,'Données ED'!$A$6:$AB$101,19,0)</f>
        <v>4</v>
      </c>
      <c r="T6" s="69">
        <f>VLOOKUP(A6,'Données ED'!$A$6:$AB$101,20,0)</f>
        <v>11.6</v>
      </c>
      <c r="U6" s="74">
        <f>VLOOKUP(A6,'Données ED'!$A$6:$AB$101,21,0)</f>
        <v>13.7</v>
      </c>
      <c r="V6" s="75">
        <f>VLOOKUP(A6,'Données ED'!$A$6:$AB$101,22,0)</f>
        <v>7.9</v>
      </c>
      <c r="W6" s="76">
        <f>VLOOKUP(A6,'Données ED'!$A$6:$AB$101,23,0)</f>
        <v>0.125</v>
      </c>
      <c r="X6" s="75">
        <f>VLOOKUP(A6,'Données ED'!$A$6:$AB$101,24,0)</f>
        <v>15.35</v>
      </c>
      <c r="Y6" s="77">
        <f>VLOOKUP(A6,'Données ED'!$A$6:$AB$101,25,0)</f>
        <v>387.5</v>
      </c>
      <c r="Z6" s="75">
        <f>VLOOKUP(A6,'Données ED'!$A$6:$AB$101,26,0)</f>
        <v>0.35</v>
      </c>
      <c r="AA6" s="77">
        <f>VLOOKUP(A6,'Données ED'!$A$6:$AB$101,27,0)</f>
        <v>1</v>
      </c>
      <c r="AB6" s="83">
        <f>VLOOKUP(A6,'Données ED'!$A$6:$AB$101,28,0)</f>
        <v>1.5</v>
      </c>
      <c r="AC6" s="82">
        <f t="shared" ref="AC6:AC30" si="0">AVERAGE(B6,K6,T6)</f>
        <v>12.299999999999999</v>
      </c>
      <c r="AD6" s="75">
        <f>AVERAGE(C6,L6,U6)</f>
        <v>14.766666666666666</v>
      </c>
      <c r="AE6" s="74">
        <f t="shared" ref="AE6:AE30" si="1">AVERAGE(D6,M6,V6)</f>
        <v>7.8166666666666673</v>
      </c>
      <c r="AF6" s="79">
        <f t="shared" ref="AF6:AF30" si="2">AVERAGE(E6,N6,W6)</f>
        <v>0.10833333333333334</v>
      </c>
      <c r="AG6" s="74">
        <f t="shared" ref="AG6:AG30" si="3">AVERAGE(F6,O6,X6)</f>
        <v>19.95</v>
      </c>
      <c r="AH6" s="78">
        <f t="shared" ref="AH6:AH30" si="4">AVERAGE(G6,P6,Y6)</f>
        <v>415.83333333333331</v>
      </c>
      <c r="AI6" s="74">
        <f t="shared" ref="AI6:AI30" si="5">AVERAGE(H6,Q6,Z6)</f>
        <v>0.51666666666666672</v>
      </c>
      <c r="AJ6" s="78">
        <f t="shared" ref="AJ6:AJ30" si="6">AVERAGE(I6,R6,AA6)</f>
        <v>0.33333333333333331</v>
      </c>
      <c r="AK6" s="80">
        <f t="shared" ref="AK6:AK30" si="7">AVERAGE(J6,S6,AB6)</f>
        <v>2.8333333333333335</v>
      </c>
      <c r="AL6" s="3"/>
      <c r="AM6" s="3" t="str">
        <f>D4&amp; " Année précédente "</f>
        <v xml:space="preserve">pH Année précédente </v>
      </c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</row>
    <row r="7" spans="1:69" ht="15" thickBot="1">
      <c r="A7" s="66">
        <f t="shared" ref="A7:A17" si="8">EDATE(A6, 1)</f>
        <v>40229</v>
      </c>
      <c r="B7" s="85">
        <f>VLOOKUP(A7,'Données ED'!$A$6:$AB$101,2,0)</f>
        <v>10.5</v>
      </c>
      <c r="C7" s="52">
        <f>VLOOKUP(A7,'Données ED'!$A$6:$AB$101,3,0)</f>
        <v>12.9</v>
      </c>
      <c r="D7" s="49">
        <f>VLOOKUP(A7,'Données ED'!$A$6:$AB$101,4,0)</f>
        <v>8.1</v>
      </c>
      <c r="E7" s="86">
        <f>VLOOKUP(A7,'Données ED'!$A$6:$AB$101,5,0)</f>
        <v>0.1</v>
      </c>
      <c r="F7" s="49">
        <f>VLOOKUP(A7,'Données ED'!$A$6:$AB$101,6,0)</f>
        <v>19</v>
      </c>
      <c r="G7" s="56">
        <f>VLOOKUP(A7,'Données ED'!$A$6:$AB$101,7,0)</f>
        <v>395</v>
      </c>
      <c r="H7" s="49">
        <f>VLOOKUP(A7,'Données ED'!$A$6:$AB$101,8,0)</f>
        <v>0.30000000000000004</v>
      </c>
      <c r="I7" s="56">
        <f>VLOOKUP(A7,'Données ED'!$A$6:$AB$101,9,0)</f>
        <v>2</v>
      </c>
      <c r="J7" s="87">
        <f>VLOOKUP(A7,'Données ED'!$A$6:$AB$101,10,0)</f>
        <v>1</v>
      </c>
      <c r="K7" s="88">
        <f>VLOOKUP(A7,'Données ED'!$A$6:$AB$101,11,0)</f>
        <v>16.899999999999999</v>
      </c>
      <c r="L7" s="49">
        <f>VLOOKUP(A7,'Données ED'!$A$6:$AB$101,12,0)</f>
        <v>18.3</v>
      </c>
      <c r="M7" s="52">
        <f>VLOOKUP(A7,'Données ED'!$A$6:$AB$101,13,0)</f>
        <v>7.85</v>
      </c>
      <c r="N7" s="62">
        <f>VLOOKUP(A7,'Données ED'!$A$6:$AB$101,14,0)</f>
        <v>0.15</v>
      </c>
      <c r="O7" s="52">
        <f>VLOOKUP(A7,'Données ED'!$A$6:$AB$101,15,0)</f>
        <v>28.9</v>
      </c>
      <c r="P7" s="59">
        <f>VLOOKUP(A7,'Données ED'!$A$6:$AB$101,16,0)</f>
        <v>480</v>
      </c>
      <c r="Q7" s="52">
        <f>VLOOKUP(A7,'Données ED'!$A$6:$AB$101,17,0)</f>
        <v>0.4</v>
      </c>
      <c r="R7" s="59">
        <f>VLOOKUP(A7,'Données ED'!$A$6:$AB$101,18,0)</f>
        <v>0</v>
      </c>
      <c r="S7" s="81">
        <f>VLOOKUP(A7,'Données ED'!$A$6:$AB$101,19,0)</f>
        <v>3</v>
      </c>
      <c r="T7" s="85" t="e">
        <f>VLOOKUP(A7,'Données ED'!$A$6:$AB$101,20,0)</f>
        <v>#N/A</v>
      </c>
      <c r="U7" s="52" t="e">
        <f>VLOOKUP(A7,'Données ED'!$A$6:$AB$101,21,0)</f>
        <v>#N/A</v>
      </c>
      <c r="V7" s="49" t="e">
        <f>VLOOKUP(A7,'Données ED'!$A$6:$AB$101,22,0)</f>
        <v>#N/A</v>
      </c>
      <c r="W7" s="86" t="e">
        <f>VLOOKUP(A7,'Données ED'!$A$6:$AB$101,23,0)</f>
        <v>#N/A</v>
      </c>
      <c r="X7" s="49" t="e">
        <f>VLOOKUP(A7,'Données ED'!$A$6:$AB$101,24,0)</f>
        <v>#N/A</v>
      </c>
      <c r="Y7" s="56" t="e">
        <f>VLOOKUP(A7,'Données ED'!$A$6:$AB$101,25,0)</f>
        <v>#N/A</v>
      </c>
      <c r="Z7" s="49" t="e">
        <f>VLOOKUP(A7,'Données ED'!$A$6:$AB$101,26,0)</f>
        <v>#N/A</v>
      </c>
      <c r="AA7" s="56" t="e">
        <f>VLOOKUP(A7,'Données ED'!$A$6:$AB$101,27,0)</f>
        <v>#N/A</v>
      </c>
      <c r="AB7" s="87" t="e">
        <f>VLOOKUP(A7,'Données ED'!$A$6:$AB$101,28,0)</f>
        <v>#N/A</v>
      </c>
      <c r="AC7" s="65" t="e">
        <f t="shared" si="0"/>
        <v>#N/A</v>
      </c>
      <c r="AD7" s="49" t="e">
        <f t="shared" ref="AD7:AD29" si="9">AVERAGE(C7,L7,U7)</f>
        <v>#N/A</v>
      </c>
      <c r="AE7" s="52" t="e">
        <f t="shared" si="1"/>
        <v>#N/A</v>
      </c>
      <c r="AF7" s="62" t="e">
        <f t="shared" si="2"/>
        <v>#N/A</v>
      </c>
      <c r="AG7" s="52" t="e">
        <f t="shared" si="3"/>
        <v>#N/A</v>
      </c>
      <c r="AH7" s="59" t="e">
        <f t="shared" si="4"/>
        <v>#N/A</v>
      </c>
      <c r="AI7" s="52" t="e">
        <f t="shared" si="5"/>
        <v>#N/A</v>
      </c>
      <c r="AJ7" s="59" t="e">
        <f t="shared" si="6"/>
        <v>#N/A</v>
      </c>
      <c r="AK7" s="81" t="e">
        <f t="shared" si="7"/>
        <v>#N/A</v>
      </c>
      <c r="AL7" s="3"/>
      <c r="AM7" s="3" t="str">
        <f>G4&amp; " Année précédente "</f>
        <v xml:space="preserve">Conductivité Année précédente </v>
      </c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</row>
    <row r="8" spans="1:69" ht="15" thickBot="1">
      <c r="A8" s="66">
        <f t="shared" si="8"/>
        <v>40257</v>
      </c>
      <c r="B8" s="85">
        <f>VLOOKUP(A8,'Données ED'!$A$6:$AB$101,2,0)</f>
        <v>10.65</v>
      </c>
      <c r="C8" s="52">
        <f>VLOOKUP(A8,'Données ED'!$A$6:$AB$101,3,0)</f>
        <v>13.1</v>
      </c>
      <c r="D8" s="49">
        <f>VLOOKUP(A8,'Données ED'!$A$6:$AB$101,4,0)</f>
        <v>7.85</v>
      </c>
      <c r="E8" s="86">
        <f>VLOOKUP(A8,'Données ED'!$A$6:$AB$101,5,0)</f>
        <v>0.125</v>
      </c>
      <c r="F8" s="49">
        <f>VLOOKUP(A8,'Données ED'!$A$6:$AB$101,6,0)</f>
        <v>19.55</v>
      </c>
      <c r="G8" s="56">
        <f>VLOOKUP(A8,'Données ED'!$A$6:$AB$101,7,0)</f>
        <v>410</v>
      </c>
      <c r="H8" s="49">
        <f>VLOOKUP(A8,'Données ED'!$A$6:$AB$101,8,0)</f>
        <v>0.30000000000000004</v>
      </c>
      <c r="I8" s="56">
        <f>VLOOKUP(A8,'Données ED'!$A$6:$AB$101,9,0)</f>
        <v>0.5</v>
      </c>
      <c r="J8" s="87">
        <f>VLOOKUP(A8,'Données ED'!$A$6:$AB$101,10,0)</f>
        <v>0.5</v>
      </c>
      <c r="K8" s="88">
        <f>VLOOKUP(A8,'Données ED'!$A$6:$AB$101,11,0)</f>
        <v>18.149999999999999</v>
      </c>
      <c r="L8" s="49">
        <f>VLOOKUP(A8,'Données ED'!$A$6:$AB$101,12,0)</f>
        <v>20.95</v>
      </c>
      <c r="M8" s="52">
        <f>VLOOKUP(A8,'Données ED'!$A$6:$AB$101,13,0)</f>
        <v>7.75</v>
      </c>
      <c r="N8" s="62">
        <f>VLOOKUP(A8,'Données ED'!$A$6:$AB$101,14,0)</f>
        <v>0.2</v>
      </c>
      <c r="O8" s="52">
        <f>VLOOKUP(A8,'Données ED'!$A$6:$AB$101,15,0)</f>
        <v>28.5</v>
      </c>
      <c r="P8" s="59">
        <f>VLOOKUP(A8,'Données ED'!$A$6:$AB$101,16,0)</f>
        <v>517.5</v>
      </c>
      <c r="Q8" s="52">
        <f>VLOOKUP(A8,'Données ED'!$A$6:$AB$101,17,0)</f>
        <v>0.5</v>
      </c>
      <c r="R8" s="59">
        <f>VLOOKUP(A8,'Données ED'!$A$6:$AB$101,18,0)</f>
        <v>1</v>
      </c>
      <c r="S8" s="81">
        <f>VLOOKUP(A8,'Données ED'!$A$6:$AB$101,19,0)</f>
        <v>1</v>
      </c>
      <c r="T8" s="85">
        <f>VLOOKUP(A8,'Données ED'!$A$6:$AB$101,20,0)</f>
        <v>11.85</v>
      </c>
      <c r="U8" s="52">
        <f>VLOOKUP(A8,'Données ED'!$A$6:$AB$101,21,0)</f>
        <v>12.5</v>
      </c>
      <c r="V8" s="49">
        <f>VLOOKUP(A8,'Données ED'!$A$6:$AB$101,22,0)</f>
        <v>7.7</v>
      </c>
      <c r="W8" s="86">
        <f>VLOOKUP(A8,'Données ED'!$A$6:$AB$101,23,0)</f>
        <v>0.125</v>
      </c>
      <c r="X8" s="49">
        <f>VLOOKUP(A8,'Données ED'!$A$6:$AB$101,24,0)</f>
        <v>12.7</v>
      </c>
      <c r="Y8" s="56">
        <f>VLOOKUP(A8,'Données ED'!$A$6:$AB$101,25,0)</f>
        <v>395</v>
      </c>
      <c r="Z8" s="49">
        <f>VLOOKUP(A8,'Données ED'!$A$6:$AB$101,26,0)</f>
        <v>0.30000000000000004</v>
      </c>
      <c r="AA8" s="56">
        <f>VLOOKUP(A8,'Données ED'!$A$6:$AB$101,27,0)</f>
        <v>0</v>
      </c>
      <c r="AB8" s="87">
        <f>VLOOKUP(A8,'Données ED'!$A$6:$AB$101,28,0)</f>
        <v>0</v>
      </c>
      <c r="AC8" s="65">
        <f t="shared" si="0"/>
        <v>13.549999999999999</v>
      </c>
      <c r="AD8" s="49">
        <f t="shared" si="9"/>
        <v>15.516666666666666</v>
      </c>
      <c r="AE8" s="52">
        <f t="shared" si="1"/>
        <v>7.7666666666666666</v>
      </c>
      <c r="AF8" s="62">
        <f t="shared" si="2"/>
        <v>0.15</v>
      </c>
      <c r="AG8" s="52">
        <f t="shared" si="3"/>
        <v>20.25</v>
      </c>
      <c r="AH8" s="59">
        <f t="shared" si="4"/>
        <v>440.83333333333331</v>
      </c>
      <c r="AI8" s="52">
        <f t="shared" si="5"/>
        <v>0.3666666666666667</v>
      </c>
      <c r="AJ8" s="59">
        <f t="shared" si="6"/>
        <v>0.5</v>
      </c>
      <c r="AK8" s="81">
        <f t="shared" si="7"/>
        <v>0.5</v>
      </c>
      <c r="AL8" s="3"/>
      <c r="AM8" s="3" t="str">
        <f>C4&amp; " Année précédente "</f>
        <v xml:space="preserve">TH Année précédente </v>
      </c>
      <c r="AN8" s="3"/>
      <c r="AO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</row>
    <row r="9" spans="1:69" ht="15" thickBot="1">
      <c r="A9" s="66">
        <f t="shared" si="8"/>
        <v>40288</v>
      </c>
      <c r="B9" s="85">
        <f>VLOOKUP(A9,'Données ED'!$A$6:$AB$101,2,0)</f>
        <v>10.8</v>
      </c>
      <c r="C9" s="52">
        <f>VLOOKUP(A9,'Données ED'!$A$6:$AB$101,3,0)</f>
        <v>13.6</v>
      </c>
      <c r="D9" s="49">
        <f>VLOOKUP(A9,'Données ED'!$A$6:$AB$101,4,0)</f>
        <v>7.8250000000000002</v>
      </c>
      <c r="E9" s="86">
        <f>VLOOKUP(A9,'Données ED'!$A$6:$AB$101,5,0)</f>
        <v>0.1</v>
      </c>
      <c r="F9" s="49">
        <f>VLOOKUP(A9,'Données ED'!$A$6:$AB$101,6,0)</f>
        <v>17.8</v>
      </c>
      <c r="G9" s="56">
        <f>VLOOKUP(A9,'Données ED'!$A$6:$AB$101,7,0)</f>
        <v>410</v>
      </c>
      <c r="H9" s="49">
        <f>VLOOKUP(A9,'Données ED'!$A$6:$AB$101,8,0)</f>
        <v>0.30000000000000004</v>
      </c>
      <c r="I9" s="56">
        <f>VLOOKUP(A9,'Données ED'!$A$6:$AB$101,9,0)</f>
        <v>2.5</v>
      </c>
      <c r="J9" s="87">
        <f>VLOOKUP(A9,'Données ED'!$A$6:$AB$101,10,0)</f>
        <v>4</v>
      </c>
      <c r="K9" s="88">
        <f>VLOOKUP(A9,'Données ED'!$A$6:$AB$101,11,0)</f>
        <v>17.95</v>
      </c>
      <c r="L9" s="49">
        <f>VLOOKUP(A9,'Données ED'!$A$6:$AB$101,12,0)</f>
        <v>20.2</v>
      </c>
      <c r="M9" s="52">
        <f>VLOOKUP(A9,'Données ED'!$A$6:$AB$101,13,0)</f>
        <v>7.9249999999999998</v>
      </c>
      <c r="N9" s="62">
        <f>VLOOKUP(A9,'Données ED'!$A$6:$AB$101,14,0)</f>
        <v>0.15</v>
      </c>
      <c r="O9" s="52">
        <f>VLOOKUP(A9,'Données ED'!$A$6:$AB$101,15,0)</f>
        <v>27.65</v>
      </c>
      <c r="P9" s="59">
        <f>VLOOKUP(A9,'Données ED'!$A$6:$AB$101,16,0)</f>
        <v>520</v>
      </c>
      <c r="Q9" s="52">
        <f>VLOOKUP(A9,'Données ED'!$A$6:$AB$101,17,0)</f>
        <v>0.45</v>
      </c>
      <c r="R9" s="59">
        <f>VLOOKUP(A9,'Données ED'!$A$6:$AB$101,18,0)</f>
        <v>0.5</v>
      </c>
      <c r="S9" s="81">
        <f>VLOOKUP(A9,'Données ED'!$A$6:$AB$101,19,0)</f>
        <v>0.5</v>
      </c>
      <c r="T9" s="85">
        <f>VLOOKUP(A9,'Données ED'!$A$6:$AB$101,20,0)</f>
        <v>12.2</v>
      </c>
      <c r="U9" s="52">
        <f>VLOOKUP(A9,'Données ED'!$A$6:$AB$101,21,0)</f>
        <v>14.5</v>
      </c>
      <c r="V9" s="49">
        <f>VLOOKUP(A9,'Données ED'!$A$6:$AB$101,22,0)</f>
        <v>8</v>
      </c>
      <c r="W9" s="86">
        <f>VLOOKUP(A9,'Données ED'!$A$6:$AB$101,23,0)</f>
        <v>0.1</v>
      </c>
      <c r="X9" s="49">
        <f>VLOOKUP(A9,'Données ED'!$A$6:$AB$101,24,0)</f>
        <v>11.2</v>
      </c>
      <c r="Y9" s="56">
        <f>VLOOKUP(A9,'Données ED'!$A$6:$AB$101,25,0)</f>
        <v>400</v>
      </c>
      <c r="Z9" s="49">
        <f>VLOOKUP(A9,'Données ED'!$A$6:$AB$101,26,0)</f>
        <v>0.30000000000000004</v>
      </c>
      <c r="AA9" s="56">
        <f>VLOOKUP(A9,'Données ED'!$A$6:$AB$101,27,0)</f>
        <v>20</v>
      </c>
      <c r="AB9" s="87">
        <f>VLOOKUP(A9,'Données ED'!$A$6:$AB$101,28,0)</f>
        <v>22</v>
      </c>
      <c r="AC9" s="65">
        <f t="shared" si="0"/>
        <v>13.65</v>
      </c>
      <c r="AD9" s="49">
        <f t="shared" si="9"/>
        <v>16.099999999999998</v>
      </c>
      <c r="AE9" s="52">
        <f t="shared" si="1"/>
        <v>7.916666666666667</v>
      </c>
      <c r="AF9" s="62">
        <f t="shared" si="2"/>
        <v>0.11666666666666665</v>
      </c>
      <c r="AG9" s="52">
        <f t="shared" si="3"/>
        <v>18.883333333333336</v>
      </c>
      <c r="AH9" s="59">
        <f t="shared" si="4"/>
        <v>443.33333333333331</v>
      </c>
      <c r="AI9" s="52">
        <f t="shared" si="5"/>
        <v>0.35000000000000003</v>
      </c>
      <c r="AJ9" s="59">
        <f t="shared" si="6"/>
        <v>7.666666666666667</v>
      </c>
      <c r="AK9" s="81">
        <f t="shared" si="7"/>
        <v>8.8333333333333339</v>
      </c>
      <c r="AL9" s="3"/>
      <c r="AM9" s="3"/>
      <c r="AN9" s="3"/>
      <c r="AO9" s="3"/>
      <c r="AP9" s="48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1:69" ht="15" thickBot="1">
      <c r="A10" s="66">
        <f t="shared" si="8"/>
        <v>40318</v>
      </c>
      <c r="B10" s="85">
        <f>VLOOKUP(A10,'Données ED'!$A$6:$AB$101,2,0)</f>
        <v>11.4</v>
      </c>
      <c r="C10" s="52">
        <f>VLOOKUP(A10,'Données ED'!$A$6:$AB$101,3,0)</f>
        <v>14.2</v>
      </c>
      <c r="D10" s="49">
        <f>VLOOKUP(A10,'Données ED'!$A$6:$AB$101,4,0)</f>
        <v>7.95</v>
      </c>
      <c r="E10" s="86">
        <f>VLOOKUP(A10,'Données ED'!$A$6:$AB$101,5,0)</f>
        <v>0.1</v>
      </c>
      <c r="F10" s="49">
        <f>VLOOKUP(A10,'Données ED'!$A$6:$AB$101,6,0)</f>
        <v>19.100000000000001</v>
      </c>
      <c r="G10" s="56">
        <f>VLOOKUP(A10,'Données ED'!$A$6:$AB$101,7,0)</f>
        <v>420</v>
      </c>
      <c r="H10" s="49">
        <f>VLOOKUP(A10,'Données ED'!$A$6:$AB$101,8,0)</f>
        <v>0.5</v>
      </c>
      <c r="I10" s="56">
        <f>VLOOKUP(A10,'Données ED'!$A$6:$AB$101,9,0)</f>
        <v>0</v>
      </c>
      <c r="J10" s="87">
        <f>VLOOKUP(A10,'Données ED'!$A$6:$AB$101,10,0)</f>
        <v>0</v>
      </c>
      <c r="K10" s="88">
        <f>VLOOKUP(A10,'Données ED'!$A$6:$AB$101,11,0)</f>
        <v>17.899999999999999</v>
      </c>
      <c r="L10" s="49">
        <f>VLOOKUP(A10,'Données ED'!$A$6:$AB$101,12,0)</f>
        <v>20</v>
      </c>
      <c r="M10" s="52">
        <f>VLOOKUP(A10,'Données ED'!$A$6:$AB$101,13,0)</f>
        <v>7.6</v>
      </c>
      <c r="N10" s="62">
        <f>VLOOKUP(A10,'Données ED'!$A$6:$AB$101,14,0)</f>
        <v>0.4</v>
      </c>
      <c r="O10" s="52">
        <f>VLOOKUP(A10,'Données ED'!$A$6:$AB$101,15,0)</f>
        <v>26.8</v>
      </c>
      <c r="P10" s="59">
        <f>VLOOKUP(A10,'Données ED'!$A$6:$AB$101,16,0)</f>
        <v>520</v>
      </c>
      <c r="Q10" s="52">
        <f>VLOOKUP(A10,'Données ED'!$A$6:$AB$101,17,0)</f>
        <v>0.4</v>
      </c>
      <c r="R10" s="59">
        <f>VLOOKUP(A10,'Données ED'!$A$6:$AB$101,18,0)</f>
        <v>0</v>
      </c>
      <c r="S10" s="81">
        <f>VLOOKUP(A10,'Données ED'!$A$6:$AB$101,19,0)</f>
        <v>0</v>
      </c>
      <c r="T10" s="85">
        <f>VLOOKUP(A10,'Données ED'!$A$6:$AB$101,20,0)</f>
        <v>12</v>
      </c>
      <c r="U10" s="52">
        <f>VLOOKUP(A10,'Données ED'!$A$6:$AB$101,21,0)</f>
        <v>14.7</v>
      </c>
      <c r="V10" s="49">
        <f>VLOOKUP(A10,'Données ED'!$A$6:$AB$101,22,0)</f>
        <v>7.9</v>
      </c>
      <c r="W10" s="86">
        <f>VLOOKUP(A10,'Données ED'!$A$6:$AB$101,23,0)</f>
        <v>0.1</v>
      </c>
      <c r="X10" s="49">
        <f>VLOOKUP(A10,'Données ED'!$A$6:$AB$101,24,0)</f>
        <v>12.7</v>
      </c>
      <c r="Y10" s="56">
        <f>VLOOKUP(A10,'Données ED'!$A$6:$AB$101,25,0)</f>
        <v>400</v>
      </c>
      <c r="Z10" s="49">
        <f>VLOOKUP(A10,'Données ED'!$A$6:$AB$101,26,0)</f>
        <v>0.5</v>
      </c>
      <c r="AA10" s="56">
        <f>VLOOKUP(A10,'Données ED'!$A$6:$AB$101,27,0)</f>
        <v>0</v>
      </c>
      <c r="AB10" s="87">
        <f>VLOOKUP(A10,'Données ED'!$A$6:$AB$101,28,0)</f>
        <v>0</v>
      </c>
      <c r="AC10" s="65">
        <f t="shared" si="0"/>
        <v>13.766666666666666</v>
      </c>
      <c r="AD10" s="49">
        <f t="shared" si="9"/>
        <v>16.3</v>
      </c>
      <c r="AE10" s="52">
        <f t="shared" si="1"/>
        <v>7.8166666666666673</v>
      </c>
      <c r="AF10" s="62">
        <f t="shared" si="2"/>
        <v>0.19999999999999998</v>
      </c>
      <c r="AG10" s="52">
        <f t="shared" si="3"/>
        <v>19.533333333333335</v>
      </c>
      <c r="AH10" s="59">
        <f t="shared" si="4"/>
        <v>446.66666666666669</v>
      </c>
      <c r="AI10" s="52">
        <f t="shared" si="5"/>
        <v>0.46666666666666662</v>
      </c>
      <c r="AJ10" s="59">
        <f t="shared" si="6"/>
        <v>0</v>
      </c>
      <c r="AK10" s="81">
        <f t="shared" si="7"/>
        <v>0</v>
      </c>
      <c r="AL10" s="3"/>
      <c r="AM10" s="3" t="s">
        <v>34</v>
      </c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</row>
    <row r="11" spans="1:69" ht="15" thickBot="1">
      <c r="A11" s="66">
        <f t="shared" si="8"/>
        <v>40349</v>
      </c>
      <c r="B11" s="85">
        <f>VLOOKUP(A11,'Données ED'!$A$6:$AB$101,2,0)</f>
        <v>11.8</v>
      </c>
      <c r="C11" s="52">
        <f>VLOOKUP(A11,'Données ED'!$A$6:$AB$101,3,0)</f>
        <v>14.6</v>
      </c>
      <c r="D11" s="49">
        <f>VLOOKUP(A11,'Données ED'!$A$6:$AB$101,4,0)</f>
        <v>8</v>
      </c>
      <c r="E11" s="86">
        <f>VLOOKUP(A11,'Données ED'!$A$6:$AB$101,5,0)</f>
        <v>0.1</v>
      </c>
      <c r="F11" s="49">
        <f>VLOOKUP(A11,'Données ED'!$A$6:$AB$101,6,0)</f>
        <v>18.7</v>
      </c>
      <c r="G11" s="56">
        <f>VLOOKUP(A11,'Données ED'!$A$6:$AB$101,7,0)</f>
        <v>435</v>
      </c>
      <c r="H11" s="49">
        <f>VLOOKUP(A11,'Données ED'!$A$6:$AB$101,8,0)</f>
        <v>0.4</v>
      </c>
      <c r="I11" s="56">
        <f>VLOOKUP(A11,'Données ED'!$A$6:$AB$101,9,0)</f>
        <v>0</v>
      </c>
      <c r="J11" s="87">
        <f>VLOOKUP(A11,'Données ED'!$A$6:$AB$101,10,0)</f>
        <v>0</v>
      </c>
      <c r="K11" s="88">
        <f>VLOOKUP(A11,'Données ED'!$A$6:$AB$101,11,0)</f>
        <v>18.399999999999999</v>
      </c>
      <c r="L11" s="49">
        <f>VLOOKUP(A11,'Données ED'!$A$6:$AB$101,12,0)</f>
        <v>21</v>
      </c>
      <c r="M11" s="52">
        <f>VLOOKUP(A11,'Données ED'!$A$6:$AB$101,13,0)</f>
        <v>7.9</v>
      </c>
      <c r="N11" s="62">
        <f>VLOOKUP(A11,'Données ED'!$A$6:$AB$101,14,0)</f>
        <v>0.2</v>
      </c>
      <c r="O11" s="52">
        <f>VLOOKUP(A11,'Données ED'!$A$6:$AB$101,15,0)</f>
        <v>26.4</v>
      </c>
      <c r="P11" s="59">
        <f>VLOOKUP(A11,'Données ED'!$A$6:$AB$101,16,0)</f>
        <v>540</v>
      </c>
      <c r="Q11" s="52">
        <f>VLOOKUP(A11,'Données ED'!$A$6:$AB$101,17,0)</f>
        <v>0.4</v>
      </c>
      <c r="R11" s="59">
        <f>VLOOKUP(A11,'Données ED'!$A$6:$AB$101,18,0)</f>
        <v>0</v>
      </c>
      <c r="S11" s="81">
        <f>VLOOKUP(A11,'Données ED'!$A$6:$AB$101,19,0)</f>
        <v>32</v>
      </c>
      <c r="T11" s="85">
        <f>VLOOKUP(A11,'Données ED'!$A$6:$AB$101,20,0)</f>
        <v>13.2</v>
      </c>
      <c r="U11" s="52">
        <f>VLOOKUP(A11,'Données ED'!$A$6:$AB$101,21,0)</f>
        <v>15.6</v>
      </c>
      <c r="V11" s="49">
        <f>VLOOKUP(A11,'Données ED'!$A$6:$AB$101,22,0)</f>
        <v>8.1</v>
      </c>
      <c r="W11" s="86">
        <f>VLOOKUP(A11,'Données ED'!$A$6:$AB$101,23,0)</f>
        <v>0.1</v>
      </c>
      <c r="X11" s="49">
        <f>VLOOKUP(A11,'Données ED'!$A$6:$AB$101,24,0)</f>
        <v>12</v>
      </c>
      <c r="Y11" s="56">
        <f>VLOOKUP(A11,'Données ED'!$A$6:$AB$101,25,0)</f>
        <v>430</v>
      </c>
      <c r="Z11" s="49">
        <f>VLOOKUP(A11,'Données ED'!$A$6:$AB$101,26,0)</f>
        <v>0.30000000000000004</v>
      </c>
      <c r="AA11" s="56">
        <f>VLOOKUP(A11,'Données ED'!$A$6:$AB$101,27,0)</f>
        <v>0</v>
      </c>
      <c r="AB11" s="87">
        <f>VLOOKUP(A11,'Données ED'!$A$6:$AB$101,28,0)</f>
        <v>2</v>
      </c>
      <c r="AC11" s="65">
        <f t="shared" si="0"/>
        <v>14.466666666666667</v>
      </c>
      <c r="AD11" s="49">
        <f t="shared" si="9"/>
        <v>17.066666666666666</v>
      </c>
      <c r="AE11" s="52">
        <f t="shared" si="1"/>
        <v>8</v>
      </c>
      <c r="AF11" s="62">
        <f t="shared" si="2"/>
        <v>0.13333333333333333</v>
      </c>
      <c r="AG11" s="52">
        <f t="shared" si="3"/>
        <v>19.033333333333331</v>
      </c>
      <c r="AH11" s="59">
        <f t="shared" si="4"/>
        <v>468.33333333333331</v>
      </c>
      <c r="AI11" s="52">
        <f t="shared" si="5"/>
        <v>0.3666666666666667</v>
      </c>
      <c r="AJ11" s="59">
        <f t="shared" si="6"/>
        <v>0</v>
      </c>
      <c r="AK11" s="81">
        <f t="shared" si="7"/>
        <v>11.333333333333334</v>
      </c>
      <c r="AL11" s="3"/>
      <c r="AM11" s="3" t="str">
        <f>E4&amp; " Année précédente "</f>
        <v xml:space="preserve">Turbidité Année précédente </v>
      </c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</row>
    <row r="12" spans="1:69" ht="15" thickBot="1">
      <c r="A12" s="66">
        <f t="shared" si="8"/>
        <v>40379</v>
      </c>
      <c r="B12" s="85">
        <f>VLOOKUP(A12,'Données ED'!$A$6:$AB$101,2,0)</f>
        <v>10.95</v>
      </c>
      <c r="C12" s="52">
        <f>VLOOKUP(A12,'Données ED'!$A$6:$AB$101,3,0)</f>
        <v>12.6</v>
      </c>
      <c r="D12" s="49">
        <f>VLOOKUP(A12,'Données ED'!$A$6:$AB$101,4,0)</f>
        <v>7.875</v>
      </c>
      <c r="E12" s="86">
        <f>VLOOKUP(A12,'Données ED'!$A$6:$AB$101,5,0)</f>
        <v>0.1</v>
      </c>
      <c r="F12" s="49">
        <f>VLOOKUP(A12,'Données ED'!$A$6:$AB$101,6,0)</f>
        <v>18.55</v>
      </c>
      <c r="G12" s="56">
        <f>VLOOKUP(A12,'Données ED'!$A$6:$AB$101,7,0)</f>
        <v>415</v>
      </c>
      <c r="H12" s="49">
        <f>VLOOKUP(A12,'Données ED'!$A$6:$AB$101,8,0)</f>
        <v>0.5</v>
      </c>
      <c r="I12" s="56">
        <f>VLOOKUP(A12,'Données ED'!$A$6:$AB$101,9,0)</f>
        <v>0</v>
      </c>
      <c r="J12" s="87">
        <f>VLOOKUP(A12,'Données ED'!$A$6:$AB$101,10,0)</f>
        <v>3.5</v>
      </c>
      <c r="K12" s="88">
        <f>VLOOKUP(A12,'Données ED'!$A$6:$AB$101,11,0)</f>
        <v>16.399999999999999</v>
      </c>
      <c r="L12" s="49">
        <f>VLOOKUP(A12,'Données ED'!$A$6:$AB$101,12,0)</f>
        <v>18.7</v>
      </c>
      <c r="M12" s="52">
        <f>VLOOKUP(A12,'Données ED'!$A$6:$AB$101,13,0)</f>
        <v>7.6749999999999998</v>
      </c>
      <c r="N12" s="62">
        <f>VLOOKUP(A12,'Données ED'!$A$6:$AB$101,14,0)</f>
        <v>0.17500000000000002</v>
      </c>
      <c r="O12" s="52">
        <f>VLOOKUP(A12,'Données ED'!$A$6:$AB$101,15,0)</f>
        <v>28.35</v>
      </c>
      <c r="P12" s="59">
        <f>VLOOKUP(A12,'Données ED'!$A$6:$AB$101,16,0)</f>
        <v>497.5</v>
      </c>
      <c r="Q12" s="52">
        <f>VLOOKUP(A12,'Données ED'!$A$6:$AB$101,17,0)</f>
        <v>0.5</v>
      </c>
      <c r="R12" s="59">
        <f>VLOOKUP(A12,'Données ED'!$A$6:$AB$101,18,0)</f>
        <v>0</v>
      </c>
      <c r="S12" s="81">
        <f>VLOOKUP(A12,'Données ED'!$A$6:$AB$101,19,0)</f>
        <v>0</v>
      </c>
      <c r="T12" s="85">
        <f>VLOOKUP(A12,'Données ED'!$A$6:$AB$101,20,0)</f>
        <v>13.2</v>
      </c>
      <c r="U12" s="52">
        <f>VLOOKUP(A12,'Données ED'!$A$6:$AB$101,21,0)</f>
        <v>14.5</v>
      </c>
      <c r="V12" s="49">
        <f>VLOOKUP(A12,'Données ED'!$A$6:$AB$101,22,0)</f>
        <v>8.1</v>
      </c>
      <c r="W12" s="86">
        <f>VLOOKUP(A12,'Données ED'!$A$6:$AB$101,23,0)</f>
        <v>0.15</v>
      </c>
      <c r="X12" s="49">
        <f>VLOOKUP(A12,'Données ED'!$A$6:$AB$101,24,0)</f>
        <v>13</v>
      </c>
      <c r="Y12" s="56">
        <f>VLOOKUP(A12,'Données ED'!$A$6:$AB$101,25,0)</f>
        <v>425</v>
      </c>
      <c r="Z12" s="49">
        <f>VLOOKUP(A12,'Données ED'!$A$6:$AB$101,26,0)</f>
        <v>0.5</v>
      </c>
      <c r="AA12" s="56">
        <f>VLOOKUP(A12,'Données ED'!$A$6:$AB$101,27,0)</f>
        <v>0</v>
      </c>
      <c r="AB12" s="87">
        <f>VLOOKUP(A12,'Données ED'!$A$6:$AB$101,28,0)</f>
        <v>2</v>
      </c>
      <c r="AC12" s="65">
        <f t="shared" si="0"/>
        <v>13.516666666666666</v>
      </c>
      <c r="AD12" s="49">
        <f t="shared" si="9"/>
        <v>15.266666666666666</v>
      </c>
      <c r="AE12" s="52">
        <f t="shared" si="1"/>
        <v>7.8833333333333329</v>
      </c>
      <c r="AF12" s="62">
        <f t="shared" si="2"/>
        <v>0.14166666666666669</v>
      </c>
      <c r="AG12" s="52">
        <f t="shared" si="3"/>
        <v>19.966666666666669</v>
      </c>
      <c r="AH12" s="59">
        <f t="shared" si="4"/>
        <v>445.83333333333331</v>
      </c>
      <c r="AI12" s="52">
        <f t="shared" si="5"/>
        <v>0.5</v>
      </c>
      <c r="AJ12" s="59">
        <f t="shared" si="6"/>
        <v>0</v>
      </c>
      <c r="AK12" s="81">
        <f t="shared" si="7"/>
        <v>1.8333333333333333</v>
      </c>
      <c r="AL12" s="3"/>
      <c r="AM12" s="3" t="str">
        <f>H4&amp; " Année précédente "</f>
        <v xml:space="preserve">C org Année précédente </v>
      </c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</row>
    <row r="13" spans="1:69" ht="15" thickBot="1">
      <c r="A13" s="66">
        <f t="shared" si="8"/>
        <v>40410</v>
      </c>
      <c r="B13" s="85">
        <f>VLOOKUP(A13,'Données ED'!$A$6:$AB$101,2,0)</f>
        <v>11.2</v>
      </c>
      <c r="C13" s="52">
        <f>VLOOKUP(A13,'Données ED'!$A$6:$AB$101,3,0)</f>
        <v>13.7</v>
      </c>
      <c r="D13" s="49">
        <f>VLOOKUP(A13,'Données ED'!$A$6:$AB$101,4,0)</f>
        <v>7.9</v>
      </c>
      <c r="E13" s="86">
        <f>VLOOKUP(A13,'Données ED'!$A$6:$AB$101,5,0)</f>
        <v>0.1</v>
      </c>
      <c r="F13" s="49">
        <f>VLOOKUP(A13,'Données ED'!$A$6:$AB$101,6,0)</f>
        <v>18.399999999999999</v>
      </c>
      <c r="G13" s="56">
        <f>VLOOKUP(A13,'Données ED'!$A$6:$AB$101,7,0)</f>
        <v>415</v>
      </c>
      <c r="H13" s="49">
        <f>VLOOKUP(A13,'Données ED'!$A$6:$AB$101,8,0)</f>
        <v>0.5</v>
      </c>
      <c r="I13" s="56">
        <f>VLOOKUP(A13,'Données ED'!$A$6:$AB$101,9,0)</f>
        <v>0</v>
      </c>
      <c r="J13" s="87">
        <f>VLOOKUP(A13,'Données ED'!$A$6:$AB$101,10,0)</f>
        <v>1</v>
      </c>
      <c r="K13" s="88">
        <f>VLOOKUP(A13,'Données ED'!$A$6:$AB$101,11,0)</f>
        <v>19.100000000000001</v>
      </c>
      <c r="L13" s="49">
        <f>VLOOKUP(A13,'Données ED'!$A$6:$AB$101,12,0)</f>
        <v>21.5</v>
      </c>
      <c r="M13" s="52">
        <f>VLOOKUP(A13,'Données ED'!$A$6:$AB$101,13,0)</f>
        <v>7.95</v>
      </c>
      <c r="N13" s="62">
        <f>VLOOKUP(A13,'Données ED'!$A$6:$AB$101,14,0)</f>
        <v>0.2</v>
      </c>
      <c r="O13" s="52">
        <f>VLOOKUP(A13,'Données ED'!$A$6:$AB$101,15,0)</f>
        <v>27.1</v>
      </c>
      <c r="P13" s="59">
        <f>VLOOKUP(A13,'Données ED'!$A$6:$AB$101,16,0)</f>
        <v>535</v>
      </c>
      <c r="Q13" s="52">
        <f>VLOOKUP(A13,'Données ED'!$A$6:$AB$101,17,0)</f>
        <v>0.4</v>
      </c>
      <c r="R13" s="59">
        <f>VLOOKUP(A13,'Données ED'!$A$6:$AB$101,18,0)</f>
        <v>0</v>
      </c>
      <c r="S13" s="81">
        <f>VLOOKUP(A13,'Données ED'!$A$6:$AB$101,19,0)</f>
        <v>87</v>
      </c>
      <c r="T13" s="85">
        <f>VLOOKUP(A13,'Données ED'!$A$6:$AB$101,20,0)</f>
        <v>12</v>
      </c>
      <c r="U13" s="52">
        <f>VLOOKUP(A13,'Données ED'!$A$6:$AB$101,21,0)</f>
        <v>14.4</v>
      </c>
      <c r="V13" s="49">
        <f>VLOOKUP(A13,'Données ED'!$A$6:$AB$101,22,0)</f>
        <v>7.8</v>
      </c>
      <c r="W13" s="86">
        <f>VLOOKUP(A13,'Données ED'!$A$6:$AB$101,23,0)</f>
        <v>0.1</v>
      </c>
      <c r="X13" s="49">
        <f>VLOOKUP(A13,'Données ED'!$A$6:$AB$101,24,0)</f>
        <v>12.9</v>
      </c>
      <c r="Y13" s="56">
        <f>VLOOKUP(A13,'Données ED'!$A$6:$AB$101,25,0)</f>
        <v>400</v>
      </c>
      <c r="Z13" s="49">
        <f>VLOOKUP(A13,'Données ED'!$A$6:$AB$101,26,0)</f>
        <v>0.30000000000000004</v>
      </c>
      <c r="AA13" s="56">
        <f>VLOOKUP(A13,'Données ED'!$A$6:$AB$101,27,0)</f>
        <v>0</v>
      </c>
      <c r="AB13" s="87">
        <f>VLOOKUP(A13,'Données ED'!$A$6:$AB$101,28,0)</f>
        <v>0</v>
      </c>
      <c r="AC13" s="65">
        <f t="shared" si="0"/>
        <v>14.1</v>
      </c>
      <c r="AD13" s="49">
        <f t="shared" si="9"/>
        <v>16.533333333333335</v>
      </c>
      <c r="AE13" s="52">
        <f t="shared" si="1"/>
        <v>7.8833333333333337</v>
      </c>
      <c r="AF13" s="62">
        <f t="shared" si="2"/>
        <v>0.13333333333333333</v>
      </c>
      <c r="AG13" s="52">
        <f t="shared" si="3"/>
        <v>19.466666666666665</v>
      </c>
      <c r="AH13" s="59">
        <f t="shared" si="4"/>
        <v>450</v>
      </c>
      <c r="AI13" s="52">
        <f t="shared" si="5"/>
        <v>0.40000000000000008</v>
      </c>
      <c r="AJ13" s="59">
        <f t="shared" si="6"/>
        <v>0</v>
      </c>
      <c r="AK13" s="81">
        <f t="shared" si="7"/>
        <v>29.333333333333332</v>
      </c>
      <c r="AL13" s="3"/>
      <c r="AM13" s="3" t="s">
        <v>35</v>
      </c>
      <c r="AN13" s="3"/>
      <c r="AO13" s="48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</row>
    <row r="14" spans="1:69" ht="15" thickBot="1">
      <c r="A14" s="66">
        <f t="shared" si="8"/>
        <v>40441</v>
      </c>
      <c r="B14" s="85">
        <f>VLOOKUP(A14,'Données ED'!$A$6:$AB$101,2,0)</f>
        <v>11.05</v>
      </c>
      <c r="C14" s="52">
        <f>VLOOKUP(A14,'Données ED'!$A$6:$AB$101,3,0)</f>
        <v>13.35</v>
      </c>
      <c r="D14" s="49">
        <f>VLOOKUP(A14,'Données ED'!$A$6:$AB$101,4,0)</f>
        <v>7.7750000000000004</v>
      </c>
      <c r="E14" s="86">
        <f>VLOOKUP(A14,'Données ED'!$A$6:$AB$101,5,0)</f>
        <v>0.1</v>
      </c>
      <c r="F14" s="49">
        <f>VLOOKUP(A14,'Données ED'!$A$6:$AB$101,6,0)</f>
        <v>17.45</v>
      </c>
      <c r="G14" s="56">
        <f>VLOOKUP(A14,'Données ED'!$A$6:$AB$101,7,0)</f>
        <v>410</v>
      </c>
      <c r="H14" s="49">
        <f>VLOOKUP(A14,'Données ED'!$A$6:$AB$101,8,0)</f>
        <v>0.25</v>
      </c>
      <c r="I14" s="56">
        <f>VLOOKUP(A14,'Données ED'!$A$6:$AB$101,9,0)</f>
        <v>4.5</v>
      </c>
      <c r="J14" s="87">
        <f>VLOOKUP(A14,'Données ED'!$A$6:$AB$101,10,0)</f>
        <v>5</v>
      </c>
      <c r="K14" s="88">
        <f>VLOOKUP(A14,'Données ED'!$A$6:$AB$101,11,0)</f>
        <v>17.45</v>
      </c>
      <c r="L14" s="49">
        <f>VLOOKUP(A14,'Données ED'!$A$6:$AB$101,12,0)</f>
        <v>18.649999999999999</v>
      </c>
      <c r="M14" s="52">
        <f>VLOOKUP(A14,'Données ED'!$A$6:$AB$101,13,0)</f>
        <v>7.85</v>
      </c>
      <c r="N14" s="62">
        <f>VLOOKUP(A14,'Données ED'!$A$6:$AB$101,14,0)</f>
        <v>0.99750000000000005</v>
      </c>
      <c r="O14" s="52">
        <f>VLOOKUP(A14,'Données ED'!$A$6:$AB$101,15,0)</f>
        <v>23.15</v>
      </c>
      <c r="P14" s="59">
        <f>VLOOKUP(A14,'Données ED'!$A$6:$AB$101,16,0)</f>
        <v>505</v>
      </c>
      <c r="Q14" s="52">
        <f>VLOOKUP(A14,'Données ED'!$A$6:$AB$101,17,0)</f>
        <v>0.35</v>
      </c>
      <c r="R14" s="59">
        <f>VLOOKUP(A14,'Données ED'!$A$6:$AB$101,18,0)</f>
        <v>0</v>
      </c>
      <c r="S14" s="81">
        <f>VLOOKUP(A14,'Données ED'!$A$6:$AB$101,19,0)</f>
        <v>15</v>
      </c>
      <c r="T14" s="85">
        <f>VLOOKUP(A14,'Données ED'!$A$6:$AB$101,20,0)</f>
        <v>11.5</v>
      </c>
      <c r="U14" s="52">
        <f>VLOOKUP(A14,'Données ED'!$A$6:$AB$101,21,0)</f>
        <v>13.4</v>
      </c>
      <c r="V14" s="49">
        <f>VLOOKUP(A14,'Données ED'!$A$6:$AB$101,22,0)</f>
        <v>7.48</v>
      </c>
      <c r="W14" s="86">
        <f>VLOOKUP(A14,'Données ED'!$A$6:$AB$101,23,0)</f>
        <v>0.1</v>
      </c>
      <c r="X14" s="49">
        <f>VLOOKUP(A14,'Données ED'!$A$6:$AB$101,24,0)</f>
        <v>12.87</v>
      </c>
      <c r="Y14" s="56">
        <f>VLOOKUP(A14,'Données ED'!$A$6:$AB$101,25,0)</f>
        <v>390</v>
      </c>
      <c r="Z14" s="49">
        <f>VLOOKUP(A14,'Données ED'!$A$6:$AB$101,26,0)</f>
        <v>0.30000000000000004</v>
      </c>
      <c r="AA14" s="56">
        <f>VLOOKUP(A14,'Données ED'!$A$6:$AB$101,27,0)</f>
        <v>2.33</v>
      </c>
      <c r="AB14" s="87">
        <f>VLOOKUP(A14,'Données ED'!$A$6:$AB$101,28,0)</f>
        <v>4.67</v>
      </c>
      <c r="AC14" s="65">
        <f t="shared" si="0"/>
        <v>13.333333333333334</v>
      </c>
      <c r="AD14" s="49">
        <f t="shared" si="9"/>
        <v>15.133333333333333</v>
      </c>
      <c r="AE14" s="52">
        <f t="shared" si="1"/>
        <v>7.7016666666666671</v>
      </c>
      <c r="AF14" s="62">
        <f t="shared" si="2"/>
        <v>0.39916666666666673</v>
      </c>
      <c r="AG14" s="52">
        <f t="shared" si="3"/>
        <v>17.823333333333331</v>
      </c>
      <c r="AH14" s="59">
        <f t="shared" si="4"/>
        <v>435</v>
      </c>
      <c r="AI14" s="52">
        <f t="shared" si="5"/>
        <v>0.3</v>
      </c>
      <c r="AJ14" s="59">
        <f t="shared" si="6"/>
        <v>2.2766666666666668</v>
      </c>
      <c r="AK14" s="81">
        <f t="shared" si="7"/>
        <v>8.2233333333333345</v>
      </c>
      <c r="AL14" s="3"/>
      <c r="AM14" s="3" t="str">
        <f>F4&amp; " Année précédente "</f>
        <v xml:space="preserve">Nitrates Année précédente </v>
      </c>
      <c r="AN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</row>
    <row r="15" spans="1:69" ht="15" thickBot="1">
      <c r="A15" s="66">
        <f t="shared" si="8"/>
        <v>40471</v>
      </c>
      <c r="B15" s="85">
        <f>VLOOKUP(A15,'Données ED'!$A$6:$AB$101,2,0)</f>
        <v>11</v>
      </c>
      <c r="C15" s="52">
        <f>VLOOKUP(A15,'Données ED'!$A$6:$AB$101,3,0)</f>
        <v>13.3</v>
      </c>
      <c r="D15" s="49">
        <f>VLOOKUP(A15,'Données ED'!$A$6:$AB$101,4,0)</f>
        <v>8.0500000000000007</v>
      </c>
      <c r="E15" s="86">
        <f>VLOOKUP(A15,'Données ED'!$A$6:$AB$101,5,0)</f>
        <v>0.2</v>
      </c>
      <c r="F15" s="49">
        <f>VLOOKUP(A15,'Données ED'!$A$6:$AB$101,6,0)</f>
        <v>17.7</v>
      </c>
      <c r="G15" s="56">
        <f>VLOOKUP(A15,'Données ED'!$A$6:$AB$101,7,0)</f>
        <v>405</v>
      </c>
      <c r="H15" s="49">
        <f>VLOOKUP(A15,'Données ED'!$A$6:$AB$101,8,0)</f>
        <v>0.5</v>
      </c>
      <c r="I15" s="56">
        <f>VLOOKUP(A15,'Données ED'!$A$6:$AB$101,9,0)</f>
        <v>89</v>
      </c>
      <c r="J15" s="87">
        <f>VLOOKUP(A15,'Données ED'!$A$6:$AB$101,10,0)</f>
        <v>13</v>
      </c>
      <c r="K15" s="88" t="e">
        <f>VLOOKUP(A15,'Données ED'!$A$6:$AB$101,11,0)</f>
        <v>#N/A</v>
      </c>
      <c r="L15" s="49" t="e">
        <f>VLOOKUP(A15,'Données ED'!$A$6:$AB$101,12,0)</f>
        <v>#N/A</v>
      </c>
      <c r="M15" s="52" t="e">
        <f>VLOOKUP(A15,'Données ED'!$A$6:$AB$101,13,0)</f>
        <v>#N/A</v>
      </c>
      <c r="N15" s="62" t="e">
        <f>VLOOKUP(A15,'Données ED'!$A$6:$AB$101,14,0)</f>
        <v>#N/A</v>
      </c>
      <c r="O15" s="52" t="e">
        <f>VLOOKUP(A15,'Données ED'!$A$6:$AB$101,15,0)</f>
        <v>#N/A</v>
      </c>
      <c r="P15" s="59" t="e">
        <f>VLOOKUP(A15,'Données ED'!$A$6:$AB$101,16,0)</f>
        <v>#N/A</v>
      </c>
      <c r="Q15" s="52" t="e">
        <f>VLOOKUP(A15,'Données ED'!$A$6:$AB$101,17,0)</f>
        <v>#N/A</v>
      </c>
      <c r="R15" s="59" t="e">
        <f>VLOOKUP(A15,'Données ED'!$A$6:$AB$101,18,0)</f>
        <v>#N/A</v>
      </c>
      <c r="S15" s="81" t="e">
        <f>VLOOKUP(A15,'Données ED'!$A$6:$AB$101,19,0)</f>
        <v>#N/A</v>
      </c>
      <c r="T15" s="85" t="e">
        <f>VLOOKUP(A15,'Données ED'!$A$6:$AB$101,20,0)</f>
        <v>#N/A</v>
      </c>
      <c r="U15" s="52" t="e">
        <f>VLOOKUP(A15,'Données ED'!$A$6:$AB$101,21,0)</f>
        <v>#N/A</v>
      </c>
      <c r="V15" s="49" t="e">
        <f>VLOOKUP(A15,'Données ED'!$A$6:$AB$101,22,0)</f>
        <v>#N/A</v>
      </c>
      <c r="W15" s="86" t="e">
        <f>VLOOKUP(A15,'Données ED'!$A$6:$AB$101,23,0)</f>
        <v>#N/A</v>
      </c>
      <c r="X15" s="49" t="e">
        <f>VLOOKUP(A15,'Données ED'!$A$6:$AB$101,24,0)</f>
        <v>#N/A</v>
      </c>
      <c r="Y15" s="56" t="e">
        <f>VLOOKUP(A15,'Données ED'!$A$6:$AB$101,25,0)</f>
        <v>#N/A</v>
      </c>
      <c r="Z15" s="49" t="e">
        <f>VLOOKUP(A15,'Données ED'!$A$6:$AB$101,26,0)</f>
        <v>#N/A</v>
      </c>
      <c r="AA15" s="56" t="e">
        <f>VLOOKUP(A15,'Données ED'!$A$6:$AB$101,27,0)</f>
        <v>#N/A</v>
      </c>
      <c r="AB15" s="87" t="e">
        <f>VLOOKUP(A15,'Données ED'!$A$6:$AB$101,28,0)</f>
        <v>#N/A</v>
      </c>
      <c r="AC15" s="65" t="e">
        <f t="shared" si="0"/>
        <v>#N/A</v>
      </c>
      <c r="AD15" s="49" t="e">
        <f t="shared" si="9"/>
        <v>#N/A</v>
      </c>
      <c r="AE15" s="52" t="e">
        <f t="shared" si="1"/>
        <v>#N/A</v>
      </c>
      <c r="AF15" s="62" t="e">
        <f t="shared" si="2"/>
        <v>#N/A</v>
      </c>
      <c r="AG15" s="52" t="e">
        <f t="shared" si="3"/>
        <v>#N/A</v>
      </c>
      <c r="AH15" s="59" t="e">
        <f t="shared" si="4"/>
        <v>#N/A</v>
      </c>
      <c r="AI15" s="52" t="e">
        <f t="shared" si="5"/>
        <v>#N/A</v>
      </c>
      <c r="AJ15" s="59" t="e">
        <f t="shared" si="6"/>
        <v>#N/A</v>
      </c>
      <c r="AK15" s="81" t="e">
        <f t="shared" si="7"/>
        <v>#N/A</v>
      </c>
      <c r="AL15" s="3"/>
      <c r="AM15" s="3" t="str">
        <f>I4&amp; " Année précédente "</f>
        <v xml:space="preserve">B 22°C/68h Année précédente </v>
      </c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</row>
    <row r="16" spans="1:69" ht="15" thickBot="1">
      <c r="A16" s="66">
        <f t="shared" si="8"/>
        <v>40502</v>
      </c>
      <c r="B16" s="85" t="e">
        <f>VLOOKUP(A16,'Données ED'!$A$6:$AB$101,2,0)</f>
        <v>#N/A</v>
      </c>
      <c r="C16" s="52" t="e">
        <f>VLOOKUP(A16,'Données ED'!$A$6:$AB$101,3,0)</f>
        <v>#N/A</v>
      </c>
      <c r="D16" s="49" t="e">
        <f>VLOOKUP(A16,'Données ED'!$A$6:$AB$101,4,0)</f>
        <v>#N/A</v>
      </c>
      <c r="E16" s="86" t="e">
        <f>VLOOKUP(A16,'Données ED'!$A$6:$AB$101,5,0)</f>
        <v>#N/A</v>
      </c>
      <c r="F16" s="49" t="e">
        <f>VLOOKUP(A16,'Données ED'!$A$6:$AB$101,6,0)</f>
        <v>#N/A</v>
      </c>
      <c r="G16" s="56" t="e">
        <f>VLOOKUP(A16,'Données ED'!$A$6:$AB$101,7,0)</f>
        <v>#N/A</v>
      </c>
      <c r="H16" s="49" t="e">
        <f>VLOOKUP(A16,'Données ED'!$A$6:$AB$101,8,0)</f>
        <v>#N/A</v>
      </c>
      <c r="I16" s="56" t="e">
        <f>VLOOKUP(A16,'Données ED'!$A$6:$AB$101,9,0)</f>
        <v>#N/A</v>
      </c>
      <c r="J16" s="87" t="e">
        <f>VLOOKUP(A16,'Données ED'!$A$6:$AB$101,10,0)</f>
        <v>#N/A</v>
      </c>
      <c r="K16" s="88" t="e">
        <f>VLOOKUP(A16,'Données ED'!$A$6:$AB$101,11,0)</f>
        <v>#N/A</v>
      </c>
      <c r="L16" s="49" t="e">
        <f>VLOOKUP(A16,'Données ED'!$A$6:$AB$101,12,0)</f>
        <v>#N/A</v>
      </c>
      <c r="M16" s="52" t="e">
        <f>VLOOKUP(A16,'Données ED'!$A$6:$AB$101,13,0)</f>
        <v>#N/A</v>
      </c>
      <c r="N16" s="62" t="e">
        <f>VLOOKUP(A16,'Données ED'!$A$6:$AB$101,14,0)</f>
        <v>#N/A</v>
      </c>
      <c r="O16" s="52" t="e">
        <f>VLOOKUP(A16,'Données ED'!$A$6:$AB$101,15,0)</f>
        <v>#N/A</v>
      </c>
      <c r="P16" s="59" t="e">
        <f>VLOOKUP(A16,'Données ED'!$A$6:$AB$101,16,0)</f>
        <v>#N/A</v>
      </c>
      <c r="Q16" s="52" t="e">
        <f>VLOOKUP(A16,'Données ED'!$A$6:$AB$101,17,0)</f>
        <v>#N/A</v>
      </c>
      <c r="R16" s="59" t="e">
        <f>VLOOKUP(A16,'Données ED'!$A$6:$AB$101,18,0)</f>
        <v>#N/A</v>
      </c>
      <c r="S16" s="81" t="e">
        <f>VLOOKUP(A16,'Données ED'!$A$6:$AB$101,19,0)</f>
        <v>#N/A</v>
      </c>
      <c r="T16" s="85">
        <f>VLOOKUP(A16,'Données ED'!$A$6:$AB$101,20,0)</f>
        <v>12.6</v>
      </c>
      <c r="U16" s="52">
        <f>VLOOKUP(A16,'Données ED'!$A$6:$AB$101,21,0)</f>
        <v>14.5</v>
      </c>
      <c r="V16" s="49">
        <f>VLOOKUP(A16,'Données ED'!$A$6:$AB$101,22,0)</f>
        <v>7.9</v>
      </c>
      <c r="W16" s="86">
        <f>VLOOKUP(A16,'Données ED'!$A$6:$AB$101,23,0)</f>
        <v>0.1</v>
      </c>
      <c r="X16" s="49">
        <f>VLOOKUP(A16,'Données ED'!$A$6:$AB$101,24,0)</f>
        <v>12.9</v>
      </c>
      <c r="Y16" s="56">
        <f>VLOOKUP(A16,'Données ED'!$A$6:$AB$101,25,0)</f>
        <v>390</v>
      </c>
      <c r="Z16" s="49">
        <f>VLOOKUP(A16,'Données ED'!$A$6:$AB$101,26,0)</f>
        <v>0.4</v>
      </c>
      <c r="AA16" s="56">
        <f>VLOOKUP(A16,'Données ED'!$A$6:$AB$101,27,0)</f>
        <v>2</v>
      </c>
      <c r="AB16" s="87">
        <f>VLOOKUP(A16,'Données ED'!$A$6:$AB$101,28,0)</f>
        <v>14</v>
      </c>
      <c r="AC16" s="65" t="e">
        <f t="shared" si="0"/>
        <v>#N/A</v>
      </c>
      <c r="AD16" s="49" t="e">
        <f t="shared" si="9"/>
        <v>#N/A</v>
      </c>
      <c r="AE16" s="52" t="e">
        <f t="shared" si="1"/>
        <v>#N/A</v>
      </c>
      <c r="AF16" s="62" t="e">
        <f t="shared" si="2"/>
        <v>#N/A</v>
      </c>
      <c r="AG16" s="52" t="e">
        <f t="shared" si="3"/>
        <v>#N/A</v>
      </c>
      <c r="AH16" s="59" t="e">
        <f t="shared" si="4"/>
        <v>#N/A</v>
      </c>
      <c r="AI16" s="52" t="e">
        <f t="shared" si="5"/>
        <v>#N/A</v>
      </c>
      <c r="AJ16" s="59" t="e">
        <f t="shared" si="6"/>
        <v>#N/A</v>
      </c>
      <c r="AK16" s="81" t="e">
        <f t="shared" si="7"/>
        <v>#N/A</v>
      </c>
      <c r="AL16" s="3"/>
      <c r="AM16" s="3" t="str">
        <f>J4&amp; " Année précédente "</f>
        <v xml:space="preserve">B 36°C/44h Année précédente </v>
      </c>
      <c r="AN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</row>
    <row r="17" spans="1:66" ht="15" thickBot="1">
      <c r="A17" s="67">
        <f t="shared" si="8"/>
        <v>40532</v>
      </c>
      <c r="B17" s="85" t="e">
        <f>VLOOKUP(A17,'Données ED'!$A$6:$AB$101,2,0)</f>
        <v>#N/A</v>
      </c>
      <c r="C17" s="52" t="e">
        <f>VLOOKUP(A17,'Données ED'!$A$6:$AB$101,3,0)</f>
        <v>#N/A</v>
      </c>
      <c r="D17" s="49" t="e">
        <f>VLOOKUP(A17,'Données ED'!$A$6:$AB$101,4,0)</f>
        <v>#N/A</v>
      </c>
      <c r="E17" s="86" t="e">
        <f>VLOOKUP(A17,'Données ED'!$A$6:$AB$101,5,0)</f>
        <v>#N/A</v>
      </c>
      <c r="F17" s="49" t="e">
        <f>VLOOKUP(A17,'Données ED'!$A$6:$AB$101,6,0)</f>
        <v>#N/A</v>
      </c>
      <c r="G17" s="56" t="e">
        <f>VLOOKUP(A17,'Données ED'!$A$6:$AB$101,7,0)</f>
        <v>#N/A</v>
      </c>
      <c r="H17" s="49" t="e">
        <f>VLOOKUP(A17,'Données ED'!$A$6:$AB$101,8,0)</f>
        <v>#N/A</v>
      </c>
      <c r="I17" s="56" t="e">
        <f>VLOOKUP(A17,'Données ED'!$A$6:$AB$101,9,0)</f>
        <v>#N/A</v>
      </c>
      <c r="J17" s="87" t="e">
        <f>VLOOKUP(A17,'Données ED'!$A$6:$AB$101,10,0)</f>
        <v>#N/A</v>
      </c>
      <c r="K17" s="88" t="e">
        <f>VLOOKUP(A17,'Données ED'!$A$6:$AB$101,11,0)</f>
        <v>#N/A</v>
      </c>
      <c r="L17" s="49" t="e">
        <f>VLOOKUP(A17,'Données ED'!$A$6:$AB$101,12,0)</f>
        <v>#N/A</v>
      </c>
      <c r="M17" s="52" t="e">
        <f>VLOOKUP(A17,'Données ED'!$A$6:$AB$101,13,0)</f>
        <v>#N/A</v>
      </c>
      <c r="N17" s="62" t="e">
        <f>VLOOKUP(A17,'Données ED'!$A$6:$AB$101,14,0)</f>
        <v>#N/A</v>
      </c>
      <c r="O17" s="52" t="e">
        <f>VLOOKUP(A17,'Données ED'!$A$6:$AB$101,15,0)</f>
        <v>#N/A</v>
      </c>
      <c r="P17" s="59" t="e">
        <f>VLOOKUP(A17,'Données ED'!$A$6:$AB$101,16,0)</f>
        <v>#N/A</v>
      </c>
      <c r="Q17" s="52" t="e">
        <f>VLOOKUP(A17,'Données ED'!$A$6:$AB$101,17,0)</f>
        <v>#N/A</v>
      </c>
      <c r="R17" s="59" t="e">
        <f>VLOOKUP(A17,'Données ED'!$A$6:$AB$101,18,0)</f>
        <v>#N/A</v>
      </c>
      <c r="S17" s="81" t="e">
        <f>VLOOKUP(A17,'Données ED'!$A$6:$AB$101,19,0)</f>
        <v>#N/A</v>
      </c>
      <c r="T17" s="85" t="e">
        <f>VLOOKUP(A17,'Données ED'!$A$6:$AB$101,20,0)</f>
        <v>#N/A</v>
      </c>
      <c r="U17" s="52" t="e">
        <f>VLOOKUP(A17,'Données ED'!$A$6:$AB$101,21,0)</f>
        <v>#N/A</v>
      </c>
      <c r="V17" s="49" t="e">
        <f>VLOOKUP(A17,'Données ED'!$A$6:$AB$101,22,0)</f>
        <v>#N/A</v>
      </c>
      <c r="W17" s="86" t="e">
        <f>VLOOKUP(A17,'Données ED'!$A$6:$AB$101,23,0)</f>
        <v>#N/A</v>
      </c>
      <c r="X17" s="49" t="e">
        <f>VLOOKUP(A17,'Données ED'!$A$6:$AB$101,24,0)</f>
        <v>#N/A</v>
      </c>
      <c r="Y17" s="56" t="e">
        <f>VLOOKUP(A17,'Données ED'!$A$6:$AB$101,25,0)</f>
        <v>#N/A</v>
      </c>
      <c r="Z17" s="49" t="e">
        <f>VLOOKUP(A17,'Données ED'!$A$6:$AB$101,26,0)</f>
        <v>#N/A</v>
      </c>
      <c r="AA17" s="56" t="e">
        <f>VLOOKUP(A17,'Données ED'!$A$6:$AB$101,27,0)</f>
        <v>#N/A</v>
      </c>
      <c r="AB17" s="87" t="e">
        <f>VLOOKUP(A17,'Données ED'!$A$6:$AB$101,28,0)</f>
        <v>#N/A</v>
      </c>
      <c r="AC17" s="65" t="e">
        <f t="shared" si="0"/>
        <v>#N/A</v>
      </c>
      <c r="AD17" s="49" t="e">
        <f t="shared" si="9"/>
        <v>#N/A</v>
      </c>
      <c r="AE17" s="52" t="e">
        <f t="shared" si="1"/>
        <v>#N/A</v>
      </c>
      <c r="AF17" s="62" t="e">
        <f t="shared" si="2"/>
        <v>#N/A</v>
      </c>
      <c r="AG17" s="52" t="e">
        <f t="shared" si="3"/>
        <v>#N/A</v>
      </c>
      <c r="AH17" s="59" t="e">
        <f t="shared" si="4"/>
        <v>#N/A</v>
      </c>
      <c r="AI17" s="52" t="e">
        <f t="shared" si="5"/>
        <v>#N/A</v>
      </c>
      <c r="AJ17" s="59" t="e">
        <f t="shared" si="6"/>
        <v>#N/A</v>
      </c>
      <c r="AK17" s="81" t="e">
        <f t="shared" si="7"/>
        <v>#N/A</v>
      </c>
      <c r="AL17" s="3"/>
      <c r="AM17" s="3" t="s">
        <v>59</v>
      </c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</row>
    <row r="18" spans="1:66" ht="15" thickBot="1">
      <c r="A18" s="66" t="str">
        <f>"Moyenne  " &amp;J1</f>
        <v>Moyenne  2010</v>
      </c>
      <c r="B18" s="98">
        <f t="array" ref="B18">AVERAGE(IF(ISNUMBER(B6:B17),B6:B17))</f>
        <v>11.025</v>
      </c>
      <c r="C18" s="43">
        <f t="array" ref="C18">AVERAGE(IF(ISNUMBER(C6:C17),C6:C17))</f>
        <v>13.475</v>
      </c>
      <c r="D18" s="98">
        <f t="array" ref="D18">AVERAGE(IF(ISNUMBER(D6:D17),D6:D17))</f>
        <v>7.9325000000000001</v>
      </c>
      <c r="E18" s="43">
        <f t="array" ref="E18">AVERAGE(IF(ISNUMBER(E6:E17),E6:E17))</f>
        <v>0.1125</v>
      </c>
      <c r="F18" s="98">
        <f t="array" ref="F18">AVERAGE(IF(ISNUMBER(F6:F17),F6:F17))</f>
        <v>19.414999999999999</v>
      </c>
      <c r="G18" s="43">
        <f t="array" ref="G18">AVERAGE(IF(ISNUMBER(G6:G17),G6:G17))</f>
        <v>412</v>
      </c>
      <c r="H18" s="98">
        <f t="array" ref="H18">AVERAGE(IF(ISNUMBER(H6:H17),H6:H17))</f>
        <v>0.41500000000000004</v>
      </c>
      <c r="I18" s="43">
        <f t="array" ref="I18">AVERAGE(IF(ISNUMBER(I6:I17),I6:I17))</f>
        <v>9.85</v>
      </c>
      <c r="J18" s="98">
        <f t="array" ref="J18">AVERAGE(IF(ISNUMBER(J6:J17),J6:J17))</f>
        <v>3.1</v>
      </c>
      <c r="K18" s="43">
        <f t="array" ref="K18">AVERAGE(IF(ISNUMBER(K6:K17),K6:K17))</f>
        <v>17.405555555555551</v>
      </c>
      <c r="L18" s="98">
        <f t="array" ref="L18">AVERAGE(IF(ISNUMBER(L6:L17),L6:L17))</f>
        <v>19.611111111111111</v>
      </c>
      <c r="M18" s="43">
        <f t="array" ref="M18">AVERAGE(IF(ISNUMBER(M6:M17),M6:M17))</f>
        <v>7.7833333333333332</v>
      </c>
      <c r="N18" s="98">
        <f t="array" ref="N18">AVERAGE(IF(ISNUMBER(N6:N17),N6:N17))</f>
        <v>0.28583333333333333</v>
      </c>
      <c r="O18" s="43">
        <f t="array" ref="O18">AVERAGE(IF(ISNUMBER(O6:O17),O6:O17))</f>
        <v>25.93888888888889</v>
      </c>
      <c r="P18" s="98">
        <f t="array" ref="P18">AVERAGE(IF(ISNUMBER(P6:P17),P6:P17))</f>
        <v>507.77777777777777</v>
      </c>
      <c r="Q18" s="43">
        <f t="array" ref="Q18">AVERAGE(IF(ISNUMBER(Q6:Q17),Q6:Q17))</f>
        <v>0.44444444444444442</v>
      </c>
      <c r="R18" s="98">
        <f t="array" ref="R18">AVERAGE(IF(ISNUMBER(R6:R17),R6:R17))</f>
        <v>0.16666666666666666</v>
      </c>
      <c r="S18" s="43">
        <f t="array" ref="S18">AVERAGE(IF(ISNUMBER(S6:S17),S6:S17))</f>
        <v>15.833333333333334</v>
      </c>
      <c r="T18" s="98">
        <f t="array" ref="T18">AVERAGE(IF(ISNUMBER(T6:T17),T6:T17))</f>
        <v>12.238888888888887</v>
      </c>
      <c r="U18" s="43">
        <f t="array" ref="U18">AVERAGE(IF(ISNUMBER(U6:U17),U6:U17))</f>
        <v>14.200000000000001</v>
      </c>
      <c r="V18" s="98">
        <f t="array" ref="V18">AVERAGE(IF(ISNUMBER(V6:V17),V6:V17))</f>
        <v>7.8755555555555565</v>
      </c>
      <c r="W18" s="43">
        <f t="array" ref="W18">AVERAGE(IF(ISNUMBER(W6:W17),W6:W17))</f>
        <v>0.1111111111111111</v>
      </c>
      <c r="X18" s="98">
        <f t="array" ref="X18">AVERAGE(IF(ISNUMBER(X6:X17),X6:X17))</f>
        <v>12.846666666666669</v>
      </c>
      <c r="Y18" s="43">
        <f t="array" ref="Y18">AVERAGE(IF(ISNUMBER(Y6:Y17),Y6:Y17))</f>
        <v>401.94444444444446</v>
      </c>
      <c r="Z18" s="98">
        <f t="array" ref="Z18">AVERAGE(IF(ISNUMBER(Z6:Z17),Z6:Z17))</f>
        <v>0.36111111111111105</v>
      </c>
      <c r="AA18" s="43">
        <f t="array" ref="AA18">AVERAGE(IF(ISNUMBER(AA6:AA17),AA6:AA17))</f>
        <v>2.8144444444444443</v>
      </c>
      <c r="AB18" s="98">
        <f t="array" ref="AB18">AVERAGE(IF(ISNUMBER(AB6:AB17),AB6:AB17))</f>
        <v>5.13</v>
      </c>
      <c r="AC18" s="43">
        <f t="array" ref="AC18">AVERAGE(IF(ISNUMBER(AC6:AC17),AC6:AC17))</f>
        <v>13.585416666666665</v>
      </c>
      <c r="AD18" s="98">
        <f t="array" ref="AD18">AVERAGE(IF(ISNUMBER(AD6:AD17),AD6:AD17))</f>
        <v>15.835416666666664</v>
      </c>
      <c r="AE18" s="43">
        <f t="array" ref="AE18">AVERAGE(IF(ISNUMBER(AE6:AE17),AE6:AE17))</f>
        <v>7.8481249999999996</v>
      </c>
      <c r="AF18" s="98">
        <f t="array" ref="AF18">AVERAGE(IF(ISNUMBER(AF6:AF17),AF6:AF17))</f>
        <v>0.17281250000000001</v>
      </c>
      <c r="AG18" s="43">
        <f t="array" ref="AG18">AVERAGE(IF(ISNUMBER(AG6:AG17),AG6:AG17))</f>
        <v>19.363333333333333</v>
      </c>
      <c r="AH18" s="98">
        <f t="array" ref="AH18">AVERAGE(IF(ISNUMBER(AH6:AH17),AH6:AH17))</f>
        <v>443.22916666666669</v>
      </c>
      <c r="AI18" s="43">
        <f t="array" ref="AI18">AVERAGE(IF(ISNUMBER(AI6:AI17),AI6:AI17))</f>
        <v>0.40833333333333327</v>
      </c>
      <c r="AJ18" s="98">
        <f t="array" ref="AJ18">AVERAGE(IF(ISNUMBER(AJ6:AJ17),AJ6:AJ17))</f>
        <v>1.3470833333333334</v>
      </c>
      <c r="AK18" s="43">
        <f t="array" ref="AK18">AVERAGE(IF(ISNUMBER(AK6:AK17),AK6:AK17))</f>
        <v>7.8612500000000001</v>
      </c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</row>
    <row r="19" spans="1:66" ht="15" thickBot="1">
      <c r="A19" s="90">
        <f>DATE(J1-1, 1, 20)</f>
        <v>39833</v>
      </c>
      <c r="B19" s="85">
        <f>VLOOKUP(A19,'Données ED'!$A$6:$AB$101,2,0)</f>
        <v>10.1</v>
      </c>
      <c r="C19" s="52">
        <f>VLOOKUP(A19,'Données ED'!$A$6:$AB$101,3,0)</f>
        <v>13.8</v>
      </c>
      <c r="D19" s="49">
        <f>VLOOKUP(A19,'Données ED'!$A$6:$AB$101,4,0)</f>
        <v>7.9</v>
      </c>
      <c r="E19" s="86">
        <f>VLOOKUP(A19,'Données ED'!$A$6:$AB$101,5,0)</f>
        <v>0.1</v>
      </c>
      <c r="F19" s="49">
        <f>VLOOKUP(A19,'Données ED'!$A$6:$AB$101,6,0)</f>
        <v>17.8</v>
      </c>
      <c r="G19" s="56">
        <f>VLOOKUP(A19,'Données ED'!$A$6:$AB$101,7,0)</f>
        <v>405</v>
      </c>
      <c r="H19" s="49">
        <f>VLOOKUP(A19,'Données ED'!$A$6:$AB$101,8,0)</f>
        <v>0.30000000000000004</v>
      </c>
      <c r="I19" s="56">
        <f>VLOOKUP(A19,'Données ED'!$A$6:$AB$101,9,0)</f>
        <v>11</v>
      </c>
      <c r="J19" s="87">
        <f>VLOOKUP(A19,'Données ED'!$A$6:$AB$101,10,0)</f>
        <v>7</v>
      </c>
      <c r="K19" s="88">
        <f>VLOOKUP(A19,'Données ED'!$A$6:$AB$101,11,0)</f>
        <v>16.8</v>
      </c>
      <c r="L19" s="49">
        <f>VLOOKUP(A19,'Données ED'!$A$6:$AB$101,12,0)</f>
        <v>20.100000000000001</v>
      </c>
      <c r="M19" s="52">
        <f>VLOOKUP(A19,'Données ED'!$A$6:$AB$101,13,0)</f>
        <v>7.7</v>
      </c>
      <c r="N19" s="62">
        <f>VLOOKUP(A19,'Données ED'!$A$6:$AB$101,14,0)</f>
        <v>0.15</v>
      </c>
      <c r="O19" s="52">
        <f>VLOOKUP(A19,'Données ED'!$A$6:$AB$101,15,0)</f>
        <v>27</v>
      </c>
      <c r="P19" s="59">
        <f>VLOOKUP(A19,'Données ED'!$A$6:$AB$101,16,0)</f>
        <v>495</v>
      </c>
      <c r="Q19" s="52">
        <f>VLOOKUP(A19,'Données ED'!$A$6:$AB$101,17,0)</f>
        <v>0.4</v>
      </c>
      <c r="R19" s="59">
        <f>VLOOKUP(A19,'Données ED'!$A$6:$AB$101,18,0)</f>
        <v>0</v>
      </c>
      <c r="S19" s="81">
        <f>VLOOKUP(A19,'Données ED'!$A$6:$AB$101,19,0)</f>
        <v>0</v>
      </c>
      <c r="T19" s="85">
        <f>VLOOKUP(A19,'Données ED'!$A$6:$AB$101,20,0)</f>
        <v>9.4</v>
      </c>
      <c r="U19" s="52">
        <f>VLOOKUP(A19,'Données ED'!$A$6:$AB$101,21,0)</f>
        <v>12.2</v>
      </c>
      <c r="V19" s="49">
        <f>VLOOKUP(A19,'Données ED'!$A$6:$AB$101,22,0)</f>
        <v>7.4</v>
      </c>
      <c r="W19" s="86">
        <f>VLOOKUP(A19,'Données ED'!$A$6:$AB$101,23,0)</f>
        <v>0.1</v>
      </c>
      <c r="X19" s="49">
        <f>VLOOKUP(A19,'Données ED'!$A$6:$AB$101,24,0)</f>
        <v>11.5</v>
      </c>
      <c r="Y19" s="56">
        <f>VLOOKUP(A19,'Données ED'!$A$6:$AB$101,25,0)</f>
        <v>355</v>
      </c>
      <c r="Z19" s="49">
        <f>VLOOKUP(A19,'Données ED'!$A$6:$AB$101,26,0)</f>
        <v>0.30000000000000004</v>
      </c>
      <c r="AA19" s="56">
        <f>VLOOKUP(A19,'Données ED'!$A$6:$AB$101,27,0)</f>
        <v>0</v>
      </c>
      <c r="AB19" s="87">
        <f>VLOOKUP(A19,'Données ED'!$A$6:$AB$101,28,0)</f>
        <v>0</v>
      </c>
      <c r="AC19" s="65">
        <f t="shared" si="0"/>
        <v>12.1</v>
      </c>
      <c r="AD19" s="49">
        <f t="shared" si="9"/>
        <v>15.366666666666669</v>
      </c>
      <c r="AE19" s="52">
        <f t="shared" si="1"/>
        <v>7.666666666666667</v>
      </c>
      <c r="AF19" s="62">
        <f t="shared" si="2"/>
        <v>0.11666666666666665</v>
      </c>
      <c r="AG19" s="52">
        <f t="shared" si="3"/>
        <v>18.766666666666666</v>
      </c>
      <c r="AH19" s="59">
        <f t="shared" si="4"/>
        <v>418.33333333333331</v>
      </c>
      <c r="AI19" s="52">
        <f t="shared" si="5"/>
        <v>0.33333333333333331</v>
      </c>
      <c r="AJ19" s="59">
        <f t="shared" si="6"/>
        <v>3.6666666666666665</v>
      </c>
      <c r="AK19" s="81">
        <f t="shared" si="7"/>
        <v>2.3333333333333335</v>
      </c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</row>
    <row r="20" spans="1:66" ht="15" thickBot="1">
      <c r="A20" s="66">
        <f t="shared" ref="A20:A30" si="10">EDATE(A19, 1)</f>
        <v>39864</v>
      </c>
      <c r="B20" s="85">
        <f>VLOOKUP(A20,'Données ED'!$A$6:$AB$101,2,0)</f>
        <v>10.65</v>
      </c>
      <c r="C20" s="52">
        <f>VLOOKUP(A20,'Données ED'!$A$6:$AB$101,3,0)</f>
        <v>14.35</v>
      </c>
      <c r="D20" s="49">
        <f>VLOOKUP(A20,'Données ED'!$A$6:$AB$101,4,0)</f>
        <v>7.25</v>
      </c>
      <c r="E20" s="86">
        <f>VLOOKUP(A20,'Données ED'!$A$6:$AB$101,5,0)</f>
        <v>0.1</v>
      </c>
      <c r="F20" s="49">
        <f>VLOOKUP(A20,'Données ED'!$A$6:$AB$101,6,0)</f>
        <v>18.100000000000001</v>
      </c>
      <c r="G20" s="56">
        <f>VLOOKUP(A20,'Données ED'!$A$6:$AB$101,7,0)</f>
        <v>420</v>
      </c>
      <c r="H20" s="49">
        <f>VLOOKUP(A20,'Données ED'!$A$6:$AB$101,8,0)</f>
        <v>0.4</v>
      </c>
      <c r="I20" s="56">
        <f>VLOOKUP(A20,'Données ED'!$A$6:$AB$101,9,0)</f>
        <v>0.5</v>
      </c>
      <c r="J20" s="87">
        <f>VLOOKUP(A20,'Données ED'!$A$6:$AB$101,10,0)</f>
        <v>2.5</v>
      </c>
      <c r="K20" s="88">
        <f>VLOOKUP(A20,'Données ED'!$A$6:$AB$101,11,0)</f>
        <v>17.05</v>
      </c>
      <c r="L20" s="49">
        <f>VLOOKUP(A20,'Données ED'!$A$6:$AB$101,12,0)</f>
        <v>20.6</v>
      </c>
      <c r="M20" s="52">
        <f>VLOOKUP(A20,'Données ED'!$A$6:$AB$101,13,0)</f>
        <v>7.5250000000000004</v>
      </c>
      <c r="N20" s="62">
        <f>VLOOKUP(A20,'Données ED'!$A$6:$AB$101,14,0)</f>
        <v>0.17500000000000002</v>
      </c>
      <c r="O20" s="52">
        <f>VLOOKUP(A20,'Données ED'!$A$6:$AB$101,15,0)</f>
        <v>26.15</v>
      </c>
      <c r="P20" s="59">
        <f>VLOOKUP(A20,'Données ED'!$A$6:$AB$101,16,0)</f>
        <v>495</v>
      </c>
      <c r="Q20" s="52">
        <f>VLOOKUP(A20,'Données ED'!$A$6:$AB$101,17,0)</f>
        <v>0.55000000000000004</v>
      </c>
      <c r="R20" s="59">
        <f>VLOOKUP(A20,'Données ED'!$A$6:$AB$101,18,0)</f>
        <v>1</v>
      </c>
      <c r="S20" s="81">
        <f>VLOOKUP(A20,'Données ED'!$A$6:$AB$101,19,0)</f>
        <v>0</v>
      </c>
      <c r="T20" s="85">
        <f>VLOOKUP(A20,'Données ED'!$A$6:$AB$101,20,0)</f>
        <v>11.35</v>
      </c>
      <c r="U20" s="52">
        <f>VLOOKUP(A20,'Données ED'!$A$6:$AB$101,21,0)</f>
        <v>14.3</v>
      </c>
      <c r="V20" s="49">
        <f>VLOOKUP(A20,'Données ED'!$A$6:$AB$101,22,0)</f>
        <v>7.45</v>
      </c>
      <c r="W20" s="86">
        <f>VLOOKUP(A20,'Données ED'!$A$6:$AB$101,23,0)</f>
        <v>0.125</v>
      </c>
      <c r="X20" s="49">
        <f>VLOOKUP(A20,'Données ED'!$A$6:$AB$101,24,0)</f>
        <v>11.9</v>
      </c>
      <c r="Y20" s="56">
        <f>VLOOKUP(A20,'Données ED'!$A$6:$AB$101,25,0)</f>
        <v>390</v>
      </c>
      <c r="Z20" s="49">
        <f>VLOOKUP(A20,'Données ED'!$A$6:$AB$101,26,0)</f>
        <v>0.4</v>
      </c>
      <c r="AA20" s="56">
        <f>VLOOKUP(A20,'Données ED'!$A$6:$AB$101,27,0)</f>
        <v>0</v>
      </c>
      <c r="AB20" s="87">
        <f>VLOOKUP(A20,'Données ED'!$A$6:$AB$101,28,0)</f>
        <v>0</v>
      </c>
      <c r="AC20" s="65">
        <f t="shared" si="0"/>
        <v>13.016666666666667</v>
      </c>
      <c r="AD20" s="49">
        <f t="shared" si="9"/>
        <v>16.416666666666668</v>
      </c>
      <c r="AE20" s="52">
        <f t="shared" si="1"/>
        <v>7.4083333333333341</v>
      </c>
      <c r="AF20" s="62">
        <f t="shared" si="2"/>
        <v>0.13333333333333333</v>
      </c>
      <c r="AG20" s="52">
        <f t="shared" si="3"/>
        <v>18.716666666666665</v>
      </c>
      <c r="AH20" s="59">
        <f t="shared" si="4"/>
        <v>435</v>
      </c>
      <c r="AI20" s="52">
        <f t="shared" si="5"/>
        <v>0.45</v>
      </c>
      <c r="AJ20" s="59">
        <f t="shared" si="6"/>
        <v>0.5</v>
      </c>
      <c r="AK20" s="81">
        <f t="shared" si="7"/>
        <v>0.83333333333333337</v>
      </c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</row>
    <row r="21" spans="1:66" ht="15" thickBot="1">
      <c r="A21" s="66">
        <f t="shared" si="10"/>
        <v>39892</v>
      </c>
      <c r="B21" s="85">
        <f>VLOOKUP(A21,'Données ED'!$A$6:$AB$101,2,0)</f>
        <v>10.4</v>
      </c>
      <c r="C21" s="52">
        <f>VLOOKUP(A21,'Données ED'!$A$6:$AB$101,3,0)</f>
        <v>13.7</v>
      </c>
      <c r="D21" s="49">
        <f>VLOOKUP(A21,'Données ED'!$A$6:$AB$101,4,0)</f>
        <v>7.85</v>
      </c>
      <c r="E21" s="86">
        <f>VLOOKUP(A21,'Données ED'!$A$6:$AB$101,5,0)</f>
        <v>0.1</v>
      </c>
      <c r="F21" s="49">
        <f>VLOOKUP(A21,'Données ED'!$A$6:$AB$101,6,0)</f>
        <v>18.899999999999999</v>
      </c>
      <c r="G21" s="56">
        <f>VLOOKUP(A21,'Données ED'!$A$6:$AB$101,7,0)</f>
        <v>415</v>
      </c>
      <c r="H21" s="49">
        <f>VLOOKUP(A21,'Données ED'!$A$6:$AB$101,8,0)</f>
        <v>0.4</v>
      </c>
      <c r="I21" s="56">
        <f>VLOOKUP(A21,'Données ED'!$A$6:$AB$101,9,0)</f>
        <v>0</v>
      </c>
      <c r="J21" s="87">
        <f>VLOOKUP(A21,'Données ED'!$A$6:$AB$101,10,0)</f>
        <v>0</v>
      </c>
      <c r="K21" s="88">
        <f>VLOOKUP(A21,'Données ED'!$A$6:$AB$101,11,0)</f>
        <v>16.100000000000001</v>
      </c>
      <c r="L21" s="49">
        <f>VLOOKUP(A21,'Données ED'!$A$6:$AB$101,12,0)</f>
        <v>21.1</v>
      </c>
      <c r="M21" s="52">
        <f>VLOOKUP(A21,'Données ED'!$A$6:$AB$101,13,0)</f>
        <v>7.75</v>
      </c>
      <c r="N21" s="62">
        <f>VLOOKUP(A21,'Données ED'!$A$6:$AB$101,14,0)</f>
        <v>0.1</v>
      </c>
      <c r="O21" s="52">
        <f>VLOOKUP(A21,'Données ED'!$A$6:$AB$101,15,0)</f>
        <v>27.6</v>
      </c>
      <c r="P21" s="59">
        <f>VLOOKUP(A21,'Données ED'!$A$6:$AB$101,16,0)</f>
        <v>490</v>
      </c>
      <c r="Q21" s="52">
        <f>VLOOKUP(A21,'Données ED'!$A$6:$AB$101,17,0)</f>
        <v>0.5</v>
      </c>
      <c r="R21" s="59">
        <f>VLOOKUP(A21,'Données ED'!$A$6:$AB$101,18,0)</f>
        <v>2</v>
      </c>
      <c r="S21" s="81">
        <f>VLOOKUP(A21,'Données ED'!$A$6:$AB$101,19,0)</f>
        <v>0</v>
      </c>
      <c r="T21" s="85">
        <f>VLOOKUP(A21,'Données ED'!$A$6:$AB$101,20,0)</f>
        <v>12.7</v>
      </c>
      <c r="U21" s="52">
        <f>VLOOKUP(A21,'Données ED'!$A$6:$AB$101,21,0)</f>
        <v>15.4</v>
      </c>
      <c r="V21" s="49">
        <f>VLOOKUP(A21,'Données ED'!$A$6:$AB$101,22,0)</f>
        <v>7.9</v>
      </c>
      <c r="W21" s="86">
        <f>VLOOKUP(A21,'Données ED'!$A$6:$AB$101,23,0)</f>
        <v>0.15</v>
      </c>
      <c r="X21" s="49">
        <f>VLOOKUP(A21,'Données ED'!$A$6:$AB$101,24,0)</f>
        <v>12.5</v>
      </c>
      <c r="Y21" s="56">
        <f>VLOOKUP(A21,'Données ED'!$A$6:$AB$101,25,0)</f>
        <v>410</v>
      </c>
      <c r="Z21" s="49">
        <f>VLOOKUP(A21,'Données ED'!$A$6:$AB$101,26,0)</f>
        <v>0.5</v>
      </c>
      <c r="AA21" s="56">
        <f>VLOOKUP(A21,'Données ED'!$A$6:$AB$101,27,0)</f>
        <v>0</v>
      </c>
      <c r="AB21" s="87">
        <f>VLOOKUP(A21,'Données ED'!$A$6:$AB$101,28,0)</f>
        <v>0</v>
      </c>
      <c r="AC21" s="65">
        <f t="shared" si="0"/>
        <v>13.066666666666668</v>
      </c>
      <c r="AD21" s="49">
        <f t="shared" si="9"/>
        <v>16.733333333333331</v>
      </c>
      <c r="AE21" s="52">
        <f t="shared" si="1"/>
        <v>7.833333333333333</v>
      </c>
      <c r="AF21" s="62">
        <f t="shared" si="2"/>
        <v>0.11666666666666665</v>
      </c>
      <c r="AG21" s="52">
        <f t="shared" si="3"/>
        <v>19.666666666666668</v>
      </c>
      <c r="AH21" s="59">
        <f t="shared" si="4"/>
        <v>438.33333333333331</v>
      </c>
      <c r="AI21" s="52">
        <f t="shared" si="5"/>
        <v>0.46666666666666662</v>
      </c>
      <c r="AJ21" s="59">
        <f t="shared" si="6"/>
        <v>0.66666666666666663</v>
      </c>
      <c r="AK21" s="81">
        <f t="shared" si="7"/>
        <v>0</v>
      </c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</row>
    <row r="22" spans="1:66" ht="15" thickBot="1">
      <c r="A22" s="66">
        <f t="shared" si="10"/>
        <v>39923</v>
      </c>
      <c r="B22" s="85">
        <f>VLOOKUP(A22,'Données ED'!$A$6:$AB$101,2,0)</f>
        <v>10.6</v>
      </c>
      <c r="C22" s="52">
        <f>VLOOKUP(A22,'Données ED'!$A$6:$AB$101,3,0)</f>
        <v>14.05</v>
      </c>
      <c r="D22" s="49">
        <f>VLOOKUP(A22,'Données ED'!$A$6:$AB$101,4,0)</f>
        <v>7.7</v>
      </c>
      <c r="E22" s="86">
        <f>VLOOKUP(A22,'Données ED'!$A$6:$AB$101,5,0)</f>
        <v>0.125</v>
      </c>
      <c r="F22" s="49">
        <f>VLOOKUP(A22,'Données ED'!$A$6:$AB$101,6,0)</f>
        <v>19.5</v>
      </c>
      <c r="G22" s="56">
        <f>VLOOKUP(A22,'Données ED'!$A$6:$AB$101,7,0)</f>
        <v>422.5</v>
      </c>
      <c r="H22" s="49">
        <f>VLOOKUP(A22,'Données ED'!$A$6:$AB$101,8,0)</f>
        <v>0.30000000000000004</v>
      </c>
      <c r="I22" s="56">
        <f>VLOOKUP(A22,'Données ED'!$A$6:$AB$101,9,0)</f>
        <v>21</v>
      </c>
      <c r="J22" s="87">
        <f>VLOOKUP(A22,'Données ED'!$A$6:$AB$101,10,0)</f>
        <v>2.5</v>
      </c>
      <c r="K22" s="88">
        <f>VLOOKUP(A22,'Données ED'!$A$6:$AB$101,11,0)</f>
        <v>15.4</v>
      </c>
      <c r="L22" s="49">
        <f>VLOOKUP(A22,'Données ED'!$A$6:$AB$101,12,0)</f>
        <v>19.05</v>
      </c>
      <c r="M22" s="52">
        <f>VLOOKUP(A22,'Données ED'!$A$6:$AB$101,13,0)</f>
        <v>7.625</v>
      </c>
      <c r="N22" s="62">
        <f>VLOOKUP(A22,'Données ED'!$A$6:$AB$101,14,0)</f>
        <v>0.125</v>
      </c>
      <c r="O22" s="52">
        <f>VLOOKUP(A22,'Données ED'!$A$6:$AB$101,15,0)</f>
        <v>29.05</v>
      </c>
      <c r="P22" s="59">
        <f>VLOOKUP(A22,'Données ED'!$A$6:$AB$101,16,0)</f>
        <v>480</v>
      </c>
      <c r="Q22" s="52">
        <f>VLOOKUP(A22,'Données ED'!$A$6:$AB$101,17,0)</f>
        <v>0.4</v>
      </c>
      <c r="R22" s="59">
        <f>VLOOKUP(A22,'Données ED'!$A$6:$AB$101,18,0)</f>
        <v>0</v>
      </c>
      <c r="S22" s="81">
        <f>VLOOKUP(A22,'Données ED'!$A$6:$AB$101,19,0)</f>
        <v>1</v>
      </c>
      <c r="T22" s="85">
        <f>VLOOKUP(A22,'Données ED'!$A$6:$AB$101,20,0)</f>
        <v>10.4</v>
      </c>
      <c r="U22" s="52">
        <f>VLOOKUP(A22,'Données ED'!$A$6:$AB$101,21,0)</f>
        <v>13</v>
      </c>
      <c r="V22" s="49">
        <f>VLOOKUP(A22,'Données ED'!$A$6:$AB$101,22,0)</f>
        <v>7.5</v>
      </c>
      <c r="W22" s="86">
        <f>VLOOKUP(A22,'Données ED'!$A$6:$AB$101,23,0)</f>
        <v>0.15</v>
      </c>
      <c r="X22" s="49">
        <f>VLOOKUP(A22,'Données ED'!$A$6:$AB$101,24,0)</f>
        <v>13.1</v>
      </c>
      <c r="Y22" s="56">
        <f>VLOOKUP(A22,'Données ED'!$A$6:$AB$101,25,0)</f>
        <v>380</v>
      </c>
      <c r="Z22" s="49">
        <f>VLOOKUP(A22,'Données ED'!$A$6:$AB$101,26,0)</f>
        <v>0.30000000000000004</v>
      </c>
      <c r="AA22" s="56">
        <f>VLOOKUP(A22,'Données ED'!$A$6:$AB$101,27,0)</f>
        <v>0</v>
      </c>
      <c r="AB22" s="87">
        <f>VLOOKUP(A22,'Données ED'!$A$6:$AB$101,28,0)</f>
        <v>0</v>
      </c>
      <c r="AC22" s="65">
        <f t="shared" si="0"/>
        <v>12.133333333333333</v>
      </c>
      <c r="AD22" s="49">
        <f t="shared" si="9"/>
        <v>15.366666666666667</v>
      </c>
      <c r="AE22" s="52">
        <f t="shared" si="1"/>
        <v>7.6083333333333334</v>
      </c>
      <c r="AF22" s="62">
        <f t="shared" si="2"/>
        <v>0.13333333333333333</v>
      </c>
      <c r="AG22" s="52">
        <f t="shared" si="3"/>
        <v>20.55</v>
      </c>
      <c r="AH22" s="59">
        <f t="shared" si="4"/>
        <v>427.5</v>
      </c>
      <c r="AI22" s="52">
        <f t="shared" si="5"/>
        <v>0.33333333333333331</v>
      </c>
      <c r="AJ22" s="59">
        <f t="shared" si="6"/>
        <v>7</v>
      </c>
      <c r="AK22" s="81">
        <f t="shared" si="7"/>
        <v>1.1666666666666667</v>
      </c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</row>
    <row r="23" spans="1:66" ht="15" thickBot="1">
      <c r="A23" s="66">
        <f t="shared" si="10"/>
        <v>39953</v>
      </c>
      <c r="B23" s="85">
        <f>VLOOKUP(A23,'Données ED'!$A$6:$AB$101,2,0)</f>
        <v>13</v>
      </c>
      <c r="C23" s="52">
        <f>VLOOKUP(A23,'Données ED'!$A$6:$AB$101,3,0)</f>
        <v>15.8</v>
      </c>
      <c r="D23" s="49">
        <f>VLOOKUP(A23,'Données ED'!$A$6:$AB$101,4,0)</f>
        <v>7.7</v>
      </c>
      <c r="E23" s="86">
        <f>VLOOKUP(A23,'Données ED'!$A$6:$AB$101,5,0)</f>
        <v>0.2</v>
      </c>
      <c r="F23" s="49">
        <f>VLOOKUP(A23,'Données ED'!$A$6:$AB$101,6,0)</f>
        <v>21</v>
      </c>
      <c r="G23" s="56">
        <f>VLOOKUP(A23,'Données ED'!$A$6:$AB$101,7,0)</f>
        <v>450</v>
      </c>
      <c r="H23" s="49">
        <f>VLOOKUP(A23,'Données ED'!$A$6:$AB$101,8,0)</f>
        <v>0.4</v>
      </c>
      <c r="I23" s="56">
        <f>VLOOKUP(A23,'Données ED'!$A$6:$AB$101,9,0)</f>
        <v>2</v>
      </c>
      <c r="J23" s="87">
        <f>VLOOKUP(A23,'Données ED'!$A$6:$AB$101,10,0)</f>
        <v>2</v>
      </c>
      <c r="K23" s="88">
        <f>VLOOKUP(A23,'Données ED'!$A$6:$AB$101,11,0)</f>
        <v>17.899999999999999</v>
      </c>
      <c r="L23" s="49">
        <f>VLOOKUP(A23,'Données ED'!$A$6:$AB$101,12,0)</f>
        <v>21.5</v>
      </c>
      <c r="M23" s="52">
        <f>VLOOKUP(A23,'Données ED'!$A$6:$AB$101,13,0)</f>
        <v>7.8</v>
      </c>
      <c r="N23" s="62">
        <f>VLOOKUP(A23,'Données ED'!$A$6:$AB$101,14,0)</f>
        <v>0.2</v>
      </c>
      <c r="O23" s="52">
        <f>VLOOKUP(A23,'Données ED'!$A$6:$AB$101,15,0)</f>
        <v>27.6</v>
      </c>
      <c r="P23" s="59">
        <f>VLOOKUP(A23,'Données ED'!$A$6:$AB$101,16,0)</f>
        <v>515</v>
      </c>
      <c r="Q23" s="52">
        <f>VLOOKUP(A23,'Données ED'!$A$6:$AB$101,17,0)</f>
        <v>0.5</v>
      </c>
      <c r="R23" s="59">
        <f>VLOOKUP(A23,'Données ED'!$A$6:$AB$101,18,0)</f>
        <v>1</v>
      </c>
      <c r="S23" s="81">
        <f>VLOOKUP(A23,'Données ED'!$A$6:$AB$101,19,0)</f>
        <v>1</v>
      </c>
      <c r="T23" s="85">
        <f>VLOOKUP(A23,'Données ED'!$A$6:$AB$101,20,0)</f>
        <v>12.3</v>
      </c>
      <c r="U23" s="52">
        <f>VLOOKUP(A23,'Données ED'!$A$6:$AB$101,21,0)</f>
        <v>14.9</v>
      </c>
      <c r="V23" s="49">
        <f>VLOOKUP(A23,'Données ED'!$A$6:$AB$101,22,0)</f>
        <v>7.6</v>
      </c>
      <c r="W23" s="86">
        <f>VLOOKUP(A23,'Données ED'!$A$6:$AB$101,23,0)</f>
        <v>0.25</v>
      </c>
      <c r="X23" s="49">
        <f>VLOOKUP(A23,'Données ED'!$A$6:$AB$101,24,0)</f>
        <v>12.5</v>
      </c>
      <c r="Y23" s="56">
        <f>VLOOKUP(A23,'Données ED'!$A$6:$AB$101,25,0)</f>
        <v>400</v>
      </c>
      <c r="Z23" s="49">
        <f>VLOOKUP(A23,'Données ED'!$A$6:$AB$101,26,0)</f>
        <v>0.4</v>
      </c>
      <c r="AA23" s="56">
        <f>VLOOKUP(A23,'Données ED'!$A$6:$AB$101,27,0)</f>
        <v>0</v>
      </c>
      <c r="AB23" s="87">
        <f>VLOOKUP(A23,'Données ED'!$A$6:$AB$101,28,0)</f>
        <v>0</v>
      </c>
      <c r="AC23" s="65">
        <f t="shared" si="0"/>
        <v>14.4</v>
      </c>
      <c r="AD23" s="49">
        <f t="shared" si="9"/>
        <v>17.399999999999999</v>
      </c>
      <c r="AE23" s="52">
        <f t="shared" si="1"/>
        <v>7.7</v>
      </c>
      <c r="AF23" s="62">
        <f t="shared" si="2"/>
        <v>0.21666666666666667</v>
      </c>
      <c r="AG23" s="52">
        <f t="shared" si="3"/>
        <v>20.366666666666667</v>
      </c>
      <c r="AH23" s="59">
        <f t="shared" si="4"/>
        <v>455</v>
      </c>
      <c r="AI23" s="52">
        <f t="shared" si="5"/>
        <v>0.43333333333333335</v>
      </c>
      <c r="AJ23" s="59">
        <f t="shared" si="6"/>
        <v>1</v>
      </c>
      <c r="AK23" s="81">
        <f t="shared" si="7"/>
        <v>1</v>
      </c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</row>
    <row r="24" spans="1:66" ht="15" thickBot="1">
      <c r="A24" s="66">
        <f t="shared" si="10"/>
        <v>39984</v>
      </c>
      <c r="B24" s="85">
        <f>VLOOKUP(A24,'Données ED'!$A$6:$AB$101,2,0)</f>
        <v>10.6</v>
      </c>
      <c r="C24" s="52">
        <f>VLOOKUP(A24,'Données ED'!$A$6:$AB$101,3,0)</f>
        <v>14.2</v>
      </c>
      <c r="D24" s="49">
        <f>VLOOKUP(A24,'Données ED'!$A$6:$AB$101,4,0)</f>
        <v>7.8</v>
      </c>
      <c r="E24" s="86">
        <f>VLOOKUP(A24,'Données ED'!$A$6:$AB$101,5,0)</f>
        <v>7.9</v>
      </c>
      <c r="F24" s="49">
        <f>VLOOKUP(A24,'Données ED'!$A$6:$AB$101,6,0)</f>
        <v>15</v>
      </c>
      <c r="G24" s="56">
        <f>VLOOKUP(A24,'Données ED'!$A$6:$AB$101,7,0)</f>
        <v>420</v>
      </c>
      <c r="H24" s="49">
        <f>VLOOKUP(A24,'Données ED'!$A$6:$AB$101,8,0)</f>
        <v>0.30000000000000004</v>
      </c>
      <c r="I24" s="56">
        <f>VLOOKUP(A24,'Données ED'!$A$6:$AB$101,9,0)</f>
        <v>0</v>
      </c>
      <c r="J24" s="87">
        <f>VLOOKUP(A24,'Données ED'!$A$6:$AB$101,10,0)</f>
        <v>0</v>
      </c>
      <c r="K24" s="88">
        <f>VLOOKUP(A24,'Données ED'!$A$6:$AB$101,11,0)</f>
        <v>17</v>
      </c>
      <c r="L24" s="49">
        <f>VLOOKUP(A24,'Données ED'!$A$6:$AB$101,12,0)</f>
        <v>21.4</v>
      </c>
      <c r="M24" s="52">
        <f>VLOOKUP(A24,'Données ED'!$A$6:$AB$101,13,0)</f>
        <v>7.75</v>
      </c>
      <c r="N24" s="62">
        <f>VLOOKUP(A24,'Données ED'!$A$6:$AB$101,14,0)</f>
        <v>0.15</v>
      </c>
      <c r="O24" s="52">
        <f>VLOOKUP(A24,'Données ED'!$A$6:$AB$101,15,0)</f>
        <v>27.6</v>
      </c>
      <c r="P24" s="59">
        <f>VLOOKUP(A24,'Données ED'!$A$6:$AB$101,16,0)</f>
        <v>505</v>
      </c>
      <c r="Q24" s="52">
        <f>VLOOKUP(A24,'Données ED'!$A$6:$AB$101,17,0)</f>
        <v>0.4</v>
      </c>
      <c r="R24" s="59">
        <f>VLOOKUP(A24,'Données ED'!$A$6:$AB$101,18,0)</f>
        <v>1</v>
      </c>
      <c r="S24" s="81">
        <f>VLOOKUP(A24,'Données ED'!$A$6:$AB$101,19,0)</f>
        <v>0</v>
      </c>
      <c r="T24" s="85">
        <f>VLOOKUP(A24,'Données ED'!$A$6:$AB$101,20,0)</f>
        <v>13.4</v>
      </c>
      <c r="U24" s="52">
        <f>VLOOKUP(A24,'Données ED'!$A$6:$AB$101,21,0)</f>
        <v>15.6</v>
      </c>
      <c r="V24" s="49">
        <f>VLOOKUP(A24,'Données ED'!$A$6:$AB$101,22,0)</f>
        <v>8</v>
      </c>
      <c r="W24" s="86">
        <f>VLOOKUP(A24,'Données ED'!$A$6:$AB$101,23,0)</f>
        <v>0.2</v>
      </c>
      <c r="X24" s="49">
        <f>VLOOKUP(A24,'Données ED'!$A$6:$AB$101,24,0)</f>
        <v>12</v>
      </c>
      <c r="Y24" s="56">
        <f>VLOOKUP(A24,'Données ED'!$A$6:$AB$101,25,0)</f>
        <v>425</v>
      </c>
      <c r="Z24" s="49">
        <f>VLOOKUP(A24,'Données ED'!$A$6:$AB$101,26,0)</f>
        <v>0.5</v>
      </c>
      <c r="AA24" s="56">
        <f>VLOOKUP(A24,'Données ED'!$A$6:$AB$101,27,0)</f>
        <v>0</v>
      </c>
      <c r="AB24" s="87">
        <f>VLOOKUP(A24,'Données ED'!$A$6:$AB$101,28,0)</f>
        <v>0</v>
      </c>
      <c r="AC24" s="65">
        <f t="shared" si="0"/>
        <v>13.666666666666666</v>
      </c>
      <c r="AD24" s="49">
        <f t="shared" si="9"/>
        <v>17.066666666666666</v>
      </c>
      <c r="AE24" s="52">
        <f t="shared" si="1"/>
        <v>7.8500000000000005</v>
      </c>
      <c r="AF24" s="62">
        <f t="shared" si="2"/>
        <v>2.75</v>
      </c>
      <c r="AG24" s="52">
        <f t="shared" si="3"/>
        <v>18.2</v>
      </c>
      <c r="AH24" s="59">
        <f t="shared" si="4"/>
        <v>450</v>
      </c>
      <c r="AI24" s="52">
        <f t="shared" si="5"/>
        <v>0.40000000000000008</v>
      </c>
      <c r="AJ24" s="59">
        <f t="shared" si="6"/>
        <v>0.33333333333333331</v>
      </c>
      <c r="AK24" s="81">
        <f t="shared" si="7"/>
        <v>0</v>
      </c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</row>
    <row r="25" spans="1:66" ht="15" thickBot="1">
      <c r="A25" s="66">
        <f t="shared" si="10"/>
        <v>40014</v>
      </c>
      <c r="B25" s="85">
        <f>VLOOKUP(A25,'Données ED'!$A$6:$AB$101,2,0)</f>
        <v>10.8</v>
      </c>
      <c r="C25" s="52">
        <f>VLOOKUP(A25,'Données ED'!$A$6:$AB$101,3,0)</f>
        <v>13.3</v>
      </c>
      <c r="D25" s="49">
        <f>VLOOKUP(A25,'Données ED'!$A$6:$AB$101,4,0)</f>
        <v>7.6</v>
      </c>
      <c r="E25" s="86">
        <f>VLOOKUP(A25,'Données ED'!$A$6:$AB$101,5,0)</f>
        <v>0.2</v>
      </c>
      <c r="F25" s="49">
        <f>VLOOKUP(A25,'Données ED'!$A$6:$AB$101,6,0)</f>
        <v>17.8</v>
      </c>
      <c r="G25" s="56">
        <f>VLOOKUP(A25,'Données ED'!$A$6:$AB$101,7,0)</f>
        <v>415</v>
      </c>
      <c r="H25" s="49">
        <f>VLOOKUP(A25,'Données ED'!$A$6:$AB$101,8,0)</f>
        <v>0.5</v>
      </c>
      <c r="I25" s="56">
        <f>VLOOKUP(A25,'Données ED'!$A$6:$AB$101,9,0)</f>
        <v>0</v>
      </c>
      <c r="J25" s="87">
        <f>VLOOKUP(A25,'Données ED'!$A$6:$AB$101,10,0)</f>
        <v>0</v>
      </c>
      <c r="K25" s="88">
        <f>VLOOKUP(A25,'Données ED'!$A$6:$AB$101,11,0)</f>
        <v>17.899999999999999</v>
      </c>
      <c r="L25" s="49">
        <f>VLOOKUP(A25,'Données ED'!$A$6:$AB$101,12,0)</f>
        <v>20.100000000000001</v>
      </c>
      <c r="M25" s="52">
        <f>VLOOKUP(A25,'Données ED'!$A$6:$AB$101,13,0)</f>
        <v>7.7</v>
      </c>
      <c r="N25" s="62">
        <f>VLOOKUP(A25,'Données ED'!$A$6:$AB$101,14,0)</f>
        <v>0.2</v>
      </c>
      <c r="O25" s="52">
        <f>VLOOKUP(A25,'Données ED'!$A$6:$AB$101,15,0)</f>
        <v>27.6</v>
      </c>
      <c r="P25" s="59">
        <f>VLOOKUP(A25,'Données ED'!$A$6:$AB$101,16,0)</f>
        <v>520</v>
      </c>
      <c r="Q25" s="52">
        <f>VLOOKUP(A25,'Données ED'!$A$6:$AB$101,17,0)</f>
        <v>0.60000000000000009</v>
      </c>
      <c r="R25" s="59">
        <f>VLOOKUP(A25,'Données ED'!$A$6:$AB$101,18,0)</f>
        <v>0</v>
      </c>
      <c r="S25" s="81">
        <f>VLOOKUP(A25,'Données ED'!$A$6:$AB$101,19,0)</f>
        <v>0</v>
      </c>
      <c r="T25" s="85">
        <f>VLOOKUP(A25,'Données ED'!$A$6:$AB$101,20,0)</f>
        <v>11.7</v>
      </c>
      <c r="U25" s="52">
        <f>VLOOKUP(A25,'Données ED'!$A$6:$AB$101,21,0)</f>
        <v>13.6</v>
      </c>
      <c r="V25" s="49">
        <f>VLOOKUP(A25,'Données ED'!$A$6:$AB$101,22,0)</f>
        <v>7.5</v>
      </c>
      <c r="W25" s="86">
        <f>VLOOKUP(A25,'Données ED'!$A$6:$AB$101,23,0)</f>
        <v>0.15</v>
      </c>
      <c r="X25" s="49">
        <f>VLOOKUP(A25,'Données ED'!$A$6:$AB$101,24,0)</f>
        <v>13.2</v>
      </c>
      <c r="Y25" s="56">
        <f>VLOOKUP(A25,'Données ED'!$A$6:$AB$101,25,0)</f>
        <v>400</v>
      </c>
      <c r="Z25" s="49">
        <f>VLOOKUP(A25,'Données ED'!$A$6:$AB$101,26,0)</f>
        <v>0.4</v>
      </c>
      <c r="AA25" s="56">
        <f>VLOOKUP(A25,'Données ED'!$A$6:$AB$101,27,0)</f>
        <v>0</v>
      </c>
      <c r="AB25" s="87">
        <f>VLOOKUP(A25,'Données ED'!$A$6:$AB$101,28,0)</f>
        <v>0</v>
      </c>
      <c r="AC25" s="65">
        <f t="shared" si="0"/>
        <v>13.466666666666667</v>
      </c>
      <c r="AD25" s="49">
        <f t="shared" si="9"/>
        <v>15.66666666666667</v>
      </c>
      <c r="AE25" s="52">
        <f t="shared" si="1"/>
        <v>7.6000000000000005</v>
      </c>
      <c r="AF25" s="62">
        <f t="shared" si="2"/>
        <v>0.18333333333333335</v>
      </c>
      <c r="AG25" s="52">
        <f t="shared" si="3"/>
        <v>19.533333333333335</v>
      </c>
      <c r="AH25" s="59">
        <f t="shared" si="4"/>
        <v>445</v>
      </c>
      <c r="AI25" s="52">
        <f t="shared" si="5"/>
        <v>0.5</v>
      </c>
      <c r="AJ25" s="59">
        <f t="shared" si="6"/>
        <v>0</v>
      </c>
      <c r="AK25" s="81">
        <f t="shared" si="7"/>
        <v>0</v>
      </c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</row>
    <row r="26" spans="1:66" ht="15" thickBot="1">
      <c r="A26" s="66">
        <f t="shared" si="10"/>
        <v>40045</v>
      </c>
      <c r="B26" s="85">
        <f>VLOOKUP(A26,'Données ED'!$A$6:$AB$101,2,0)</f>
        <v>11.2</v>
      </c>
      <c r="C26" s="52">
        <f>VLOOKUP(A26,'Données ED'!$A$6:$AB$101,3,0)</f>
        <v>14.7</v>
      </c>
      <c r="D26" s="49">
        <f>VLOOKUP(A26,'Données ED'!$A$6:$AB$101,4,0)</f>
        <v>7.75</v>
      </c>
      <c r="E26" s="86">
        <f>VLOOKUP(A26,'Données ED'!$A$6:$AB$101,5,0)</f>
        <v>0.1</v>
      </c>
      <c r="F26" s="49">
        <f>VLOOKUP(A26,'Données ED'!$A$6:$AB$101,6,0)</f>
        <v>18.3</v>
      </c>
      <c r="G26" s="56">
        <f>VLOOKUP(A26,'Données ED'!$A$6:$AB$101,7,0)</f>
        <v>420</v>
      </c>
      <c r="H26" s="49">
        <f>VLOOKUP(A26,'Données ED'!$A$6:$AB$101,8,0)</f>
        <v>0.4</v>
      </c>
      <c r="I26" s="56">
        <f>VLOOKUP(A26,'Données ED'!$A$6:$AB$101,9,0)</f>
        <v>6</v>
      </c>
      <c r="J26" s="87">
        <f>VLOOKUP(A26,'Données ED'!$A$6:$AB$101,10,0)</f>
        <v>10</v>
      </c>
      <c r="K26" s="88">
        <f>VLOOKUP(A26,'Données ED'!$A$6:$AB$101,11,0)</f>
        <v>16.7</v>
      </c>
      <c r="L26" s="49">
        <f>VLOOKUP(A26,'Données ED'!$A$6:$AB$101,12,0)</f>
        <v>21.7</v>
      </c>
      <c r="M26" s="52">
        <f>VLOOKUP(A26,'Données ED'!$A$6:$AB$101,13,0)</f>
        <v>7.7</v>
      </c>
      <c r="N26" s="62">
        <f>VLOOKUP(A26,'Données ED'!$A$6:$AB$101,14,0)</f>
        <v>0.2</v>
      </c>
      <c r="O26" s="52">
        <f>VLOOKUP(A26,'Données ED'!$A$6:$AB$101,15,0)</f>
        <v>28.7</v>
      </c>
      <c r="P26" s="59">
        <f>VLOOKUP(A26,'Données ED'!$A$6:$AB$101,16,0)</f>
        <v>500</v>
      </c>
      <c r="Q26" s="52">
        <f>VLOOKUP(A26,'Données ED'!$A$6:$AB$101,17,0)</f>
        <v>0.30000000000000004</v>
      </c>
      <c r="R26" s="59">
        <f>VLOOKUP(A26,'Données ED'!$A$6:$AB$101,18,0)</f>
        <v>0</v>
      </c>
      <c r="S26" s="81">
        <f>VLOOKUP(A26,'Données ED'!$A$6:$AB$101,19,0)</f>
        <v>0</v>
      </c>
      <c r="T26" s="85">
        <f>VLOOKUP(A26,'Données ED'!$A$6:$AB$101,20,0)</f>
        <v>12.3</v>
      </c>
      <c r="U26" s="52">
        <f>VLOOKUP(A26,'Données ED'!$A$6:$AB$101,21,0)</f>
        <v>15.6</v>
      </c>
      <c r="V26" s="49">
        <f>VLOOKUP(A26,'Données ED'!$A$6:$AB$101,22,0)</f>
        <v>7.7</v>
      </c>
      <c r="W26" s="86">
        <f>VLOOKUP(A26,'Données ED'!$A$6:$AB$101,23,0)</f>
        <v>0.1</v>
      </c>
      <c r="X26" s="49">
        <f>VLOOKUP(A26,'Données ED'!$A$6:$AB$101,24,0)</f>
        <v>13.7</v>
      </c>
      <c r="Y26" s="56">
        <f>VLOOKUP(A26,'Données ED'!$A$6:$AB$101,25,0)</f>
        <v>410</v>
      </c>
      <c r="Z26" s="49">
        <f>VLOOKUP(A26,'Données ED'!$A$6:$AB$101,26,0)</f>
        <v>0.30000000000000004</v>
      </c>
      <c r="AA26" s="56">
        <f>VLOOKUP(A26,'Données ED'!$A$6:$AB$101,27,0)</f>
        <v>1</v>
      </c>
      <c r="AB26" s="87">
        <f>VLOOKUP(A26,'Données ED'!$A$6:$AB$101,28,0)</f>
        <v>0</v>
      </c>
      <c r="AC26" s="65">
        <f t="shared" si="0"/>
        <v>13.4</v>
      </c>
      <c r="AD26" s="49">
        <f t="shared" si="9"/>
        <v>17.333333333333332</v>
      </c>
      <c r="AE26" s="52">
        <f t="shared" si="1"/>
        <v>7.7166666666666659</v>
      </c>
      <c r="AF26" s="62">
        <f t="shared" si="2"/>
        <v>0.13333333333333333</v>
      </c>
      <c r="AG26" s="52">
        <f t="shared" si="3"/>
        <v>20.233333333333334</v>
      </c>
      <c r="AH26" s="59">
        <f t="shared" si="4"/>
        <v>443.33333333333331</v>
      </c>
      <c r="AI26" s="52">
        <f t="shared" si="5"/>
        <v>0.33333333333333331</v>
      </c>
      <c r="AJ26" s="59">
        <f t="shared" si="6"/>
        <v>2.3333333333333335</v>
      </c>
      <c r="AK26" s="81">
        <f t="shared" si="7"/>
        <v>3.3333333333333335</v>
      </c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</row>
    <row r="27" spans="1:66" ht="15" thickBot="1">
      <c r="A27" s="66">
        <f t="shared" si="10"/>
        <v>40076</v>
      </c>
      <c r="B27" s="85">
        <f>VLOOKUP(A27,'Données ED'!$A$6:$AB$101,2,0)</f>
        <v>10.95</v>
      </c>
      <c r="C27" s="52">
        <f>VLOOKUP(A27,'Données ED'!$A$6:$AB$101,3,0)</f>
        <v>14.25</v>
      </c>
      <c r="D27" s="49">
        <f>VLOOKUP(A27,'Données ED'!$A$6:$AB$101,4,0)</f>
        <v>7.8</v>
      </c>
      <c r="E27" s="86">
        <f>VLOOKUP(A27,'Données ED'!$A$6:$AB$101,5,0)</f>
        <v>0.125</v>
      </c>
      <c r="F27" s="49">
        <f>VLOOKUP(A27,'Données ED'!$A$6:$AB$101,6,0)</f>
        <v>18.05</v>
      </c>
      <c r="G27" s="56">
        <f>VLOOKUP(A27,'Données ED'!$A$6:$AB$101,7,0)</f>
        <v>417.5</v>
      </c>
      <c r="H27" s="49">
        <f>VLOOKUP(A27,'Données ED'!$A$6:$AB$101,8,0)</f>
        <v>0.35</v>
      </c>
      <c r="I27" s="56">
        <f>VLOOKUP(A27,'Données ED'!$A$6:$AB$101,9,0)</f>
        <v>2.5</v>
      </c>
      <c r="J27" s="87">
        <f>VLOOKUP(A27,'Données ED'!$A$6:$AB$101,10,0)</f>
        <v>3</v>
      </c>
      <c r="K27" s="88">
        <f>VLOOKUP(A27,'Données ED'!$A$6:$AB$101,11,0)</f>
        <v>17.149999999999999</v>
      </c>
      <c r="L27" s="49">
        <f>VLOOKUP(A27,'Données ED'!$A$6:$AB$101,12,0)</f>
        <v>21.1</v>
      </c>
      <c r="M27" s="52">
        <f>VLOOKUP(A27,'Données ED'!$A$6:$AB$101,13,0)</f>
        <v>7.6</v>
      </c>
      <c r="N27" s="62">
        <f>VLOOKUP(A27,'Données ED'!$A$6:$AB$101,14,0)</f>
        <v>0.17500000000000002</v>
      </c>
      <c r="O27" s="52">
        <f>VLOOKUP(A27,'Données ED'!$A$6:$AB$101,15,0)</f>
        <v>28.3</v>
      </c>
      <c r="P27" s="59">
        <f>VLOOKUP(A27,'Données ED'!$A$6:$AB$101,16,0)</f>
        <v>505</v>
      </c>
      <c r="Q27" s="52">
        <f>VLOOKUP(A27,'Données ED'!$A$6:$AB$101,17,0)</f>
        <v>0.4</v>
      </c>
      <c r="R27" s="59">
        <f>VLOOKUP(A27,'Données ED'!$A$6:$AB$101,18,0)</f>
        <v>0</v>
      </c>
      <c r="S27" s="81">
        <f>VLOOKUP(A27,'Données ED'!$A$6:$AB$101,19,0)</f>
        <v>0</v>
      </c>
      <c r="T27" s="85">
        <f>VLOOKUP(A27,'Données ED'!$A$6:$AB$101,20,0)</f>
        <v>12.1</v>
      </c>
      <c r="U27" s="52">
        <f>VLOOKUP(A27,'Données ED'!$A$6:$AB$101,21,0)</f>
        <v>14.9</v>
      </c>
      <c r="V27" s="49">
        <f>VLOOKUP(A27,'Données ED'!$A$6:$AB$101,22,0)</f>
        <v>7.8</v>
      </c>
      <c r="W27" s="86">
        <f>VLOOKUP(A27,'Données ED'!$A$6:$AB$101,23,0)</f>
        <v>0.1</v>
      </c>
      <c r="X27" s="49">
        <f>VLOOKUP(A27,'Données ED'!$A$6:$AB$101,24,0)</f>
        <v>13.6</v>
      </c>
      <c r="Y27" s="56">
        <f>VLOOKUP(A27,'Données ED'!$A$6:$AB$101,25,0)</f>
        <v>405</v>
      </c>
      <c r="Z27" s="49">
        <f>VLOOKUP(A27,'Données ED'!$A$6:$AB$101,26,0)</f>
        <v>0.30000000000000004</v>
      </c>
      <c r="AA27" s="56">
        <f>VLOOKUP(A27,'Données ED'!$A$6:$AB$101,27,0)</f>
        <v>0</v>
      </c>
      <c r="AB27" s="87">
        <f>VLOOKUP(A27,'Données ED'!$A$6:$AB$101,28,0)</f>
        <v>2</v>
      </c>
      <c r="AC27" s="65">
        <f t="shared" si="0"/>
        <v>13.399999999999999</v>
      </c>
      <c r="AD27" s="49">
        <f t="shared" si="9"/>
        <v>16.75</v>
      </c>
      <c r="AE27" s="52">
        <f t="shared" si="1"/>
        <v>7.7333333333333334</v>
      </c>
      <c r="AF27" s="62">
        <f t="shared" si="2"/>
        <v>0.13333333333333333</v>
      </c>
      <c r="AG27" s="52">
        <f t="shared" si="3"/>
        <v>19.983333333333334</v>
      </c>
      <c r="AH27" s="59">
        <f t="shared" si="4"/>
        <v>442.5</v>
      </c>
      <c r="AI27" s="52">
        <f t="shared" si="5"/>
        <v>0.35000000000000003</v>
      </c>
      <c r="AJ27" s="59">
        <f t="shared" si="6"/>
        <v>0.83333333333333337</v>
      </c>
      <c r="AK27" s="81">
        <f t="shared" si="7"/>
        <v>1.6666666666666667</v>
      </c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</row>
    <row r="28" spans="1:66" ht="15" thickBot="1">
      <c r="A28" s="66">
        <f t="shared" si="10"/>
        <v>40106</v>
      </c>
      <c r="B28" s="85">
        <f>VLOOKUP(A28,'Données ED'!$A$6:$AB$101,2,0)</f>
        <v>11.2</v>
      </c>
      <c r="C28" s="52">
        <f>VLOOKUP(A28,'Données ED'!$A$6:$AB$101,3,0)</f>
        <v>14</v>
      </c>
      <c r="D28" s="49">
        <f>VLOOKUP(A28,'Données ED'!$A$6:$AB$101,4,0)</f>
        <v>7.7</v>
      </c>
      <c r="E28" s="86">
        <f>VLOOKUP(A28,'Données ED'!$A$6:$AB$101,5,0)</f>
        <v>0.1</v>
      </c>
      <c r="F28" s="49">
        <f>VLOOKUP(A28,'Données ED'!$A$6:$AB$101,6,0)</f>
        <v>17.600000000000001</v>
      </c>
      <c r="G28" s="56">
        <f>VLOOKUP(A28,'Données ED'!$A$6:$AB$101,7,0)</f>
        <v>415</v>
      </c>
      <c r="H28" s="49">
        <f>VLOOKUP(A28,'Données ED'!$A$6:$AB$101,8,0)</f>
        <v>0.30000000000000004</v>
      </c>
      <c r="I28" s="56">
        <f>VLOOKUP(A28,'Données ED'!$A$6:$AB$101,9,0)</f>
        <v>0</v>
      </c>
      <c r="J28" s="87">
        <f>VLOOKUP(A28,'Données ED'!$A$6:$AB$101,10,0)</f>
        <v>0</v>
      </c>
      <c r="K28" s="88" t="e">
        <f>VLOOKUP(A28,'Données ED'!$A$6:$AB$101,11,0)</f>
        <v>#N/A</v>
      </c>
      <c r="L28" s="49" t="e">
        <f>VLOOKUP(A28,'Données ED'!$A$6:$AB$101,12,0)</f>
        <v>#N/A</v>
      </c>
      <c r="M28" s="52" t="e">
        <f>VLOOKUP(A28,'Données ED'!$A$6:$AB$101,13,0)</f>
        <v>#N/A</v>
      </c>
      <c r="N28" s="62" t="e">
        <f>VLOOKUP(A28,'Données ED'!$A$6:$AB$101,14,0)</f>
        <v>#N/A</v>
      </c>
      <c r="O28" s="52" t="e">
        <f>VLOOKUP(A28,'Données ED'!$A$6:$AB$101,15,0)</f>
        <v>#N/A</v>
      </c>
      <c r="P28" s="59" t="e">
        <f>VLOOKUP(A28,'Données ED'!$A$6:$AB$101,16,0)</f>
        <v>#N/A</v>
      </c>
      <c r="Q28" s="52" t="e">
        <f>VLOOKUP(A28,'Données ED'!$A$6:$AB$101,17,0)</f>
        <v>#N/A</v>
      </c>
      <c r="R28" s="59" t="e">
        <f>VLOOKUP(A28,'Données ED'!$A$6:$AB$101,18,0)</f>
        <v>#N/A</v>
      </c>
      <c r="S28" s="81" t="e">
        <f>VLOOKUP(A28,'Données ED'!$A$6:$AB$101,19,0)</f>
        <v>#N/A</v>
      </c>
      <c r="T28" s="85">
        <f>VLOOKUP(A28,'Données ED'!$A$6:$AB$101,20,0)</f>
        <v>11.3</v>
      </c>
      <c r="U28" s="52">
        <f>VLOOKUP(A28,'Données ED'!$A$6:$AB$101,21,0)</f>
        <v>13.9</v>
      </c>
      <c r="V28" s="49">
        <f>VLOOKUP(A28,'Données ED'!$A$6:$AB$101,22,0)</f>
        <v>7.6</v>
      </c>
      <c r="W28" s="86">
        <f>VLOOKUP(A28,'Données ED'!$A$6:$AB$101,23,0)</f>
        <v>0.1</v>
      </c>
      <c r="X28" s="49">
        <f>VLOOKUP(A28,'Données ED'!$A$6:$AB$101,24,0)</f>
        <v>13.5</v>
      </c>
      <c r="Y28" s="56">
        <f>VLOOKUP(A28,'Données ED'!$A$6:$AB$101,25,0)</f>
        <v>390</v>
      </c>
      <c r="Z28" s="49">
        <f>VLOOKUP(A28,'Données ED'!$A$6:$AB$101,26,0)</f>
        <v>0.4</v>
      </c>
      <c r="AA28" s="56">
        <f>VLOOKUP(A28,'Données ED'!$A$6:$AB$101,27,0)</f>
        <v>1</v>
      </c>
      <c r="AB28" s="87">
        <f>VLOOKUP(A28,'Données ED'!$A$6:$AB$101,28,0)</f>
        <v>3</v>
      </c>
      <c r="AC28" s="65" t="e">
        <f t="shared" si="0"/>
        <v>#N/A</v>
      </c>
      <c r="AD28" s="49" t="e">
        <f t="shared" si="9"/>
        <v>#N/A</v>
      </c>
      <c r="AE28" s="52" t="e">
        <f t="shared" si="1"/>
        <v>#N/A</v>
      </c>
      <c r="AF28" s="62" t="e">
        <f t="shared" si="2"/>
        <v>#N/A</v>
      </c>
      <c r="AG28" s="52" t="e">
        <f t="shared" si="3"/>
        <v>#N/A</v>
      </c>
      <c r="AH28" s="59" t="e">
        <f t="shared" si="4"/>
        <v>#N/A</v>
      </c>
      <c r="AI28" s="52" t="e">
        <f t="shared" si="5"/>
        <v>#N/A</v>
      </c>
      <c r="AJ28" s="59" t="e">
        <f t="shared" si="6"/>
        <v>#N/A</v>
      </c>
      <c r="AK28" s="81" t="e">
        <f t="shared" si="7"/>
        <v>#N/A</v>
      </c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</row>
    <row r="29" spans="1:66" ht="15" thickBot="1">
      <c r="A29" s="66">
        <f t="shared" si="10"/>
        <v>40137</v>
      </c>
      <c r="B29" s="85">
        <f>VLOOKUP(A29,'Données ED'!$A$6:$AB$101,2,0)</f>
        <v>10.050000000000001</v>
      </c>
      <c r="C29" s="52">
        <f>VLOOKUP(A29,'Données ED'!$A$6:$AB$101,3,0)</f>
        <v>14</v>
      </c>
      <c r="D29" s="49">
        <f>VLOOKUP(A29,'Données ED'!$A$6:$AB$101,4,0)</f>
        <v>7.8</v>
      </c>
      <c r="E29" s="86">
        <f>VLOOKUP(A29,'Données ED'!$A$6:$AB$101,5,0)</f>
        <v>0.2</v>
      </c>
      <c r="F29" s="49">
        <f>VLOOKUP(A29,'Données ED'!$A$6:$AB$101,6,0)</f>
        <v>18.2</v>
      </c>
      <c r="G29" s="56">
        <f>VLOOKUP(A29,'Données ED'!$A$6:$AB$101,7,0)</f>
        <v>397.5</v>
      </c>
      <c r="H29" s="49">
        <f>VLOOKUP(A29,'Données ED'!$A$6:$AB$101,8,0)</f>
        <v>0.35</v>
      </c>
      <c r="I29" s="56">
        <f>VLOOKUP(A29,'Données ED'!$A$6:$AB$101,9,0)</f>
        <v>10</v>
      </c>
      <c r="J29" s="87">
        <f>VLOOKUP(A29,'Données ED'!$A$6:$AB$101,10,0)</f>
        <v>0</v>
      </c>
      <c r="K29" s="88">
        <f>VLOOKUP(A29,'Données ED'!$A$6:$AB$101,11,0)</f>
        <v>17.5</v>
      </c>
      <c r="L29" s="49">
        <f>VLOOKUP(A29,'Données ED'!$A$6:$AB$101,12,0)</f>
        <v>21.15</v>
      </c>
      <c r="M29" s="52">
        <f>VLOOKUP(A29,'Données ED'!$A$6:$AB$101,13,0)</f>
        <v>7.6</v>
      </c>
      <c r="N29" s="62">
        <f>VLOOKUP(A29,'Données ED'!$A$6:$AB$101,14,0)</f>
        <v>0.2</v>
      </c>
      <c r="O29" s="52">
        <f>VLOOKUP(A29,'Données ED'!$A$6:$AB$101,15,0)</f>
        <v>28.85</v>
      </c>
      <c r="P29" s="59">
        <f>VLOOKUP(A29,'Données ED'!$A$6:$AB$101,16,0)</f>
        <v>515</v>
      </c>
      <c r="Q29" s="52">
        <f>VLOOKUP(A29,'Données ED'!$A$6:$AB$101,17,0)</f>
        <v>0.55000000000000004</v>
      </c>
      <c r="R29" s="59">
        <f>VLOOKUP(A29,'Données ED'!$A$6:$AB$101,18,0)</f>
        <v>0</v>
      </c>
      <c r="S29" s="81">
        <f>VLOOKUP(A29,'Données ED'!$A$6:$AB$101,19,0)</f>
        <v>0</v>
      </c>
      <c r="T29" s="85">
        <f>VLOOKUP(A29,'Données ED'!$A$6:$AB$101,20,0)</f>
        <v>10.65</v>
      </c>
      <c r="U29" s="52">
        <f>VLOOKUP(A29,'Données ED'!$A$6:$AB$101,21,0)</f>
        <v>14.55</v>
      </c>
      <c r="V29" s="49">
        <f>VLOOKUP(A29,'Données ED'!$A$6:$AB$101,22,0)</f>
        <v>7.35</v>
      </c>
      <c r="W29" s="86">
        <f>VLOOKUP(A29,'Données ED'!$A$6:$AB$101,23,0)</f>
        <v>0.125</v>
      </c>
      <c r="X29" s="49">
        <f>VLOOKUP(A29,'Données ED'!$A$6:$AB$101,24,0)</f>
        <v>13.4</v>
      </c>
      <c r="Y29" s="56">
        <f>VLOOKUP(A29,'Données ED'!$A$6:$AB$101,25,0)</f>
        <v>382.5</v>
      </c>
      <c r="Z29" s="49">
        <f>VLOOKUP(A29,'Données ED'!$A$6:$AB$101,26,0)</f>
        <v>0.35</v>
      </c>
      <c r="AA29" s="56">
        <f>VLOOKUP(A29,'Données ED'!$A$6:$AB$101,27,0)</f>
        <v>13.5</v>
      </c>
      <c r="AB29" s="87">
        <f>VLOOKUP(A29,'Données ED'!$A$6:$AB$101,28,0)</f>
        <v>15.5</v>
      </c>
      <c r="AC29" s="65">
        <f t="shared" si="0"/>
        <v>12.733333333333334</v>
      </c>
      <c r="AD29" s="49">
        <f t="shared" si="9"/>
        <v>16.566666666666666</v>
      </c>
      <c r="AE29" s="52">
        <f t="shared" si="1"/>
        <v>7.583333333333333</v>
      </c>
      <c r="AF29" s="62">
        <f t="shared" si="2"/>
        <v>0.17500000000000002</v>
      </c>
      <c r="AG29" s="52">
        <f t="shared" si="3"/>
        <v>20.149999999999999</v>
      </c>
      <c r="AH29" s="59">
        <f t="shared" si="4"/>
        <v>431.66666666666669</v>
      </c>
      <c r="AI29" s="52">
        <f t="shared" si="5"/>
        <v>0.41666666666666669</v>
      </c>
      <c r="AJ29" s="59">
        <f t="shared" si="6"/>
        <v>7.833333333333333</v>
      </c>
      <c r="AK29" s="81">
        <f t="shared" si="7"/>
        <v>5.166666666666667</v>
      </c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</row>
    <row r="30" spans="1:66" ht="15" thickBot="1">
      <c r="A30" s="67">
        <f t="shared" si="10"/>
        <v>40167</v>
      </c>
      <c r="B30" s="85">
        <f>VLOOKUP(A30,'Données ED'!$A$6:$AB$101,2,0)</f>
        <v>10.1</v>
      </c>
      <c r="C30" s="52">
        <f>VLOOKUP(A30,'Données ED'!$A$6:$AB$101,3,0)</f>
        <v>13.1</v>
      </c>
      <c r="D30" s="49">
        <f>VLOOKUP(A30,'Données ED'!$A$6:$AB$101,4,0)</f>
        <v>8</v>
      </c>
      <c r="E30" s="86">
        <f>VLOOKUP(A30,'Données ED'!$A$6:$AB$101,5,0)</f>
        <v>0.25</v>
      </c>
      <c r="F30" s="49">
        <f>VLOOKUP(A30,'Données ED'!$A$6:$AB$101,6,0)</f>
        <v>18.100000000000001</v>
      </c>
      <c r="G30" s="56">
        <f>VLOOKUP(A30,'Données ED'!$A$6:$AB$101,7,0)</f>
        <v>395</v>
      </c>
      <c r="H30" s="49">
        <f>VLOOKUP(A30,'Données ED'!$A$6:$AB$101,8,0)</f>
        <v>0.4</v>
      </c>
      <c r="I30" s="56">
        <f>VLOOKUP(A30,'Données ED'!$A$6:$AB$101,9,0)</f>
        <v>0</v>
      </c>
      <c r="J30" s="87">
        <f>IF(VLOOKUP(A30,'Données ED'!$A$6:$AB$101,10,0)="x","",VLOOKUP(A30,'Données ED'!$A$6:$AB$101,10,0))</f>
        <v>0</v>
      </c>
      <c r="K30" s="88" t="e">
        <f>VLOOKUP(A30,'Données ED'!$A$6:$AB$101,11,0)</f>
        <v>#N/A</v>
      </c>
      <c r="L30" s="49" t="e">
        <f>VLOOKUP(A30,'Données ED'!$A$6:$AB$101,12,0)</f>
        <v>#N/A</v>
      </c>
      <c r="M30" s="52" t="e">
        <f>VLOOKUP(A30,'Données ED'!$A$6:$AB$101,13,0)</f>
        <v>#N/A</v>
      </c>
      <c r="N30" s="62" t="e">
        <f>VLOOKUP(A30,'Données ED'!$A$6:$AB$101,14,0)</f>
        <v>#N/A</v>
      </c>
      <c r="O30" s="52" t="e">
        <f>VLOOKUP(A30,'Données ED'!$A$6:$AB$101,15,0)</f>
        <v>#N/A</v>
      </c>
      <c r="P30" s="59" t="e">
        <f>VLOOKUP(A30,'Données ED'!$A$6:$AB$101,16,0)</f>
        <v>#N/A</v>
      </c>
      <c r="Q30" s="52" t="e">
        <f>IF(VLOOKUP(A30,'Données ED'!$A$6:$AB$101,17,0)="x","",VLOOKUP(A30,'Données ED'!$A$6:$AB$101,17,0))</f>
        <v>#N/A</v>
      </c>
      <c r="R30" s="59" t="e">
        <f>VLOOKUP(A30,'Données ED'!$A$6:$AB$101,18,0)</f>
        <v>#N/A</v>
      </c>
      <c r="S30" s="81" t="e">
        <f>VLOOKUP(A30,'Données ED'!$A$6:$AB$101,19,0)</f>
        <v>#N/A</v>
      </c>
      <c r="T30" s="85" t="e">
        <f>VLOOKUP(A30,'Données ED'!$A$6:$AB$101,20,0)</f>
        <v>#N/A</v>
      </c>
      <c r="U30" s="52" t="e">
        <f>VLOOKUP(A30,'Données ED'!$A$6:$AB$101,21,0)</f>
        <v>#N/A</v>
      </c>
      <c r="V30" s="49" t="e">
        <f>VLOOKUP(A30,'Données ED'!$A$6:$AB$101,22,0)</f>
        <v>#N/A</v>
      </c>
      <c r="W30" s="86" t="e">
        <f>VLOOKUP(A30,'Données ED'!$A$6:$AB$101,23,0)</f>
        <v>#N/A</v>
      </c>
      <c r="X30" s="49" t="e">
        <f>VLOOKUP(A30,'Données ED'!$A$6:$AB$101,24,0)</f>
        <v>#N/A</v>
      </c>
      <c r="Y30" s="56" t="e">
        <f>VLOOKUP(A30,'Données ED'!$A$6:$AB$101,25,0)</f>
        <v>#N/A</v>
      </c>
      <c r="Z30" s="49" t="e">
        <f>VLOOKUP(A30,'Données ED'!$A$6:$AB$101,26,0)</f>
        <v>#N/A</v>
      </c>
      <c r="AA30" s="56" t="e">
        <f>VLOOKUP(A30,'Données ED'!$A$6:$AB$101,27,0)</f>
        <v>#N/A</v>
      </c>
      <c r="AB30" s="87" t="e">
        <f>VLOOKUP(A30,'Données ED'!$A$6:$AB$101,28,0)</f>
        <v>#N/A</v>
      </c>
      <c r="AC30" s="65" t="e">
        <f t="shared" si="0"/>
        <v>#N/A</v>
      </c>
      <c r="AD30" s="49" t="e">
        <f>AVERAGE(C30,L30,U30)</f>
        <v>#N/A</v>
      </c>
      <c r="AE30" s="52" t="e">
        <f t="shared" si="1"/>
        <v>#N/A</v>
      </c>
      <c r="AF30" s="62" t="e">
        <f t="shared" si="2"/>
        <v>#N/A</v>
      </c>
      <c r="AG30" s="52" t="e">
        <f t="shared" si="3"/>
        <v>#N/A</v>
      </c>
      <c r="AH30" s="59" t="e">
        <f t="shared" si="4"/>
        <v>#N/A</v>
      </c>
      <c r="AI30" s="52" t="e">
        <f t="shared" si="5"/>
        <v>#N/A</v>
      </c>
      <c r="AJ30" s="59" t="e">
        <f t="shared" si="6"/>
        <v>#N/A</v>
      </c>
      <c r="AK30" s="81" t="e">
        <f t="shared" si="7"/>
        <v>#N/A</v>
      </c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</row>
    <row r="31" spans="1:66" ht="15" thickBot="1">
      <c r="A31" s="99" t="str">
        <f>"Moyenne  " &amp;J1-1</f>
        <v>Moyenne  2009</v>
      </c>
      <c r="B31" s="100">
        <f t="array" ref="B31">AVERAGE(IF(ISNUMBER(B19:B30),B19:B30))</f>
        <v>10.804166666666667</v>
      </c>
      <c r="C31" s="101">
        <f t="array" ref="C31">AVERAGE(IF(ISNUMBER(C19:C30),C19:C30))</f>
        <v>14.104166666666664</v>
      </c>
      <c r="D31" s="100">
        <f t="array" ref="D31">AVERAGE(IF(ISNUMBER(D19:D30),D19:D30))</f>
        <v>7.7374999999999998</v>
      </c>
      <c r="E31" s="101">
        <f t="array" ref="E31">AVERAGE(IF(ISNUMBER(E19:E30),E19:E30))</f>
        <v>0.79166666666666652</v>
      </c>
      <c r="F31" s="100">
        <f t="array" ref="F31">AVERAGE(IF(ISNUMBER(F19:F30),F19:F30))</f>
        <v>18.195833333333336</v>
      </c>
      <c r="G31" s="101">
        <f t="array" ref="G31">AVERAGE(IF(ISNUMBER(G19:G30),G19:G30))</f>
        <v>416.04166666666669</v>
      </c>
      <c r="H31" s="100">
        <f t="array" ref="H31">AVERAGE(IF(ISNUMBER(H19:H30),H19:H30))</f>
        <v>0.3666666666666667</v>
      </c>
      <c r="I31" s="101">
        <f t="array" ref="I31">AVERAGE(IF(ISNUMBER(I19:I30),I19:I30))</f>
        <v>4.416666666666667</v>
      </c>
      <c r="J31" s="100">
        <f t="array" ref="J31">AVERAGE(IF(ISNUMBER(J19:J30),J19:J30))</f>
        <v>2.25</v>
      </c>
      <c r="K31" s="101">
        <f t="array" ref="K31">AVERAGE(IF(ISNUMBER(K19:K30),K19:K30))</f>
        <v>16.95</v>
      </c>
      <c r="L31" s="100">
        <f t="array" ref="L31">AVERAGE(IF(ISNUMBER(L19:L30),L19:L30))</f>
        <v>20.779999999999998</v>
      </c>
      <c r="M31" s="101">
        <f t="array" ref="M31">AVERAGE(IF(ISNUMBER(M19:M30),M19:M30))</f>
        <v>7.6749999999999998</v>
      </c>
      <c r="N31" s="100">
        <f t="array" ref="N31">AVERAGE(IF(ISNUMBER(N19:N30),N19:N30))</f>
        <v>0.16750000000000001</v>
      </c>
      <c r="O31" s="101">
        <f t="array" ref="O31">AVERAGE(IF(ISNUMBER(O19:O30),O19:O30))</f>
        <v>27.844999999999999</v>
      </c>
      <c r="P31" s="100">
        <f t="array" ref="P31">AVERAGE(IF(ISNUMBER(P19:P30),P19:P30))</f>
        <v>502</v>
      </c>
      <c r="Q31" s="101">
        <f t="array" ref="Q31">AVERAGE(IF(ISNUMBER(Q19:Q30),Q19:Q30))</f>
        <v>0.46000000000000008</v>
      </c>
      <c r="R31" s="100">
        <f t="array" ref="R31">AVERAGE(IF(ISNUMBER(R19:R30),R19:R30))</f>
        <v>0.5</v>
      </c>
      <c r="S31" s="101">
        <f t="array" ref="S31">AVERAGE(IF(ISNUMBER(S19:S30),S19:S30))</f>
        <v>0.2</v>
      </c>
      <c r="T31" s="100">
        <f t="array" ref="T31">AVERAGE(IF(ISNUMBER(T19:T30),T19:T30))</f>
        <v>11.600000000000001</v>
      </c>
      <c r="U31" s="101">
        <f t="array" ref="U31">AVERAGE(IF(ISNUMBER(U19:U30),U19:U30))</f>
        <v>14.359090909090908</v>
      </c>
      <c r="V31" s="100">
        <f t="array" ref="V31">AVERAGE(IF(ISNUMBER(V19:V30),V19:V30))</f>
        <v>7.6181818181818182</v>
      </c>
      <c r="W31" s="101">
        <f t="array" ref="W31">AVERAGE(IF(ISNUMBER(W19:W30),W19:W30))</f>
        <v>0.14090909090909093</v>
      </c>
      <c r="X31" s="100">
        <f t="array" ref="X31">AVERAGE(IF(ISNUMBER(X19:X30),X19:X30))</f>
        <v>12.80909090909091</v>
      </c>
      <c r="Y31" s="101">
        <f t="array" ref="Y31">AVERAGE(IF(ISNUMBER(Y19:Y30),Y19:Y30))</f>
        <v>395.22727272727275</v>
      </c>
      <c r="Z31" s="100">
        <f t="array" ref="Z31">AVERAGE(IF(ISNUMBER(Z19:Z30),Z19:Z30))</f>
        <v>0.37727272727272732</v>
      </c>
      <c r="AA31" s="101">
        <f t="array" ref="AA31">AVERAGE(IF(ISNUMBER(AA19:AA30),AA19:AA30))</f>
        <v>1.4090909090909092</v>
      </c>
      <c r="AB31" s="100">
        <f t="array" ref="AB31">AVERAGE(IF(ISNUMBER(AB19:AB30),AB19:AB30))</f>
        <v>1.8636363636363635</v>
      </c>
      <c r="AC31" s="101">
        <f t="array" ref="AC31">AVERAGE(IF(ISNUMBER(AC19:AC30),AC19:AC30))</f>
        <v>13.138333333333332</v>
      </c>
      <c r="AD31" s="100">
        <f t="array" ref="AD31">AVERAGE(IF(ISNUMBER(AD19:AD30),AD19:AD30))</f>
        <v>16.466666666666665</v>
      </c>
      <c r="AE31" s="101">
        <f t="array" ref="AE31">AVERAGE(IF(ISNUMBER(AE19:AE30),AE19:AE30))</f>
        <v>7.67</v>
      </c>
      <c r="AF31" s="100">
        <f t="array" ref="AF31">AVERAGE(IF(ISNUMBER(AF19:AF30),AF19:AF30))</f>
        <v>0.40916666666666668</v>
      </c>
      <c r="AG31" s="101">
        <f t="array" ref="AG31">AVERAGE(IF(ISNUMBER(AG19:AG30),AG19:AG30))</f>
        <v>19.616666666666671</v>
      </c>
      <c r="AH31" s="100">
        <f t="array" ref="AH31">AVERAGE(IF(ISNUMBER(AH19:AH30),AH19:AH30))</f>
        <v>438.66666666666669</v>
      </c>
      <c r="AI31" s="101">
        <f t="array" ref="AI31">AVERAGE(IF(ISNUMBER(AI19:AI30),AI19:AI30))</f>
        <v>0.40166666666666667</v>
      </c>
      <c r="AJ31" s="100">
        <f t="array" ref="AJ31">AVERAGE(IF(ISNUMBER(AJ19:AJ30),AJ19:AJ30))</f>
        <v>2.4166666666666665</v>
      </c>
      <c r="AK31" s="101">
        <f t="array" ref="AK31">AVERAGE(IF(ISNUMBER(AK19:AK30),AK19:AK30))</f>
        <v>1.55</v>
      </c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</row>
    <row r="32" spans="1:66">
      <c r="A32" s="3"/>
      <c r="B32" s="50"/>
      <c r="C32" s="50"/>
      <c r="D32" s="50"/>
      <c r="E32" s="60"/>
      <c r="K32" s="50"/>
      <c r="L32" s="50"/>
      <c r="M32" s="50"/>
      <c r="N32" s="60"/>
      <c r="O32" s="50"/>
      <c r="P32" s="57"/>
      <c r="Q32" s="50"/>
      <c r="R32" s="57"/>
      <c r="S32" s="57"/>
      <c r="T32" s="50"/>
      <c r="U32" s="50"/>
      <c r="V32" s="50"/>
      <c r="W32" s="60"/>
      <c r="X32" s="50"/>
      <c r="Y32" s="57"/>
      <c r="Z32" s="50"/>
      <c r="AA32" s="57"/>
      <c r="AD32" s="54"/>
      <c r="AE32" s="54"/>
      <c r="AF32" s="63"/>
      <c r="AG32" s="54"/>
      <c r="AH32" s="55"/>
      <c r="AI32" s="54"/>
      <c r="AJ32" s="55"/>
      <c r="AK32" s="55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</row>
    <row r="33" spans="1:38">
      <c r="A33" s="3"/>
      <c r="B33" s="50"/>
      <c r="C33" s="50"/>
      <c r="D33" s="50"/>
      <c r="E33" s="60"/>
      <c r="F33" s="50"/>
      <c r="G33" s="57"/>
      <c r="H33" s="50"/>
      <c r="I33" s="57"/>
      <c r="J33" s="57"/>
      <c r="K33" s="50"/>
      <c r="L33" s="50"/>
      <c r="M33" s="50"/>
      <c r="N33" s="60"/>
      <c r="O33" s="50"/>
      <c r="P33" s="57"/>
      <c r="Q33" s="50"/>
      <c r="R33" s="57"/>
      <c r="S33" s="57"/>
      <c r="T33" s="50"/>
      <c r="U33" s="50"/>
      <c r="V33" s="50"/>
      <c r="W33" s="60"/>
      <c r="X33" s="50"/>
      <c r="Y33" s="57"/>
      <c r="Z33" s="50"/>
      <c r="AA33" s="57"/>
      <c r="AB33" s="57"/>
      <c r="AC33" s="50"/>
      <c r="AD33" s="50"/>
      <c r="AE33" s="50"/>
      <c r="AF33" s="60"/>
      <c r="AG33" s="50"/>
      <c r="AH33" s="57"/>
    </row>
    <row r="34" spans="1:38">
      <c r="A34" s="3"/>
      <c r="B34" s="50"/>
      <c r="C34" s="50"/>
      <c r="D34" s="50"/>
      <c r="E34" s="60"/>
      <c r="F34" s="50"/>
      <c r="G34" s="57"/>
      <c r="H34" s="50"/>
      <c r="I34" s="57"/>
      <c r="J34" s="57"/>
      <c r="K34" s="50"/>
      <c r="L34" s="50"/>
      <c r="M34" s="50"/>
      <c r="N34" s="60"/>
      <c r="O34" s="50"/>
      <c r="P34" s="57"/>
      <c r="Q34" s="50"/>
      <c r="R34" s="57"/>
      <c r="S34" s="57"/>
      <c r="T34" s="50"/>
      <c r="U34" s="50"/>
      <c r="V34" s="50"/>
      <c r="W34" s="60"/>
      <c r="X34" s="50"/>
      <c r="Y34" s="57"/>
      <c r="Z34" s="50"/>
      <c r="AA34" s="57"/>
      <c r="AB34" s="57"/>
      <c r="AC34" s="50"/>
      <c r="AD34" s="50"/>
      <c r="AE34" s="50"/>
      <c r="AF34" s="60"/>
      <c r="AG34" s="50"/>
      <c r="AH34" s="57"/>
    </row>
    <row r="35" spans="1:38">
      <c r="A35" s="3"/>
      <c r="B35" s="50"/>
      <c r="C35" s="50"/>
      <c r="D35" s="50"/>
      <c r="E35" s="60"/>
      <c r="F35" s="50"/>
      <c r="G35" s="57"/>
      <c r="H35" s="50"/>
      <c r="I35" s="57"/>
      <c r="J35" s="57"/>
      <c r="K35" s="50"/>
      <c r="L35" s="50"/>
      <c r="M35" s="50"/>
      <c r="N35" s="60"/>
      <c r="O35" s="50"/>
      <c r="P35" s="57"/>
      <c r="Q35" s="50"/>
      <c r="R35" s="57"/>
      <c r="S35" s="57"/>
      <c r="T35" s="50"/>
      <c r="U35" s="50"/>
      <c r="V35" s="50"/>
      <c r="W35" s="60"/>
      <c r="X35" s="50"/>
      <c r="Y35" s="57"/>
      <c r="Z35" s="50"/>
      <c r="AA35" s="57"/>
      <c r="AB35" s="57"/>
      <c r="AC35" s="50"/>
      <c r="AD35" s="50"/>
      <c r="AE35" s="50"/>
      <c r="AF35" s="60"/>
      <c r="AG35" s="50"/>
      <c r="AH35" s="57"/>
    </row>
    <row r="36" spans="1:38">
      <c r="A36" s="3"/>
      <c r="B36" s="50"/>
      <c r="C36" s="50"/>
      <c r="D36" s="50"/>
      <c r="E36" s="60"/>
      <c r="F36" s="50"/>
      <c r="G36" s="57"/>
      <c r="H36" s="50"/>
      <c r="I36" s="57"/>
      <c r="J36" s="57"/>
      <c r="K36" s="50"/>
      <c r="L36" s="50"/>
      <c r="M36" s="50"/>
      <c r="N36" s="60"/>
      <c r="O36" s="50"/>
      <c r="P36" s="57"/>
      <c r="Q36" s="50"/>
      <c r="R36" s="57"/>
      <c r="S36" s="57"/>
      <c r="T36" s="50"/>
      <c r="U36" s="50"/>
      <c r="V36" s="50"/>
      <c r="W36" s="60"/>
      <c r="X36" s="50"/>
      <c r="Y36" s="57"/>
      <c r="Z36" s="50"/>
      <c r="AA36" s="57"/>
      <c r="AB36" s="57"/>
      <c r="AC36" s="50"/>
      <c r="AD36" s="50"/>
      <c r="AE36" s="50"/>
      <c r="AF36" s="60"/>
      <c r="AG36" s="50"/>
      <c r="AH36" s="57"/>
    </row>
    <row r="37" spans="1:38">
      <c r="A37" s="3"/>
      <c r="B37" s="50"/>
      <c r="C37" s="50"/>
      <c r="D37" s="50"/>
      <c r="E37" s="60"/>
      <c r="F37" s="50"/>
      <c r="G37" s="57"/>
      <c r="H37" s="50"/>
      <c r="I37" s="57"/>
      <c r="J37" s="57"/>
      <c r="K37" s="50"/>
      <c r="L37" s="50"/>
      <c r="M37" s="50"/>
      <c r="N37" s="60"/>
      <c r="O37" s="50"/>
      <c r="P37" s="57"/>
      <c r="Q37" s="50"/>
      <c r="R37" s="57"/>
      <c r="S37" s="57"/>
      <c r="T37" s="50"/>
      <c r="U37" s="50"/>
      <c r="V37" s="50"/>
      <c r="W37" s="60"/>
      <c r="X37" s="50"/>
      <c r="Y37" s="57"/>
      <c r="Z37" s="50"/>
      <c r="AA37" s="57"/>
      <c r="AB37" s="57"/>
      <c r="AC37" s="50"/>
      <c r="AD37" s="50"/>
      <c r="AE37" s="50"/>
      <c r="AF37" s="60"/>
      <c r="AG37" s="50"/>
      <c r="AH37" s="57"/>
    </row>
    <row r="38" spans="1:38">
      <c r="A38" s="3"/>
      <c r="B38" s="50"/>
      <c r="C38" s="50"/>
      <c r="D38" s="50"/>
      <c r="E38" s="60"/>
      <c r="F38" s="50"/>
      <c r="G38" s="57"/>
      <c r="H38" s="50"/>
      <c r="I38" s="57"/>
      <c r="J38" s="57"/>
      <c r="K38" s="50"/>
      <c r="L38" s="50"/>
      <c r="M38" s="50"/>
      <c r="N38" s="60"/>
      <c r="O38" s="50"/>
      <c r="P38" s="57"/>
      <c r="Q38" s="50"/>
      <c r="R38" s="57"/>
      <c r="S38" s="57"/>
      <c r="T38" s="50"/>
      <c r="U38" s="50"/>
      <c r="V38" s="50"/>
      <c r="W38" s="60"/>
      <c r="X38" s="50"/>
      <c r="Y38" s="57"/>
      <c r="Z38" s="50"/>
      <c r="AA38" s="57"/>
      <c r="AB38" s="57"/>
      <c r="AC38" s="50"/>
      <c r="AD38" s="50"/>
      <c r="AE38" s="50"/>
      <c r="AF38" s="60"/>
      <c r="AG38" s="50"/>
      <c r="AH38" s="57"/>
    </row>
    <row r="39" spans="1:38">
      <c r="A39" s="3"/>
      <c r="B39" s="50"/>
      <c r="C39" s="50"/>
      <c r="D39" s="50"/>
      <c r="E39" s="60"/>
      <c r="F39" s="50"/>
      <c r="G39" s="57"/>
      <c r="H39" s="50"/>
      <c r="I39" s="57"/>
      <c r="J39" s="57"/>
      <c r="K39" s="50"/>
      <c r="L39" s="50"/>
      <c r="M39" s="50"/>
      <c r="N39" s="60"/>
      <c r="O39" s="50"/>
      <c r="P39" s="57"/>
      <c r="Q39" s="50"/>
      <c r="R39" s="57"/>
      <c r="S39" s="57"/>
      <c r="T39" s="50"/>
      <c r="U39" s="50"/>
      <c r="V39" s="50"/>
      <c r="W39" s="60"/>
      <c r="X39" s="50"/>
      <c r="Y39" s="57"/>
      <c r="Z39" s="50"/>
      <c r="AA39" s="57"/>
      <c r="AB39" s="57"/>
      <c r="AC39" s="50"/>
      <c r="AD39" s="50"/>
      <c r="AE39" s="50"/>
      <c r="AF39" s="60"/>
      <c r="AG39" s="50"/>
      <c r="AH39" s="57"/>
    </row>
    <row r="40" spans="1:38">
      <c r="A40" s="3"/>
      <c r="B40" s="50"/>
      <c r="C40" s="50"/>
      <c r="D40" s="50"/>
      <c r="E40" s="60"/>
      <c r="F40" s="50"/>
      <c r="G40" s="57"/>
      <c r="H40" s="50"/>
      <c r="I40" s="57"/>
      <c r="J40" s="57"/>
      <c r="K40" s="50"/>
      <c r="L40" s="50"/>
      <c r="M40" s="50"/>
      <c r="N40" s="60"/>
      <c r="O40" s="50"/>
      <c r="P40" s="57"/>
      <c r="Q40" s="50"/>
      <c r="R40" s="57"/>
      <c r="S40" s="57"/>
      <c r="T40" s="50"/>
      <c r="U40" s="50"/>
      <c r="V40" s="50"/>
      <c r="W40" s="60"/>
      <c r="X40" s="50"/>
      <c r="Y40" s="57"/>
      <c r="Z40" s="50"/>
      <c r="AA40" s="57"/>
      <c r="AB40" s="57"/>
      <c r="AC40" s="50"/>
      <c r="AD40" s="50"/>
      <c r="AE40" s="50"/>
      <c r="AF40" s="60"/>
      <c r="AG40" s="50"/>
      <c r="AH40" s="57"/>
      <c r="AL40" s="97"/>
    </row>
    <row r="41" spans="1:38">
      <c r="A41" s="3"/>
      <c r="B41" s="50"/>
      <c r="C41" s="50"/>
      <c r="D41" s="50"/>
      <c r="E41" s="60"/>
      <c r="F41" s="50"/>
      <c r="G41" s="57"/>
      <c r="H41" s="50"/>
      <c r="I41" s="57"/>
      <c r="J41" s="57"/>
      <c r="K41" s="50"/>
      <c r="L41" s="50"/>
      <c r="M41" s="50"/>
      <c r="N41" s="60"/>
      <c r="O41" s="50"/>
      <c r="P41" s="57"/>
      <c r="Q41" s="50"/>
      <c r="R41" s="57"/>
      <c r="S41" s="57"/>
      <c r="T41" s="50"/>
      <c r="U41" s="50"/>
      <c r="V41" s="50"/>
      <c r="W41" s="60"/>
      <c r="X41" s="50"/>
      <c r="Y41" s="57"/>
      <c r="Z41" s="50"/>
      <c r="AA41" s="57"/>
      <c r="AB41" s="57"/>
      <c r="AC41" s="50"/>
      <c r="AD41" s="50"/>
      <c r="AE41" s="50"/>
      <c r="AF41" s="60"/>
      <c r="AG41" s="50"/>
      <c r="AH41" s="57"/>
    </row>
    <row r="42" spans="1:38">
      <c r="A42" s="3"/>
      <c r="B42" s="50"/>
      <c r="C42" s="50"/>
      <c r="D42" s="50"/>
      <c r="E42" s="60"/>
      <c r="F42" s="50"/>
      <c r="G42" s="57"/>
      <c r="H42" s="50"/>
      <c r="I42" s="57"/>
      <c r="J42" s="57"/>
      <c r="K42" s="50"/>
      <c r="L42" s="50"/>
      <c r="M42" s="50"/>
      <c r="N42" s="60"/>
      <c r="O42" s="50"/>
      <c r="P42" s="57"/>
      <c r="Q42" s="50"/>
      <c r="R42" s="57"/>
      <c r="S42" s="57"/>
      <c r="T42" s="50"/>
      <c r="U42" s="50"/>
      <c r="V42" s="50"/>
      <c r="W42" s="60"/>
      <c r="X42" s="50"/>
      <c r="Y42" s="57"/>
      <c r="Z42" s="50"/>
      <c r="AA42" s="57"/>
      <c r="AB42" s="57"/>
      <c r="AC42" s="50"/>
      <c r="AD42" s="50"/>
      <c r="AE42" s="50"/>
      <c r="AF42" s="60"/>
      <c r="AG42" s="50"/>
      <c r="AH42" s="57"/>
    </row>
    <row r="43" spans="1:38">
      <c r="A43" s="3"/>
      <c r="B43" s="50"/>
      <c r="C43" s="50"/>
      <c r="D43" s="50"/>
      <c r="E43" s="60"/>
      <c r="F43" s="50"/>
      <c r="G43" s="57"/>
      <c r="H43" s="50"/>
      <c r="I43" s="57"/>
      <c r="J43" s="57"/>
      <c r="K43" s="50"/>
      <c r="L43" s="50"/>
      <c r="M43" s="50"/>
      <c r="N43" s="60"/>
      <c r="O43" s="50"/>
      <c r="P43" s="57"/>
      <c r="Q43" s="50"/>
      <c r="R43" s="57"/>
      <c r="S43" s="57"/>
      <c r="T43" s="50"/>
      <c r="U43" s="50"/>
      <c r="V43" s="50"/>
      <c r="W43" s="60"/>
      <c r="X43" s="50"/>
      <c r="Y43" s="57"/>
      <c r="Z43" s="50"/>
      <c r="AA43" s="57"/>
      <c r="AB43" s="57"/>
      <c r="AC43" s="50"/>
      <c r="AD43" s="50"/>
      <c r="AE43" s="50"/>
      <c r="AF43" s="60"/>
      <c r="AG43" s="50"/>
      <c r="AH43" s="57"/>
    </row>
    <row r="44" spans="1:38">
      <c r="A44" s="3"/>
      <c r="B44" s="50"/>
      <c r="C44" s="50"/>
      <c r="D44" s="50"/>
      <c r="E44" s="60"/>
      <c r="F44" s="50"/>
      <c r="G44" s="57"/>
      <c r="H44" s="50"/>
      <c r="I44" s="57"/>
      <c r="J44" s="57"/>
      <c r="K44" s="50"/>
      <c r="L44" s="50"/>
      <c r="M44" s="50"/>
      <c r="N44" s="60"/>
      <c r="O44" s="50"/>
      <c r="P44" s="57"/>
      <c r="Q44" s="50"/>
      <c r="R44" s="57"/>
      <c r="S44" s="57"/>
      <c r="T44" s="50"/>
      <c r="U44" s="50"/>
      <c r="V44" s="50"/>
      <c r="W44" s="60"/>
      <c r="X44" s="50"/>
      <c r="Y44" s="57"/>
      <c r="Z44" s="50"/>
      <c r="AA44" s="57"/>
      <c r="AB44" s="57"/>
      <c r="AC44" s="50"/>
      <c r="AD44" s="50"/>
      <c r="AE44" s="50"/>
      <c r="AF44" s="60"/>
      <c r="AG44" s="50"/>
      <c r="AH44" s="57"/>
    </row>
    <row r="45" spans="1:38">
      <c r="A45" s="3"/>
      <c r="B45" s="50"/>
      <c r="C45" s="50"/>
      <c r="D45" s="50"/>
      <c r="E45" s="60"/>
      <c r="F45" s="50"/>
      <c r="G45" s="57"/>
      <c r="H45" s="50"/>
      <c r="I45" s="57"/>
      <c r="J45" s="57"/>
      <c r="K45" s="50"/>
      <c r="L45" s="50"/>
      <c r="M45" s="50"/>
      <c r="N45" s="60"/>
      <c r="O45" s="50"/>
      <c r="P45" s="57"/>
      <c r="Q45" s="50"/>
      <c r="R45" s="57"/>
      <c r="S45" s="57"/>
      <c r="T45" s="50"/>
      <c r="U45" s="50"/>
      <c r="V45" s="50"/>
      <c r="W45" s="60"/>
      <c r="X45" s="50"/>
      <c r="Y45" s="57"/>
      <c r="Z45" s="50"/>
      <c r="AA45" s="57"/>
      <c r="AB45" s="57"/>
      <c r="AC45" s="50"/>
      <c r="AD45" s="50"/>
      <c r="AE45" s="50"/>
      <c r="AF45" s="60"/>
      <c r="AG45" s="50"/>
      <c r="AH45" s="57"/>
    </row>
    <row r="46" spans="1:38">
      <c r="A46" s="3"/>
      <c r="B46" s="50"/>
      <c r="C46" s="50"/>
      <c r="D46" s="50"/>
      <c r="E46" s="60"/>
      <c r="F46" s="50"/>
      <c r="G46" s="57"/>
      <c r="H46" s="50"/>
      <c r="I46" s="57"/>
      <c r="J46" s="57"/>
      <c r="K46" s="50"/>
      <c r="L46" s="50"/>
      <c r="M46" s="50"/>
      <c r="N46" s="60"/>
      <c r="O46" s="50"/>
      <c r="P46" s="57"/>
      <c r="Q46" s="50"/>
      <c r="R46" s="57"/>
      <c r="S46" s="57"/>
      <c r="T46" s="50"/>
      <c r="U46" s="50"/>
      <c r="V46" s="50"/>
      <c r="W46" s="60"/>
      <c r="X46" s="50"/>
      <c r="Y46" s="57"/>
      <c r="Z46" s="50"/>
      <c r="AA46" s="57"/>
      <c r="AB46" s="57"/>
      <c r="AD46" s="50"/>
    </row>
    <row r="47" spans="1:38">
      <c r="A47" s="3"/>
      <c r="B47" s="50"/>
      <c r="C47" s="50"/>
      <c r="D47" s="50"/>
      <c r="E47" s="60"/>
      <c r="F47" s="50"/>
      <c r="G47" s="57"/>
      <c r="H47" s="50"/>
      <c r="I47" s="57"/>
      <c r="J47" s="57"/>
      <c r="K47" s="50"/>
      <c r="L47" s="50"/>
      <c r="M47" s="50"/>
      <c r="N47" s="60"/>
      <c r="O47" s="50"/>
      <c r="P47" s="57"/>
      <c r="Q47" s="50"/>
      <c r="R47" s="57"/>
      <c r="S47" s="57"/>
      <c r="T47" s="50"/>
      <c r="U47" s="50"/>
      <c r="V47" s="50"/>
      <c r="W47" s="60"/>
      <c r="X47" s="50"/>
      <c r="Y47" s="57"/>
      <c r="Z47" s="50"/>
      <c r="AA47" s="57"/>
      <c r="AB47" s="57"/>
      <c r="AD47" s="50"/>
    </row>
    <row r="48" spans="1:38">
      <c r="A48" s="3"/>
      <c r="B48" s="50"/>
      <c r="C48" s="50"/>
      <c r="D48" s="50"/>
      <c r="E48" s="60"/>
      <c r="F48" s="50"/>
      <c r="G48" s="57"/>
      <c r="H48" s="50"/>
      <c r="I48" s="57"/>
      <c r="J48" s="57"/>
      <c r="K48" s="50"/>
      <c r="L48" s="50"/>
      <c r="M48" s="50"/>
      <c r="N48" s="60"/>
      <c r="O48" s="50"/>
      <c r="P48" s="57"/>
      <c r="Q48" s="50"/>
      <c r="R48" s="57"/>
      <c r="S48" s="57"/>
      <c r="T48" s="50"/>
      <c r="U48" s="50"/>
      <c r="V48" s="50"/>
      <c r="W48" s="60"/>
      <c r="X48" s="50"/>
      <c r="Y48" s="57"/>
      <c r="Z48" s="50"/>
      <c r="AA48" s="57"/>
      <c r="AB48" s="57"/>
      <c r="AD48" s="50"/>
    </row>
    <row r="49" spans="1:30">
      <c r="A49" s="3"/>
      <c r="B49" s="50"/>
      <c r="C49" s="50"/>
      <c r="D49" s="50"/>
      <c r="E49" s="60"/>
      <c r="F49" s="50"/>
      <c r="G49" s="57"/>
      <c r="H49" s="50"/>
      <c r="I49" s="57"/>
      <c r="J49" s="57"/>
      <c r="K49" s="50"/>
      <c r="L49" s="50"/>
      <c r="M49" s="50"/>
      <c r="N49" s="60"/>
      <c r="O49" s="50"/>
      <c r="P49" s="57"/>
      <c r="Q49" s="50"/>
      <c r="R49" s="57"/>
      <c r="S49" s="57"/>
      <c r="T49" s="50"/>
      <c r="U49" s="50"/>
      <c r="V49" s="50"/>
      <c r="W49" s="60"/>
      <c r="X49" s="50"/>
      <c r="Y49" s="57"/>
      <c r="Z49" s="50"/>
      <c r="AA49" s="57"/>
      <c r="AB49" s="57"/>
      <c r="AD49" s="50"/>
    </row>
    <row r="50" spans="1:30">
      <c r="A50" s="3"/>
      <c r="B50" s="50"/>
      <c r="C50" s="50"/>
      <c r="D50" s="50"/>
      <c r="E50" s="60"/>
      <c r="F50" s="50"/>
      <c r="G50" s="57"/>
      <c r="H50" s="50"/>
      <c r="I50" s="57"/>
      <c r="J50" s="57"/>
      <c r="K50" s="50"/>
      <c r="L50" s="50"/>
      <c r="M50" s="50"/>
      <c r="N50" s="60"/>
      <c r="O50" s="50"/>
      <c r="P50" s="57"/>
      <c r="Q50" s="50"/>
      <c r="R50" s="57"/>
      <c r="S50" s="57"/>
      <c r="T50" s="50"/>
      <c r="U50" s="50"/>
      <c r="V50" s="50"/>
      <c r="W50" s="60"/>
      <c r="X50" s="50"/>
      <c r="Y50" s="57"/>
      <c r="Z50" s="50"/>
      <c r="AA50" s="57"/>
      <c r="AB50" s="57"/>
      <c r="AD50" s="50"/>
    </row>
    <row r="51" spans="1:30">
      <c r="A51" s="3"/>
      <c r="B51" s="50"/>
      <c r="C51" s="50"/>
      <c r="D51" s="50"/>
      <c r="E51" s="60"/>
      <c r="F51" s="50"/>
      <c r="G51" s="57"/>
      <c r="H51" s="50"/>
      <c r="I51" s="57"/>
      <c r="J51" s="57"/>
      <c r="K51" s="50"/>
      <c r="L51" s="50"/>
      <c r="M51" s="50"/>
      <c r="N51" s="60"/>
      <c r="O51" s="50"/>
      <c r="P51" s="57"/>
      <c r="Q51" s="50"/>
      <c r="R51" s="57"/>
      <c r="S51" s="57"/>
      <c r="T51" s="50"/>
      <c r="U51" s="50"/>
      <c r="V51" s="50"/>
      <c r="W51" s="60"/>
      <c r="X51" s="50"/>
      <c r="Y51" s="57"/>
      <c r="Z51" s="50"/>
      <c r="AA51" s="57"/>
      <c r="AB51" s="57"/>
      <c r="AD51" s="50"/>
    </row>
    <row r="52" spans="1:30">
      <c r="A52" s="3"/>
      <c r="B52" s="50"/>
      <c r="C52" s="50"/>
      <c r="D52" s="50"/>
      <c r="E52" s="60"/>
      <c r="F52" s="50"/>
      <c r="G52" s="57"/>
      <c r="H52" s="50"/>
      <c r="I52" s="57"/>
      <c r="J52" s="57"/>
      <c r="K52" s="50"/>
      <c r="L52" s="50"/>
      <c r="M52" s="50"/>
      <c r="N52" s="60"/>
      <c r="O52" s="50"/>
      <c r="P52" s="57"/>
      <c r="Q52" s="50"/>
      <c r="R52" s="57"/>
      <c r="S52" s="57"/>
      <c r="T52" s="50"/>
      <c r="U52" s="50"/>
      <c r="V52" s="50"/>
      <c r="W52" s="60"/>
      <c r="X52" s="50"/>
      <c r="Y52" s="57"/>
      <c r="Z52" s="50"/>
      <c r="AA52" s="57"/>
      <c r="AB52" s="57"/>
      <c r="AD52" s="50"/>
    </row>
    <row r="53" spans="1:30">
      <c r="A53" s="3"/>
      <c r="B53" s="50"/>
      <c r="C53" s="50"/>
      <c r="D53" s="50"/>
      <c r="E53" s="60"/>
      <c r="F53" s="50"/>
      <c r="G53" s="57"/>
      <c r="H53" s="50"/>
      <c r="I53" s="57"/>
      <c r="J53" s="57"/>
      <c r="K53" s="50"/>
      <c r="L53" s="50"/>
      <c r="M53" s="50"/>
      <c r="N53" s="60"/>
      <c r="O53" s="50"/>
      <c r="P53" s="57"/>
      <c r="Q53" s="50"/>
      <c r="R53" s="57"/>
      <c r="S53" s="57"/>
      <c r="T53" s="50"/>
      <c r="U53" s="50"/>
      <c r="V53" s="50"/>
      <c r="W53" s="60"/>
      <c r="X53" s="50"/>
      <c r="Y53" s="57"/>
      <c r="Z53" s="50"/>
      <c r="AA53" s="57"/>
      <c r="AB53" s="57"/>
      <c r="AD53" s="50"/>
    </row>
    <row r="54" spans="1:30">
      <c r="A54" s="3"/>
      <c r="B54" s="50"/>
      <c r="C54" s="50"/>
      <c r="D54" s="50"/>
      <c r="E54" s="60"/>
      <c r="F54" s="50"/>
      <c r="G54" s="57"/>
      <c r="H54" s="50"/>
      <c r="I54" s="57"/>
      <c r="J54" s="57"/>
      <c r="K54" s="50"/>
      <c r="L54" s="50"/>
      <c r="M54" s="50"/>
      <c r="N54" s="60"/>
      <c r="O54" s="50"/>
      <c r="P54" s="57"/>
      <c r="Q54" s="50"/>
      <c r="R54" s="57"/>
      <c r="S54" s="57"/>
      <c r="T54" s="50"/>
      <c r="U54" s="50"/>
      <c r="V54" s="50"/>
      <c r="W54" s="60"/>
      <c r="X54" s="50"/>
      <c r="Y54" s="57"/>
      <c r="Z54" s="50"/>
      <c r="AA54" s="57"/>
      <c r="AB54" s="57"/>
      <c r="AD54" s="50"/>
    </row>
    <row r="55" spans="1:30">
      <c r="A55" s="3"/>
      <c r="B55" s="50"/>
      <c r="C55" s="50"/>
      <c r="D55" s="50"/>
      <c r="E55" s="60"/>
      <c r="F55" s="50"/>
      <c r="G55" s="57"/>
      <c r="H55" s="50"/>
      <c r="I55" s="57"/>
      <c r="J55" s="57"/>
      <c r="K55" s="50"/>
      <c r="L55" s="50"/>
      <c r="M55" s="50"/>
      <c r="N55" s="60"/>
      <c r="O55" s="50"/>
      <c r="P55" s="57"/>
      <c r="Q55" s="50"/>
      <c r="R55" s="57"/>
      <c r="S55" s="57"/>
      <c r="T55" s="50"/>
      <c r="U55" s="50"/>
      <c r="V55" s="50"/>
      <c r="W55" s="60"/>
      <c r="X55" s="50"/>
      <c r="Y55" s="57"/>
      <c r="Z55" s="50"/>
      <c r="AA55" s="57"/>
      <c r="AB55" s="57"/>
      <c r="AD55" s="50"/>
    </row>
    <row r="56" spans="1:30">
      <c r="A56" s="3"/>
      <c r="B56" s="50"/>
      <c r="C56" s="50"/>
      <c r="D56" s="50"/>
      <c r="E56" s="60"/>
      <c r="F56" s="50"/>
      <c r="G56" s="57"/>
      <c r="H56" s="50"/>
      <c r="I56" s="57"/>
      <c r="J56" s="57"/>
      <c r="K56" s="50"/>
      <c r="L56" s="50"/>
      <c r="M56" s="50"/>
      <c r="N56" s="60"/>
      <c r="O56" s="50"/>
      <c r="P56" s="57"/>
      <c r="Q56" s="50"/>
      <c r="R56" s="57"/>
      <c r="S56" s="57"/>
      <c r="T56" s="50"/>
      <c r="U56" s="50"/>
      <c r="V56" s="50"/>
      <c r="W56" s="60"/>
      <c r="X56" s="50"/>
      <c r="Y56" s="57"/>
      <c r="Z56" s="50"/>
      <c r="AA56" s="57"/>
      <c r="AB56" s="57"/>
      <c r="AD56" s="50"/>
    </row>
    <row r="57" spans="1:30">
      <c r="A57" s="3"/>
      <c r="B57" s="50"/>
      <c r="C57" s="50"/>
      <c r="D57" s="50"/>
      <c r="E57" s="60"/>
      <c r="F57" s="50"/>
      <c r="G57" s="57"/>
      <c r="H57" s="50"/>
      <c r="I57" s="57"/>
      <c r="J57" s="57"/>
      <c r="K57" s="50"/>
      <c r="L57" s="50"/>
      <c r="M57" s="50"/>
      <c r="N57" s="60"/>
      <c r="O57" s="50"/>
      <c r="P57" s="57"/>
      <c r="Q57" s="50"/>
      <c r="R57" s="57"/>
      <c r="S57" s="57"/>
      <c r="T57" s="50"/>
      <c r="U57" s="50"/>
      <c r="V57" s="50"/>
      <c r="W57" s="60"/>
      <c r="X57" s="50"/>
      <c r="Y57" s="57"/>
      <c r="Z57" s="50"/>
      <c r="AA57" s="57"/>
      <c r="AB57" s="57"/>
      <c r="AD57" s="50"/>
    </row>
    <row r="58" spans="1:30">
      <c r="A58" s="3"/>
      <c r="B58" s="50"/>
      <c r="C58" s="50"/>
      <c r="D58" s="50"/>
      <c r="E58" s="60"/>
      <c r="F58" s="50"/>
      <c r="G58" s="57"/>
      <c r="H58" s="50"/>
      <c r="I58" s="57"/>
      <c r="J58" s="57"/>
      <c r="K58" s="50"/>
      <c r="L58" s="50"/>
      <c r="M58" s="50"/>
      <c r="N58" s="60"/>
      <c r="O58" s="50"/>
      <c r="P58" s="57"/>
      <c r="Q58" s="50"/>
      <c r="R58" s="57"/>
      <c r="S58" s="57"/>
      <c r="T58" s="50"/>
      <c r="U58" s="50"/>
      <c r="V58" s="50"/>
      <c r="W58" s="60"/>
      <c r="X58" s="50"/>
      <c r="Y58" s="57"/>
      <c r="Z58" s="50"/>
      <c r="AA58" s="57"/>
      <c r="AB58" s="57"/>
      <c r="AD58" s="50"/>
    </row>
    <row r="59" spans="1:30">
      <c r="A59" s="3"/>
      <c r="B59" s="50"/>
      <c r="C59" s="50"/>
      <c r="D59" s="50"/>
      <c r="E59" s="60"/>
      <c r="F59" s="50"/>
      <c r="G59" s="57"/>
      <c r="H59" s="50"/>
      <c r="I59" s="57"/>
      <c r="J59" s="57"/>
      <c r="K59" s="50"/>
      <c r="L59" s="50"/>
      <c r="M59" s="50"/>
      <c r="N59" s="60"/>
      <c r="O59" s="50"/>
      <c r="P59" s="57"/>
      <c r="Q59" s="50"/>
      <c r="R59" s="57"/>
      <c r="S59" s="57"/>
      <c r="T59" s="50"/>
      <c r="U59" s="50"/>
      <c r="V59" s="50"/>
      <c r="W59" s="60"/>
      <c r="X59" s="50"/>
      <c r="Y59" s="57"/>
      <c r="Z59" s="50"/>
      <c r="AA59" s="57"/>
      <c r="AB59" s="57"/>
      <c r="AD59" s="50"/>
    </row>
    <row r="60" spans="1:30">
      <c r="A60" s="3"/>
      <c r="B60" s="50"/>
      <c r="C60" s="50"/>
      <c r="D60" s="50"/>
      <c r="E60" s="60"/>
      <c r="F60" s="50"/>
      <c r="G60" s="57"/>
      <c r="H60" s="50"/>
      <c r="I60" s="57"/>
      <c r="J60" s="57"/>
      <c r="K60" s="50"/>
      <c r="L60" s="50"/>
      <c r="M60" s="50"/>
      <c r="N60" s="60"/>
      <c r="O60" s="50"/>
      <c r="P60" s="57"/>
      <c r="Q60" s="50"/>
      <c r="R60" s="57"/>
      <c r="S60" s="57"/>
      <c r="T60" s="50"/>
      <c r="U60" s="50"/>
      <c r="V60" s="50"/>
      <c r="W60" s="60"/>
      <c r="X60" s="50"/>
      <c r="Y60" s="57"/>
      <c r="Z60" s="50"/>
      <c r="AA60" s="57"/>
      <c r="AB60" s="57"/>
      <c r="AD60" s="50"/>
    </row>
    <row r="61" spans="1:30">
      <c r="A61" s="3"/>
      <c r="B61" s="50"/>
      <c r="C61" s="50"/>
      <c r="D61" s="50"/>
      <c r="E61" s="60"/>
      <c r="F61" s="50"/>
      <c r="G61" s="57"/>
      <c r="H61" s="50"/>
      <c r="I61" s="57"/>
      <c r="J61" s="57"/>
      <c r="K61" s="50"/>
      <c r="L61" s="50"/>
      <c r="M61" s="50"/>
      <c r="N61" s="60"/>
      <c r="O61" s="50"/>
      <c r="P61" s="57"/>
      <c r="Q61" s="50"/>
      <c r="R61" s="57"/>
      <c r="S61" s="57"/>
      <c r="T61" s="50"/>
      <c r="U61" s="50"/>
      <c r="V61" s="50"/>
      <c r="W61" s="60"/>
      <c r="X61" s="50"/>
      <c r="Y61" s="57"/>
      <c r="Z61" s="50"/>
      <c r="AA61" s="57"/>
      <c r="AB61" s="57"/>
      <c r="AD61" s="50"/>
    </row>
    <row r="62" spans="1:30">
      <c r="A62" s="3"/>
      <c r="B62" s="50"/>
      <c r="C62" s="50"/>
      <c r="D62" s="50"/>
      <c r="E62" s="60"/>
      <c r="F62" s="50"/>
      <c r="G62" s="57"/>
      <c r="H62" s="50"/>
      <c r="I62" s="57"/>
      <c r="J62" s="57"/>
      <c r="K62" s="50"/>
      <c r="L62" s="50"/>
      <c r="M62" s="50"/>
      <c r="N62" s="60"/>
      <c r="O62" s="50"/>
      <c r="P62" s="57"/>
      <c r="Q62" s="50"/>
      <c r="R62" s="57"/>
      <c r="S62" s="57"/>
      <c r="T62" s="50"/>
      <c r="U62" s="50"/>
      <c r="V62" s="50"/>
      <c r="W62" s="60"/>
      <c r="X62" s="50"/>
      <c r="Y62" s="57"/>
      <c r="Z62" s="50"/>
      <c r="AA62" s="57"/>
      <c r="AB62" s="57"/>
      <c r="AD62" s="50"/>
    </row>
    <row r="63" spans="1:30">
      <c r="A63" s="3"/>
      <c r="B63" s="50"/>
      <c r="C63" s="50"/>
      <c r="D63" s="50"/>
      <c r="E63" s="60"/>
      <c r="F63" s="50"/>
      <c r="G63" s="57"/>
      <c r="H63" s="50"/>
      <c r="I63" s="57"/>
      <c r="J63" s="57"/>
      <c r="K63" s="50"/>
      <c r="L63" s="50"/>
      <c r="M63" s="50"/>
      <c r="N63" s="60"/>
      <c r="O63" s="50"/>
      <c r="P63" s="57"/>
      <c r="Q63" s="50"/>
      <c r="R63" s="57"/>
      <c r="S63" s="57"/>
      <c r="T63" s="50"/>
      <c r="U63" s="50"/>
      <c r="V63" s="50"/>
      <c r="W63" s="60"/>
      <c r="X63" s="50"/>
      <c r="Y63" s="57"/>
      <c r="Z63" s="50"/>
      <c r="AA63" s="57"/>
      <c r="AB63" s="57"/>
      <c r="AD63" s="50"/>
    </row>
    <row r="64" spans="1:30">
      <c r="A64" s="3"/>
      <c r="B64" s="50"/>
      <c r="C64" s="50"/>
      <c r="D64" s="50"/>
      <c r="E64" s="60"/>
      <c r="F64" s="50"/>
      <c r="G64" s="57"/>
      <c r="H64" s="50"/>
      <c r="I64" s="57"/>
      <c r="J64" s="57"/>
      <c r="K64" s="50"/>
      <c r="L64" s="50"/>
      <c r="M64" s="50"/>
      <c r="N64" s="60"/>
      <c r="O64" s="50"/>
      <c r="P64" s="57"/>
      <c r="Q64" s="50"/>
      <c r="R64" s="57"/>
      <c r="S64" s="57"/>
      <c r="T64" s="50"/>
      <c r="U64" s="50"/>
      <c r="V64" s="50"/>
      <c r="W64" s="60"/>
      <c r="X64" s="50"/>
      <c r="Y64" s="57"/>
      <c r="Z64" s="50"/>
      <c r="AA64" s="57"/>
      <c r="AB64" s="57"/>
      <c r="AD64" s="50"/>
    </row>
    <row r="65" spans="1:30">
      <c r="A65" s="3"/>
      <c r="B65" s="50"/>
      <c r="C65" s="50"/>
      <c r="D65" s="50"/>
      <c r="E65" s="60"/>
      <c r="F65" s="50"/>
      <c r="G65" s="57"/>
      <c r="H65" s="50"/>
      <c r="I65" s="57"/>
      <c r="J65" s="57"/>
      <c r="K65" s="50"/>
      <c r="L65" s="50"/>
      <c r="M65" s="50"/>
      <c r="N65" s="60"/>
      <c r="O65" s="50"/>
      <c r="P65" s="57"/>
      <c r="Q65" s="50"/>
      <c r="R65" s="57"/>
      <c r="S65" s="57"/>
      <c r="T65" s="50"/>
      <c r="U65" s="50"/>
      <c r="V65" s="50"/>
      <c r="W65" s="60"/>
      <c r="X65" s="50"/>
      <c r="Y65" s="57"/>
      <c r="Z65" s="50"/>
      <c r="AA65" s="57"/>
      <c r="AB65" s="57"/>
      <c r="AD65" s="50"/>
    </row>
    <row r="66" spans="1:30">
      <c r="A66" s="3"/>
      <c r="B66" s="50"/>
      <c r="C66" s="50"/>
      <c r="D66" s="50"/>
      <c r="E66" s="60"/>
      <c r="F66" s="50"/>
      <c r="G66" s="57"/>
      <c r="H66" s="50"/>
      <c r="I66" s="57"/>
      <c r="J66" s="57"/>
      <c r="K66" s="50"/>
      <c r="L66" s="50"/>
      <c r="M66" s="50"/>
      <c r="N66" s="60"/>
      <c r="O66" s="50"/>
      <c r="P66" s="57"/>
      <c r="Q66" s="50"/>
      <c r="R66" s="57"/>
      <c r="S66" s="57"/>
      <c r="T66" s="50"/>
      <c r="U66" s="50"/>
      <c r="V66" s="50"/>
      <c r="W66" s="60"/>
      <c r="X66" s="50"/>
      <c r="Y66" s="57"/>
      <c r="Z66" s="50"/>
      <c r="AA66" s="57"/>
      <c r="AB66" s="57"/>
      <c r="AD66" s="50"/>
    </row>
    <row r="67" spans="1:30">
      <c r="A67" s="3"/>
      <c r="B67" s="50"/>
      <c r="C67" s="50"/>
      <c r="D67" s="50"/>
      <c r="E67" s="60"/>
      <c r="F67" s="50"/>
      <c r="G67" s="57"/>
      <c r="H67" s="50"/>
      <c r="I67" s="57"/>
      <c r="J67" s="57"/>
      <c r="K67" s="50"/>
      <c r="L67" s="50"/>
      <c r="M67" s="50"/>
      <c r="N67" s="60"/>
      <c r="O67" s="50"/>
      <c r="P67" s="57"/>
      <c r="Q67" s="50"/>
      <c r="R67" s="57"/>
      <c r="S67" s="57"/>
      <c r="T67" s="50"/>
      <c r="U67" s="50"/>
      <c r="V67" s="50"/>
      <c r="W67" s="60"/>
      <c r="X67" s="50"/>
      <c r="Y67" s="57"/>
      <c r="Z67" s="50"/>
      <c r="AA67" s="57"/>
      <c r="AB67" s="57"/>
      <c r="AD67" s="50"/>
    </row>
    <row r="68" spans="1:30">
      <c r="A68" s="3"/>
      <c r="B68" s="50"/>
      <c r="C68" s="50"/>
      <c r="D68" s="50"/>
      <c r="E68" s="60"/>
      <c r="F68" s="50"/>
      <c r="G68" s="57"/>
      <c r="H68" s="50"/>
      <c r="I68" s="57"/>
      <c r="J68" s="57"/>
      <c r="K68" s="50"/>
      <c r="L68" s="50"/>
      <c r="M68" s="50"/>
      <c r="N68" s="60"/>
      <c r="O68" s="50"/>
      <c r="P68" s="57"/>
      <c r="Q68" s="50"/>
      <c r="R68" s="57"/>
      <c r="S68" s="57"/>
      <c r="T68" s="50"/>
      <c r="U68" s="50"/>
      <c r="V68" s="50"/>
      <c r="W68" s="60"/>
      <c r="X68" s="50"/>
      <c r="Y68" s="57"/>
      <c r="Z68" s="50"/>
      <c r="AA68" s="57"/>
      <c r="AB68" s="57"/>
      <c r="AD68" s="50"/>
    </row>
    <row r="69" spans="1:30">
      <c r="A69" s="3"/>
      <c r="B69" s="50"/>
      <c r="C69" s="50"/>
      <c r="D69" s="50"/>
      <c r="E69" s="60"/>
      <c r="F69" s="50"/>
      <c r="G69" s="57"/>
      <c r="H69" s="50"/>
      <c r="I69" s="57"/>
      <c r="J69" s="57"/>
      <c r="K69" s="50"/>
      <c r="L69" s="50"/>
      <c r="M69" s="50"/>
      <c r="N69" s="60"/>
      <c r="O69" s="50"/>
      <c r="P69" s="57"/>
      <c r="Q69" s="50"/>
      <c r="R69" s="57"/>
      <c r="S69" s="57"/>
      <c r="T69" s="50"/>
      <c r="U69" s="50"/>
      <c r="V69" s="50"/>
      <c r="W69" s="60"/>
      <c r="X69" s="50"/>
      <c r="Y69" s="57"/>
      <c r="Z69" s="50"/>
      <c r="AA69" s="57"/>
      <c r="AB69" s="57"/>
      <c r="AD69" s="50"/>
    </row>
    <row r="70" spans="1:30">
      <c r="A70" s="3"/>
      <c r="B70" s="50"/>
      <c r="C70" s="50"/>
      <c r="D70" s="50"/>
      <c r="E70" s="60"/>
      <c r="F70" s="50"/>
      <c r="G70" s="57"/>
      <c r="H70" s="50"/>
      <c r="I70" s="57"/>
      <c r="J70" s="57"/>
      <c r="K70" s="50"/>
      <c r="L70" s="50"/>
      <c r="M70" s="50"/>
      <c r="N70" s="60"/>
      <c r="O70" s="50"/>
      <c r="P70" s="57"/>
      <c r="Q70" s="50"/>
      <c r="R70" s="57"/>
      <c r="S70" s="57"/>
      <c r="T70" s="50"/>
      <c r="U70" s="50"/>
      <c r="V70" s="50"/>
      <c r="W70" s="60"/>
      <c r="X70" s="50"/>
      <c r="Y70" s="57"/>
      <c r="Z70" s="50"/>
      <c r="AA70" s="57"/>
      <c r="AB70" s="57"/>
      <c r="AD70" s="50"/>
    </row>
    <row r="71" spans="1:30">
      <c r="A71" s="3"/>
      <c r="B71" s="50"/>
      <c r="C71" s="50"/>
      <c r="D71" s="50"/>
      <c r="E71" s="60"/>
      <c r="F71" s="50"/>
      <c r="G71" s="57"/>
      <c r="H71" s="50"/>
      <c r="I71" s="57"/>
      <c r="J71" s="57"/>
      <c r="K71" s="50"/>
      <c r="L71" s="50"/>
      <c r="M71" s="50"/>
      <c r="N71" s="60"/>
      <c r="O71" s="50"/>
      <c r="P71" s="57"/>
      <c r="Q71" s="50"/>
      <c r="R71" s="57"/>
      <c r="S71" s="57"/>
      <c r="T71" s="50"/>
      <c r="U71" s="50"/>
      <c r="V71" s="50"/>
      <c r="W71" s="60"/>
      <c r="X71" s="50"/>
      <c r="Y71" s="57"/>
      <c r="Z71" s="50"/>
      <c r="AA71" s="57"/>
      <c r="AB71" s="57"/>
      <c r="AD71" s="50"/>
    </row>
    <row r="72" spans="1:30">
      <c r="A72" s="3"/>
      <c r="B72" s="50"/>
      <c r="C72" s="50"/>
      <c r="D72" s="50"/>
      <c r="E72" s="60"/>
      <c r="F72" s="50"/>
      <c r="G72" s="57"/>
      <c r="H72" s="50"/>
      <c r="I72" s="57"/>
      <c r="J72" s="57"/>
      <c r="K72" s="50"/>
      <c r="L72" s="50"/>
      <c r="M72" s="50"/>
      <c r="N72" s="60"/>
      <c r="O72" s="50"/>
      <c r="P72" s="57"/>
      <c r="Q72" s="50"/>
      <c r="R72" s="57"/>
      <c r="S72" s="57"/>
      <c r="T72" s="50"/>
      <c r="U72" s="50"/>
      <c r="V72" s="50"/>
      <c r="W72" s="60"/>
      <c r="X72" s="50"/>
      <c r="Y72" s="57"/>
      <c r="Z72" s="50"/>
      <c r="AA72" s="57"/>
      <c r="AB72" s="57"/>
      <c r="AD72" s="50"/>
    </row>
    <row r="73" spans="1:30">
      <c r="A73" s="3"/>
      <c r="B73" s="50"/>
      <c r="C73" s="50"/>
      <c r="D73" s="50"/>
      <c r="E73" s="60"/>
      <c r="F73" s="50"/>
      <c r="G73" s="57"/>
      <c r="H73" s="50"/>
      <c r="I73" s="57"/>
      <c r="J73" s="57"/>
      <c r="K73" s="50"/>
      <c r="L73" s="50"/>
      <c r="M73" s="50"/>
      <c r="N73" s="60"/>
      <c r="O73" s="50"/>
      <c r="P73" s="57"/>
      <c r="Q73" s="50"/>
      <c r="R73" s="57"/>
      <c r="S73" s="57"/>
      <c r="T73" s="50"/>
      <c r="U73" s="50"/>
      <c r="V73" s="50"/>
      <c r="W73" s="60"/>
      <c r="X73" s="50"/>
      <c r="Y73" s="57"/>
      <c r="Z73" s="50"/>
      <c r="AA73" s="57"/>
      <c r="AB73" s="57"/>
      <c r="AD73" s="50"/>
    </row>
    <row r="74" spans="1:30">
      <c r="A74" s="3"/>
      <c r="B74" s="50"/>
      <c r="C74" s="50"/>
      <c r="D74" s="50"/>
      <c r="E74" s="60"/>
      <c r="F74" s="50"/>
      <c r="G74" s="57"/>
      <c r="H74" s="50"/>
      <c r="I74" s="57"/>
      <c r="J74" s="57"/>
      <c r="K74" s="50"/>
      <c r="L74" s="50"/>
      <c r="M74" s="50"/>
      <c r="N74" s="60"/>
      <c r="O74" s="50"/>
      <c r="P74" s="57"/>
      <c r="Q74" s="50"/>
      <c r="R74" s="57"/>
      <c r="S74" s="57"/>
      <c r="T74" s="50"/>
      <c r="U74" s="50"/>
      <c r="V74" s="50"/>
      <c r="W74" s="60"/>
      <c r="X74" s="50"/>
      <c r="Y74" s="57"/>
      <c r="Z74" s="50"/>
      <c r="AA74" s="57"/>
      <c r="AB74" s="57"/>
      <c r="AD74" s="50"/>
    </row>
    <row r="75" spans="1:30">
      <c r="A75" s="3"/>
      <c r="B75" s="50"/>
      <c r="C75" s="50"/>
      <c r="D75" s="50"/>
      <c r="E75" s="60"/>
      <c r="F75" s="50"/>
      <c r="G75" s="57"/>
      <c r="H75" s="50"/>
      <c r="I75" s="57"/>
      <c r="J75" s="57"/>
      <c r="K75" s="50"/>
      <c r="L75" s="50"/>
      <c r="M75" s="50"/>
      <c r="N75" s="60"/>
      <c r="O75" s="50"/>
      <c r="P75" s="57"/>
      <c r="Q75" s="50"/>
      <c r="R75" s="57"/>
      <c r="S75" s="57"/>
      <c r="T75" s="50"/>
      <c r="U75" s="50"/>
      <c r="V75" s="50"/>
      <c r="W75" s="60"/>
      <c r="X75" s="50"/>
      <c r="Y75" s="57"/>
      <c r="Z75" s="50"/>
      <c r="AA75" s="57"/>
      <c r="AB75" s="57"/>
      <c r="AD75" s="50"/>
    </row>
    <row r="76" spans="1:30">
      <c r="A76" s="3"/>
      <c r="B76" s="50"/>
      <c r="C76" s="50"/>
      <c r="D76" s="50"/>
      <c r="E76" s="60"/>
      <c r="F76" s="50"/>
      <c r="G76" s="57"/>
      <c r="H76" s="50"/>
      <c r="I76" s="57"/>
      <c r="J76" s="57"/>
      <c r="K76" s="50"/>
      <c r="L76" s="50"/>
      <c r="M76" s="50"/>
      <c r="N76" s="60"/>
      <c r="O76" s="50"/>
      <c r="P76" s="57"/>
      <c r="Q76" s="50"/>
      <c r="R76" s="57"/>
      <c r="S76" s="57"/>
      <c r="T76" s="50"/>
      <c r="U76" s="50"/>
      <c r="V76" s="50"/>
      <c r="W76" s="60"/>
      <c r="X76" s="50"/>
      <c r="Y76" s="57"/>
      <c r="Z76" s="50"/>
      <c r="AA76" s="57"/>
      <c r="AB76" s="57"/>
      <c r="AD76" s="50"/>
    </row>
    <row r="77" spans="1:30">
      <c r="A77" s="3"/>
      <c r="B77" s="50"/>
      <c r="C77" s="50"/>
      <c r="D77" s="50"/>
      <c r="E77" s="60"/>
      <c r="F77" s="50"/>
      <c r="G77" s="57"/>
      <c r="H77" s="50"/>
      <c r="I77" s="57"/>
      <c r="J77" s="57"/>
      <c r="K77" s="50"/>
      <c r="L77" s="50"/>
      <c r="M77" s="50"/>
      <c r="N77" s="60"/>
      <c r="O77" s="50"/>
      <c r="P77" s="57"/>
      <c r="Q77" s="50"/>
      <c r="R77" s="57"/>
      <c r="S77" s="57"/>
      <c r="T77" s="50"/>
      <c r="U77" s="50"/>
      <c r="V77" s="50"/>
      <c r="W77" s="60"/>
      <c r="X77" s="50"/>
      <c r="Y77" s="57"/>
      <c r="Z77" s="50"/>
      <c r="AA77" s="57"/>
      <c r="AB77" s="57"/>
      <c r="AD77" s="50"/>
    </row>
    <row r="78" spans="1:30">
      <c r="A78" s="3"/>
      <c r="B78" s="50"/>
      <c r="C78" s="50"/>
      <c r="D78" s="50"/>
      <c r="E78" s="60"/>
      <c r="F78" s="50"/>
      <c r="G78" s="57"/>
      <c r="H78" s="50"/>
      <c r="I78" s="57"/>
      <c r="J78" s="57"/>
      <c r="K78" s="50"/>
      <c r="L78" s="50"/>
      <c r="M78" s="50"/>
      <c r="N78" s="60"/>
      <c r="O78" s="50"/>
      <c r="P78" s="57"/>
      <c r="Q78" s="50"/>
      <c r="R78" s="57"/>
      <c r="S78" s="57"/>
      <c r="T78" s="50"/>
      <c r="U78" s="50"/>
      <c r="V78" s="50"/>
      <c r="W78" s="60"/>
      <c r="X78" s="50"/>
      <c r="Y78" s="57"/>
      <c r="Z78" s="50"/>
      <c r="AA78" s="57"/>
      <c r="AB78" s="57"/>
      <c r="AD78" s="50"/>
    </row>
    <row r="79" spans="1:30">
      <c r="A79" s="3"/>
      <c r="B79" s="50"/>
      <c r="C79" s="50"/>
      <c r="D79" s="50"/>
      <c r="E79" s="60"/>
      <c r="F79" s="50"/>
      <c r="G79" s="57"/>
      <c r="H79" s="50"/>
      <c r="I79" s="57"/>
      <c r="J79" s="57"/>
      <c r="K79" s="50"/>
      <c r="L79" s="50"/>
      <c r="M79" s="50"/>
      <c r="N79" s="60"/>
      <c r="O79" s="50"/>
      <c r="P79" s="57"/>
      <c r="Q79" s="50"/>
      <c r="R79" s="57"/>
      <c r="S79" s="57"/>
      <c r="T79" s="50"/>
      <c r="U79" s="50"/>
      <c r="V79" s="50"/>
      <c r="W79" s="60"/>
      <c r="X79" s="50"/>
      <c r="Y79" s="57"/>
      <c r="Z79" s="50"/>
      <c r="AA79" s="57"/>
      <c r="AB79" s="57"/>
      <c r="AD79" s="50"/>
    </row>
    <row r="80" spans="1:30">
      <c r="A80" s="3"/>
      <c r="B80" s="50"/>
      <c r="C80" s="50"/>
      <c r="D80" s="50"/>
      <c r="E80" s="60"/>
      <c r="F80" s="50"/>
      <c r="G80" s="57"/>
      <c r="H80" s="50"/>
      <c r="I80" s="57"/>
      <c r="J80" s="57"/>
      <c r="K80" s="50"/>
      <c r="L80" s="50"/>
      <c r="M80" s="50"/>
      <c r="N80" s="60"/>
      <c r="O80" s="50"/>
      <c r="P80" s="57"/>
      <c r="Q80" s="50"/>
      <c r="R80" s="57"/>
      <c r="S80" s="57"/>
      <c r="T80" s="50"/>
      <c r="U80" s="50"/>
      <c r="V80" s="50"/>
      <c r="W80" s="60"/>
      <c r="X80" s="50"/>
      <c r="Y80" s="57"/>
      <c r="Z80" s="50"/>
      <c r="AA80" s="57"/>
      <c r="AB80" s="57"/>
      <c r="AD80" s="50"/>
    </row>
    <row r="81" spans="1:30">
      <c r="A81" s="3"/>
      <c r="B81" s="50"/>
      <c r="C81" s="50"/>
      <c r="D81" s="50"/>
      <c r="E81" s="60"/>
      <c r="F81" s="50"/>
      <c r="G81" s="57"/>
      <c r="H81" s="50"/>
      <c r="I81" s="57"/>
      <c r="J81" s="57"/>
      <c r="K81" s="50"/>
      <c r="L81" s="50"/>
      <c r="M81" s="50"/>
      <c r="N81" s="60"/>
      <c r="O81" s="50"/>
      <c r="P81" s="57"/>
      <c r="Q81" s="50"/>
      <c r="R81" s="57"/>
      <c r="S81" s="57"/>
      <c r="T81" s="50"/>
      <c r="U81" s="50"/>
      <c r="V81" s="50"/>
      <c r="W81" s="60"/>
      <c r="X81" s="50"/>
      <c r="Y81" s="57"/>
      <c r="Z81" s="50"/>
      <c r="AA81" s="57"/>
      <c r="AB81" s="57"/>
      <c r="AD81" s="50"/>
    </row>
    <row r="82" spans="1:30">
      <c r="A82" s="3"/>
      <c r="B82" s="50"/>
      <c r="C82" s="50"/>
      <c r="D82" s="50"/>
      <c r="E82" s="60"/>
      <c r="F82" s="50"/>
      <c r="G82" s="57"/>
      <c r="H82" s="50"/>
      <c r="I82" s="57"/>
      <c r="J82" s="57"/>
      <c r="K82" s="50"/>
      <c r="L82" s="50"/>
      <c r="M82" s="50"/>
      <c r="N82" s="60"/>
      <c r="O82" s="50"/>
      <c r="P82" s="57"/>
      <c r="Q82" s="50"/>
      <c r="R82" s="57"/>
      <c r="S82" s="57"/>
      <c r="T82" s="50"/>
      <c r="U82" s="50"/>
      <c r="V82" s="50"/>
      <c r="W82" s="60"/>
      <c r="X82" s="50"/>
      <c r="Y82" s="57"/>
      <c r="Z82" s="50"/>
      <c r="AA82" s="57"/>
      <c r="AB82" s="57"/>
      <c r="AD82" s="50"/>
    </row>
    <row r="83" spans="1:30">
      <c r="A83" s="3"/>
      <c r="B83" s="50"/>
      <c r="C83" s="50"/>
      <c r="D83" s="50"/>
      <c r="E83" s="60"/>
      <c r="F83" s="50"/>
      <c r="G83" s="57"/>
      <c r="H83" s="50"/>
      <c r="I83" s="57"/>
      <c r="J83" s="57"/>
      <c r="K83" s="50"/>
      <c r="L83" s="50"/>
      <c r="M83" s="50"/>
      <c r="N83" s="60"/>
      <c r="O83" s="50"/>
      <c r="P83" s="57"/>
      <c r="Q83" s="50"/>
      <c r="R83" s="57"/>
      <c r="S83" s="57"/>
      <c r="T83" s="50"/>
      <c r="U83" s="50"/>
      <c r="V83" s="50"/>
      <c r="W83" s="60"/>
      <c r="X83" s="50"/>
      <c r="Y83" s="57"/>
      <c r="Z83" s="50"/>
      <c r="AA83" s="57"/>
      <c r="AB83" s="57"/>
      <c r="AD83" s="50"/>
    </row>
    <row r="84" spans="1:30">
      <c r="A84" s="3"/>
      <c r="B84" s="50"/>
      <c r="C84" s="50"/>
      <c r="D84" s="50"/>
      <c r="E84" s="60"/>
      <c r="F84" s="50"/>
      <c r="G84" s="57"/>
      <c r="H84" s="50"/>
      <c r="I84" s="57"/>
      <c r="J84" s="57"/>
      <c r="K84" s="50"/>
      <c r="L84" s="50"/>
      <c r="M84" s="50"/>
      <c r="N84" s="60"/>
      <c r="O84" s="50"/>
      <c r="P84" s="57"/>
      <c r="Q84" s="50"/>
      <c r="R84" s="57"/>
      <c r="S84" s="57"/>
      <c r="T84" s="50"/>
      <c r="U84" s="50"/>
      <c r="V84" s="50"/>
      <c r="W84" s="60"/>
      <c r="X84" s="50"/>
      <c r="Y84" s="57"/>
      <c r="Z84" s="50"/>
      <c r="AA84" s="57"/>
      <c r="AB84" s="57"/>
      <c r="AD84" s="50"/>
    </row>
    <row r="85" spans="1:30">
      <c r="A85" s="3"/>
      <c r="B85" s="50"/>
      <c r="C85" s="50"/>
      <c r="D85" s="50"/>
      <c r="E85" s="60"/>
      <c r="F85" s="50"/>
      <c r="G85" s="57"/>
      <c r="H85" s="50"/>
      <c r="I85" s="57"/>
      <c r="J85" s="57"/>
      <c r="K85" s="50"/>
      <c r="L85" s="50"/>
      <c r="M85" s="50"/>
      <c r="N85" s="60"/>
      <c r="O85" s="50"/>
      <c r="P85" s="57"/>
      <c r="Q85" s="50"/>
      <c r="R85" s="57"/>
      <c r="S85" s="57"/>
      <c r="T85" s="50"/>
      <c r="U85" s="50"/>
      <c r="V85" s="50"/>
      <c r="W85" s="60"/>
      <c r="X85" s="50"/>
      <c r="Y85" s="57"/>
      <c r="Z85" s="50"/>
      <c r="AA85" s="57"/>
      <c r="AB85" s="57"/>
      <c r="AD85" s="50"/>
    </row>
    <row r="86" spans="1:30">
      <c r="A86" s="3"/>
      <c r="B86" s="50"/>
      <c r="C86" s="50"/>
      <c r="D86" s="50"/>
      <c r="E86" s="60"/>
      <c r="F86" s="50"/>
      <c r="G86" s="57"/>
      <c r="H86" s="50"/>
      <c r="I86" s="57"/>
      <c r="J86" s="57"/>
      <c r="K86" s="50"/>
      <c r="L86" s="50"/>
      <c r="M86" s="50"/>
      <c r="N86" s="60"/>
      <c r="O86" s="50"/>
      <c r="P86" s="57"/>
      <c r="Q86" s="50"/>
      <c r="R86" s="57"/>
      <c r="S86" s="57"/>
      <c r="T86" s="50"/>
      <c r="U86" s="50"/>
      <c r="V86" s="50"/>
      <c r="W86" s="60"/>
      <c r="X86" s="50"/>
      <c r="Y86" s="57"/>
      <c r="Z86" s="50"/>
      <c r="AA86" s="57"/>
      <c r="AB86" s="57"/>
      <c r="AD86" s="50"/>
    </row>
    <row r="87" spans="1:30">
      <c r="A87" s="3"/>
      <c r="B87" s="50"/>
      <c r="C87" s="50"/>
      <c r="D87" s="50"/>
      <c r="E87" s="60"/>
      <c r="F87" s="50"/>
      <c r="G87" s="57"/>
      <c r="H87" s="50"/>
      <c r="I87" s="57"/>
      <c r="J87" s="57"/>
      <c r="K87" s="50"/>
      <c r="L87" s="50"/>
      <c r="M87" s="50"/>
      <c r="N87" s="60"/>
      <c r="O87" s="50"/>
      <c r="P87" s="57"/>
      <c r="Q87" s="50"/>
      <c r="R87" s="57"/>
      <c r="S87" s="57"/>
      <c r="T87" s="50"/>
      <c r="U87" s="50"/>
      <c r="V87" s="50"/>
      <c r="W87" s="60"/>
      <c r="X87" s="50"/>
      <c r="Y87" s="57"/>
      <c r="Z87" s="50"/>
      <c r="AA87" s="57"/>
      <c r="AB87" s="57"/>
      <c r="AD87" s="50"/>
    </row>
    <row r="88" spans="1:30">
      <c r="A88" s="3"/>
      <c r="B88" s="50"/>
      <c r="C88" s="50"/>
      <c r="D88" s="50"/>
      <c r="E88" s="60"/>
      <c r="F88" s="50"/>
      <c r="G88" s="57"/>
      <c r="H88" s="50"/>
      <c r="I88" s="57"/>
      <c r="J88" s="57"/>
      <c r="K88" s="50"/>
      <c r="L88" s="50"/>
      <c r="M88" s="50"/>
      <c r="N88" s="60"/>
      <c r="O88" s="50"/>
      <c r="P88" s="57"/>
      <c r="Q88" s="50"/>
      <c r="R88" s="57"/>
      <c r="S88" s="57"/>
      <c r="T88" s="50"/>
      <c r="U88" s="50"/>
      <c r="V88" s="50"/>
      <c r="W88" s="60"/>
      <c r="X88" s="50"/>
      <c r="Y88" s="57"/>
      <c r="Z88" s="50"/>
      <c r="AA88" s="57"/>
      <c r="AB88" s="57"/>
      <c r="AD88" s="50"/>
    </row>
    <row r="89" spans="1:30">
      <c r="A89" s="3"/>
      <c r="B89" s="50"/>
      <c r="C89" s="50"/>
      <c r="D89" s="50"/>
      <c r="E89" s="60"/>
      <c r="F89" s="50"/>
      <c r="G89" s="57"/>
      <c r="H89" s="50"/>
      <c r="I89" s="57"/>
      <c r="J89" s="57"/>
      <c r="K89" s="50"/>
      <c r="L89" s="50"/>
      <c r="M89" s="50"/>
      <c r="N89" s="60"/>
      <c r="O89" s="50"/>
      <c r="P89" s="57"/>
      <c r="Q89" s="50"/>
      <c r="R89" s="57"/>
      <c r="S89" s="57"/>
      <c r="T89" s="50"/>
      <c r="U89" s="50"/>
      <c r="V89" s="50"/>
      <c r="W89" s="60"/>
      <c r="X89" s="50"/>
      <c r="Y89" s="57"/>
      <c r="Z89" s="50"/>
      <c r="AA89" s="57"/>
      <c r="AB89" s="57"/>
      <c r="AD89" s="50"/>
    </row>
    <row r="90" spans="1:30">
      <c r="A90" s="3"/>
      <c r="B90" s="50"/>
      <c r="C90" s="50"/>
      <c r="D90" s="50"/>
      <c r="E90" s="60"/>
      <c r="F90" s="50"/>
      <c r="G90" s="57"/>
      <c r="H90" s="50"/>
      <c r="I90" s="57"/>
      <c r="J90" s="57"/>
      <c r="K90" s="50"/>
      <c r="L90" s="50"/>
      <c r="M90" s="50"/>
      <c r="N90" s="60"/>
      <c r="O90" s="50"/>
      <c r="P90" s="57"/>
      <c r="Q90" s="50"/>
      <c r="R90" s="57"/>
      <c r="S90" s="57"/>
      <c r="T90" s="50"/>
      <c r="U90" s="50"/>
      <c r="V90" s="50"/>
      <c r="W90" s="60"/>
      <c r="X90" s="50"/>
      <c r="Y90" s="57"/>
      <c r="Z90" s="50"/>
      <c r="AA90" s="57"/>
      <c r="AB90" s="57"/>
      <c r="AD90" s="50"/>
    </row>
    <row r="91" spans="1:30">
      <c r="A91" s="3"/>
      <c r="B91" s="50"/>
      <c r="C91" s="50"/>
      <c r="D91" s="50"/>
      <c r="E91" s="60"/>
      <c r="F91" s="50"/>
      <c r="G91" s="57"/>
      <c r="H91" s="50"/>
      <c r="I91" s="57"/>
      <c r="J91" s="57"/>
      <c r="K91" s="50"/>
      <c r="L91" s="50"/>
      <c r="M91" s="50"/>
      <c r="N91" s="60"/>
      <c r="O91" s="50"/>
      <c r="P91" s="57"/>
      <c r="Q91" s="50"/>
      <c r="R91" s="57"/>
      <c r="S91" s="57"/>
      <c r="T91" s="50"/>
      <c r="U91" s="50"/>
      <c r="V91" s="50"/>
      <c r="W91" s="60"/>
      <c r="X91" s="50"/>
      <c r="Y91" s="57"/>
      <c r="Z91" s="50"/>
      <c r="AA91" s="57"/>
      <c r="AB91" s="57"/>
      <c r="AD91" s="50"/>
    </row>
    <row r="92" spans="1:30">
      <c r="A92" s="3"/>
      <c r="B92" s="50"/>
      <c r="C92" s="50"/>
      <c r="D92" s="50"/>
      <c r="E92" s="60"/>
      <c r="F92" s="50"/>
      <c r="G92" s="57"/>
      <c r="H92" s="50"/>
      <c r="I92" s="57"/>
      <c r="J92" s="57"/>
      <c r="K92" s="50"/>
      <c r="L92" s="50"/>
      <c r="M92" s="50"/>
      <c r="N92" s="60"/>
      <c r="O92" s="50"/>
      <c r="P92" s="57"/>
      <c r="Q92" s="50"/>
      <c r="R92" s="57"/>
      <c r="S92" s="57"/>
      <c r="T92" s="50"/>
      <c r="U92" s="50"/>
      <c r="V92" s="50"/>
      <c r="W92" s="60"/>
      <c r="X92" s="50"/>
      <c r="Y92" s="57"/>
      <c r="Z92" s="50"/>
      <c r="AA92" s="57"/>
      <c r="AB92" s="57"/>
      <c r="AD92" s="50"/>
    </row>
    <row r="93" spans="1:30">
      <c r="A93" s="3"/>
      <c r="B93" s="50"/>
      <c r="C93" s="50"/>
      <c r="D93" s="50"/>
      <c r="E93" s="60"/>
      <c r="F93" s="50"/>
      <c r="G93" s="57"/>
      <c r="H93" s="50"/>
      <c r="I93" s="57"/>
      <c r="J93" s="57"/>
      <c r="K93" s="50"/>
      <c r="L93" s="50"/>
      <c r="M93" s="50"/>
      <c r="N93" s="60"/>
      <c r="O93" s="50"/>
      <c r="P93" s="57"/>
      <c r="Q93" s="50"/>
      <c r="R93" s="57"/>
      <c r="S93" s="57"/>
      <c r="T93" s="50"/>
      <c r="U93" s="50"/>
      <c r="V93" s="50"/>
      <c r="W93" s="60"/>
      <c r="X93" s="50"/>
      <c r="Y93" s="57"/>
      <c r="Z93" s="50"/>
      <c r="AA93" s="57"/>
      <c r="AB93" s="57"/>
      <c r="AD93" s="50"/>
    </row>
    <row r="94" spans="1:30">
      <c r="A94" s="3"/>
      <c r="B94" s="50"/>
      <c r="C94" s="50"/>
      <c r="D94" s="50"/>
      <c r="E94" s="60"/>
      <c r="F94" s="50"/>
      <c r="G94" s="57"/>
      <c r="H94" s="50"/>
      <c r="I94" s="57"/>
      <c r="J94" s="57"/>
      <c r="K94" s="50"/>
      <c r="L94" s="50"/>
      <c r="M94" s="50"/>
      <c r="N94" s="60"/>
      <c r="O94" s="50"/>
      <c r="P94" s="57"/>
      <c r="Q94" s="50"/>
      <c r="R94" s="57"/>
      <c r="S94" s="57"/>
      <c r="T94" s="50"/>
      <c r="U94" s="50"/>
      <c r="V94" s="50"/>
      <c r="W94" s="60"/>
      <c r="X94" s="50"/>
      <c r="Y94" s="57"/>
      <c r="Z94" s="50"/>
      <c r="AA94" s="57"/>
      <c r="AB94" s="57"/>
      <c r="AD94" s="50"/>
    </row>
    <row r="95" spans="1:30">
      <c r="A95" s="3"/>
      <c r="B95" s="50"/>
      <c r="C95" s="50"/>
      <c r="D95" s="50"/>
      <c r="E95" s="60"/>
      <c r="F95" s="50"/>
      <c r="G95" s="57"/>
      <c r="H95" s="50"/>
      <c r="I95" s="57"/>
      <c r="J95" s="57"/>
      <c r="K95" s="50"/>
      <c r="L95" s="50"/>
      <c r="M95" s="50"/>
      <c r="N95" s="60"/>
      <c r="O95" s="50"/>
      <c r="P95" s="57"/>
      <c r="Q95" s="50"/>
      <c r="R95" s="57"/>
      <c r="S95" s="57"/>
      <c r="T95" s="50"/>
      <c r="U95" s="50"/>
      <c r="V95" s="50"/>
      <c r="W95" s="60"/>
      <c r="X95" s="50"/>
      <c r="Y95" s="57"/>
      <c r="Z95" s="50"/>
      <c r="AA95" s="57"/>
      <c r="AB95" s="57"/>
      <c r="AD95" s="50"/>
    </row>
    <row r="96" spans="1:30">
      <c r="A96" s="3"/>
      <c r="B96" s="50"/>
      <c r="C96" s="50"/>
      <c r="D96" s="50"/>
      <c r="E96" s="60"/>
      <c r="F96" s="50"/>
      <c r="G96" s="57"/>
      <c r="H96" s="50"/>
      <c r="I96" s="57"/>
      <c r="J96" s="57"/>
      <c r="K96" s="50"/>
      <c r="L96" s="50"/>
      <c r="M96" s="50"/>
      <c r="N96" s="60"/>
      <c r="O96" s="50"/>
      <c r="P96" s="57"/>
      <c r="Q96" s="50"/>
      <c r="R96" s="57"/>
      <c r="S96" s="57"/>
      <c r="T96" s="50"/>
      <c r="U96" s="50"/>
      <c r="V96" s="50"/>
      <c r="W96" s="60"/>
      <c r="X96" s="50"/>
      <c r="Y96" s="57"/>
      <c r="Z96" s="50"/>
      <c r="AA96" s="57"/>
      <c r="AB96" s="57"/>
      <c r="AD96" s="50"/>
    </row>
    <row r="97" spans="1:30">
      <c r="A97" s="3"/>
      <c r="B97" s="50"/>
      <c r="C97" s="50"/>
      <c r="D97" s="50"/>
      <c r="E97" s="60"/>
      <c r="F97" s="50"/>
      <c r="G97" s="57"/>
      <c r="H97" s="50"/>
      <c r="I97" s="57"/>
      <c r="J97" s="57"/>
      <c r="K97" s="50"/>
      <c r="L97" s="50"/>
      <c r="M97" s="50"/>
      <c r="N97" s="60"/>
      <c r="O97" s="50"/>
      <c r="P97" s="57"/>
      <c r="Q97" s="50"/>
      <c r="R97" s="57"/>
      <c r="S97" s="57"/>
      <c r="T97" s="50"/>
      <c r="U97" s="50"/>
      <c r="V97" s="50"/>
      <c r="W97" s="60"/>
      <c r="X97" s="50"/>
      <c r="Y97" s="57"/>
      <c r="Z97" s="50"/>
      <c r="AA97" s="57"/>
      <c r="AB97" s="57"/>
      <c r="AD97" s="50"/>
    </row>
    <row r="98" spans="1:30">
      <c r="A98" s="3"/>
      <c r="B98" s="50"/>
      <c r="C98" s="50"/>
      <c r="D98" s="50"/>
      <c r="E98" s="60"/>
      <c r="F98" s="50"/>
      <c r="G98" s="57"/>
      <c r="H98" s="50"/>
      <c r="I98" s="57"/>
      <c r="J98" s="57"/>
      <c r="K98" s="50"/>
      <c r="L98" s="50"/>
      <c r="M98" s="50"/>
      <c r="N98" s="60"/>
      <c r="O98" s="50"/>
      <c r="P98" s="57"/>
      <c r="Q98" s="50"/>
      <c r="R98" s="57"/>
      <c r="S98" s="57"/>
      <c r="T98" s="50"/>
      <c r="U98" s="50"/>
      <c r="V98" s="50"/>
      <c r="W98" s="60"/>
      <c r="X98" s="50"/>
      <c r="Y98" s="57"/>
      <c r="Z98" s="50"/>
      <c r="AA98" s="57"/>
      <c r="AB98" s="57"/>
      <c r="AD98" s="50"/>
    </row>
    <row r="99" spans="1:30">
      <c r="A99" s="3"/>
      <c r="B99" s="50"/>
      <c r="C99" s="50"/>
      <c r="D99" s="50"/>
      <c r="E99" s="60"/>
      <c r="F99" s="50"/>
      <c r="G99" s="57"/>
      <c r="H99" s="50"/>
      <c r="I99" s="57"/>
      <c r="J99" s="57"/>
      <c r="K99" s="50"/>
      <c r="L99" s="50"/>
      <c r="M99" s="50"/>
      <c r="N99" s="60"/>
      <c r="O99" s="50"/>
      <c r="P99" s="57"/>
      <c r="Q99" s="50"/>
      <c r="R99" s="57"/>
      <c r="S99" s="57"/>
      <c r="T99" s="50"/>
      <c r="U99" s="50"/>
      <c r="V99" s="50"/>
      <c r="W99" s="60"/>
      <c r="X99" s="50"/>
      <c r="Y99" s="57"/>
      <c r="Z99" s="50"/>
      <c r="AA99" s="57"/>
      <c r="AB99" s="57"/>
      <c r="AD99" s="50"/>
    </row>
    <row r="100" spans="1:30">
      <c r="A100" s="3"/>
      <c r="B100" s="50"/>
      <c r="C100" s="50"/>
      <c r="D100" s="50"/>
      <c r="E100" s="60"/>
      <c r="F100" s="50"/>
      <c r="G100" s="57"/>
      <c r="H100" s="50"/>
      <c r="I100" s="57"/>
      <c r="J100" s="57"/>
      <c r="K100" s="50"/>
      <c r="L100" s="50"/>
      <c r="M100" s="50"/>
      <c r="N100" s="60"/>
      <c r="O100" s="50"/>
      <c r="P100" s="57"/>
      <c r="Q100" s="50"/>
      <c r="R100" s="57"/>
      <c r="S100" s="57"/>
      <c r="T100" s="50"/>
      <c r="U100" s="50"/>
      <c r="V100" s="50"/>
      <c r="W100" s="60"/>
      <c r="X100" s="50"/>
      <c r="Y100" s="57"/>
      <c r="Z100" s="50"/>
      <c r="AA100" s="57"/>
      <c r="AB100" s="57"/>
      <c r="AD100" s="50"/>
    </row>
    <row r="101" spans="1:30">
      <c r="A101" s="3"/>
      <c r="B101" s="50"/>
      <c r="C101" s="50"/>
      <c r="D101" s="50"/>
      <c r="E101" s="60"/>
      <c r="F101" s="50"/>
      <c r="G101" s="57"/>
      <c r="H101" s="50"/>
      <c r="I101" s="57"/>
      <c r="J101" s="57"/>
      <c r="K101" s="50"/>
      <c r="L101" s="50"/>
      <c r="M101" s="50"/>
      <c r="N101" s="60"/>
      <c r="O101" s="50"/>
      <c r="P101" s="57"/>
      <c r="Q101" s="50"/>
      <c r="R101" s="57"/>
      <c r="S101" s="57"/>
      <c r="T101" s="50"/>
      <c r="U101" s="50"/>
      <c r="V101" s="50"/>
      <c r="W101" s="60"/>
      <c r="X101" s="50"/>
      <c r="Y101" s="57"/>
      <c r="Z101" s="50"/>
      <c r="AA101" s="57"/>
      <c r="AB101" s="57"/>
      <c r="AD101" s="50"/>
    </row>
    <row r="102" spans="1:30">
      <c r="A102" s="3"/>
      <c r="B102" s="50"/>
      <c r="C102" s="50"/>
      <c r="D102" s="50"/>
      <c r="E102" s="60"/>
      <c r="F102" s="50"/>
      <c r="G102" s="57"/>
      <c r="H102" s="50"/>
      <c r="I102" s="57"/>
      <c r="J102" s="57"/>
      <c r="K102" s="50"/>
      <c r="L102" s="50"/>
      <c r="M102" s="50"/>
      <c r="N102" s="60"/>
      <c r="O102" s="50"/>
      <c r="P102" s="57"/>
      <c r="Q102" s="50"/>
      <c r="R102" s="57"/>
      <c r="S102" s="57"/>
      <c r="T102" s="50"/>
      <c r="U102" s="50"/>
      <c r="V102" s="50"/>
      <c r="W102" s="60"/>
      <c r="X102" s="50"/>
      <c r="Y102" s="57"/>
      <c r="Z102" s="50"/>
      <c r="AA102" s="57"/>
      <c r="AB102" s="57"/>
      <c r="AD102" s="50"/>
    </row>
    <row r="103" spans="1:30">
      <c r="A103" s="3"/>
      <c r="B103" s="50"/>
      <c r="C103" s="50"/>
      <c r="D103" s="50"/>
      <c r="E103" s="60"/>
      <c r="F103" s="50"/>
      <c r="G103" s="57"/>
      <c r="H103" s="50"/>
      <c r="I103" s="57"/>
      <c r="J103" s="57"/>
      <c r="K103" s="50"/>
      <c r="L103" s="50"/>
      <c r="M103" s="50"/>
      <c r="N103" s="60"/>
      <c r="O103" s="50"/>
      <c r="P103" s="57"/>
      <c r="Q103" s="50"/>
      <c r="R103" s="57"/>
      <c r="S103" s="57"/>
      <c r="T103" s="50"/>
      <c r="U103" s="50"/>
      <c r="V103" s="50"/>
      <c r="W103" s="60"/>
      <c r="X103" s="50"/>
      <c r="Y103" s="57"/>
      <c r="Z103" s="50"/>
      <c r="AA103" s="57"/>
      <c r="AB103" s="57"/>
      <c r="AD103" s="50"/>
    </row>
    <row r="104" spans="1:30">
      <c r="A104" s="3"/>
      <c r="B104" s="50"/>
      <c r="C104" s="50"/>
      <c r="D104" s="50"/>
      <c r="E104" s="60"/>
      <c r="F104" s="50"/>
      <c r="G104" s="57"/>
      <c r="H104" s="50"/>
      <c r="I104" s="57"/>
      <c r="J104" s="57"/>
      <c r="K104" s="50"/>
      <c r="L104" s="50"/>
      <c r="M104" s="50"/>
      <c r="N104" s="60"/>
      <c r="O104" s="50"/>
      <c r="P104" s="57"/>
      <c r="Q104" s="50"/>
      <c r="R104" s="57"/>
      <c r="S104" s="57"/>
      <c r="T104" s="50"/>
      <c r="U104" s="50"/>
      <c r="V104" s="50"/>
      <c r="W104" s="60"/>
      <c r="X104" s="50"/>
      <c r="Y104" s="57"/>
      <c r="Z104" s="50"/>
      <c r="AA104" s="57"/>
      <c r="AB104" s="57"/>
      <c r="AD104" s="50"/>
    </row>
    <row r="105" spans="1:30">
      <c r="A105" s="3"/>
      <c r="B105" s="50"/>
      <c r="C105" s="50"/>
      <c r="D105" s="50"/>
      <c r="E105" s="60"/>
      <c r="F105" s="50"/>
      <c r="G105" s="57"/>
      <c r="H105" s="50"/>
      <c r="I105" s="57"/>
      <c r="J105" s="57"/>
      <c r="K105" s="50"/>
      <c r="L105" s="50"/>
      <c r="M105" s="50"/>
      <c r="N105" s="60"/>
      <c r="O105" s="50"/>
      <c r="P105" s="57"/>
      <c r="Q105" s="50"/>
      <c r="R105" s="57"/>
      <c r="S105" s="57"/>
      <c r="T105" s="50"/>
      <c r="U105" s="50"/>
      <c r="V105" s="50"/>
      <c r="W105" s="60"/>
      <c r="X105" s="50"/>
      <c r="Y105" s="57"/>
      <c r="Z105" s="50"/>
      <c r="AA105" s="57"/>
      <c r="AB105" s="57"/>
    </row>
    <row r="106" spans="1:30">
      <c r="A106" s="3"/>
      <c r="B106" s="50"/>
      <c r="C106" s="50"/>
      <c r="D106" s="50"/>
      <c r="E106" s="60"/>
      <c r="F106" s="50"/>
      <c r="G106" s="57"/>
      <c r="H106" s="50"/>
      <c r="I106" s="57"/>
      <c r="J106" s="57"/>
      <c r="K106" s="50"/>
      <c r="L106" s="50"/>
      <c r="M106" s="50"/>
      <c r="N106" s="60"/>
      <c r="O106" s="50"/>
      <c r="P106" s="57"/>
      <c r="Q106" s="50"/>
      <c r="R106" s="57"/>
      <c r="S106" s="57"/>
      <c r="T106" s="50"/>
      <c r="U106" s="50"/>
      <c r="V106" s="50"/>
      <c r="W106" s="60"/>
      <c r="X106" s="50"/>
      <c r="Y106" s="57"/>
      <c r="Z106" s="50"/>
      <c r="AA106" s="57"/>
      <c r="AB106" s="57"/>
      <c r="AD106" s="50"/>
    </row>
    <row r="107" spans="1:30">
      <c r="AD107" s="50"/>
    </row>
    <row r="108" spans="1:30">
      <c r="AD108" s="50"/>
    </row>
    <row r="109" spans="1:30">
      <c r="AD109" s="50"/>
    </row>
    <row r="110" spans="1:30">
      <c r="AD110" s="50"/>
    </row>
    <row r="111" spans="1:30">
      <c r="AD111" s="50"/>
    </row>
    <row r="112" spans="1:30">
      <c r="AD112" s="50"/>
    </row>
    <row r="113" spans="30:30">
      <c r="AD113" s="50"/>
    </row>
    <row r="114" spans="30:30">
      <c r="AD114" s="50"/>
    </row>
    <row r="115" spans="30:30">
      <c r="AD115" s="50"/>
    </row>
    <row r="116" spans="30:30">
      <c r="AD116" s="50"/>
    </row>
    <row r="117" spans="30:30">
      <c r="AD117" s="50"/>
    </row>
    <row r="118" spans="30:30">
      <c r="AD118" s="50"/>
    </row>
    <row r="119" spans="30:30">
      <c r="AD119" s="50"/>
    </row>
    <row r="120" spans="30:30">
      <c r="AD120" s="50"/>
    </row>
    <row r="121" spans="30:30">
      <c r="AD121" s="50"/>
    </row>
    <row r="122" spans="30:30">
      <c r="AD122" s="50"/>
    </row>
    <row r="123" spans="30:30">
      <c r="AD123" s="50"/>
    </row>
    <row r="124" spans="30:30">
      <c r="AD124" s="50"/>
    </row>
    <row r="125" spans="30:30">
      <c r="AD125" s="50"/>
    </row>
    <row r="126" spans="30:30">
      <c r="AD126" s="50"/>
    </row>
    <row r="127" spans="30:30">
      <c r="AD127" s="50"/>
    </row>
    <row r="128" spans="30:30">
      <c r="AD128" s="50"/>
    </row>
    <row r="129" spans="30:30">
      <c r="AD129" s="50"/>
    </row>
    <row r="130" spans="30:30">
      <c r="AD130" s="50"/>
    </row>
    <row r="131" spans="30:30">
      <c r="AD131" s="50"/>
    </row>
    <row r="132" spans="30:30">
      <c r="AD132" s="50"/>
    </row>
    <row r="133" spans="30:30">
      <c r="AD133" s="50"/>
    </row>
    <row r="134" spans="30:30">
      <c r="AD134" s="50"/>
    </row>
  </sheetData>
  <sheetProtection password="DBAF" sheet="1" objects="1" scenarios="1" selectLockedCells="1"/>
  <mergeCells count="6">
    <mergeCell ref="B1:I1"/>
    <mergeCell ref="B2:AK2"/>
    <mergeCell ref="K3:S3"/>
    <mergeCell ref="B3:J3"/>
    <mergeCell ref="T3:AB3"/>
    <mergeCell ref="AC3:AK3"/>
  </mergeCells>
  <dataValidations count="1">
    <dataValidation type="list" allowBlank="1" showInputMessage="1" showErrorMessage="1" sqref="J1">
      <formula1>"2008, 2009, 2010, 2011, 2012, 2013, 2014, 2015"</formula1>
    </dataValidation>
  </dataValidation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&amp;CPage &amp;P</oddFooter>
  </headerFooter>
  <ignoredErrors>
    <ignoredError sqref="O28" evalError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BE82"/>
  <sheetViews>
    <sheetView topLeftCell="A4" zoomScale="70" zoomScaleNormal="70" workbookViewId="0">
      <selection activeCell="N24" sqref="N24"/>
    </sheetView>
  </sheetViews>
  <sheetFormatPr baseColWidth="10" defaultColWidth="11.5703125" defaultRowHeight="14.25"/>
  <cols>
    <col min="1" max="1" width="6" style="4" customWidth="1"/>
    <col min="2" max="2" width="4.5703125" style="4" customWidth="1"/>
    <col min="3" max="3" width="4.42578125" style="4" customWidth="1"/>
    <col min="4" max="4" width="4.85546875" style="4" customWidth="1"/>
    <col min="5" max="5" width="8.42578125" style="4" customWidth="1"/>
    <col min="6" max="6" width="8.140625" style="4" customWidth="1"/>
    <col min="7" max="7" width="4.5703125" style="4" customWidth="1"/>
    <col min="8" max="8" width="4.42578125" style="4" customWidth="1"/>
    <col min="9" max="9" width="4.85546875" style="4" customWidth="1"/>
    <col min="10" max="10" width="8.42578125" style="4" customWidth="1"/>
    <col min="11" max="11" width="8.140625" style="4" customWidth="1"/>
    <col min="12" max="12" width="4.5703125" style="4" customWidth="1"/>
    <col min="13" max="13" width="4.42578125" style="4" customWidth="1"/>
    <col min="14" max="14" width="4.85546875" style="4" customWidth="1"/>
    <col min="15" max="15" width="8.42578125" style="4" customWidth="1"/>
    <col min="16" max="16" width="8.140625" style="4" customWidth="1"/>
    <col min="17" max="17" width="4.5703125" style="4" customWidth="1"/>
    <col min="18" max="18" width="4.42578125" style="4" customWidth="1"/>
    <col min="19" max="19" width="4.85546875" style="4" customWidth="1"/>
    <col min="20" max="20" width="8.42578125" style="4" customWidth="1"/>
    <col min="21" max="21" width="8.140625" style="4" customWidth="1"/>
    <col min="22" max="22" width="4.5703125" style="4" customWidth="1"/>
    <col min="23" max="23" width="4.42578125" style="4" customWidth="1"/>
    <col min="24" max="24" width="4.85546875" style="4" customWidth="1"/>
    <col min="25" max="25" width="8.42578125" style="4" customWidth="1"/>
    <col min="26" max="26" width="8.140625" style="4" customWidth="1"/>
    <col min="27" max="16384" width="11.5703125" style="4"/>
  </cols>
  <sheetData>
    <row r="1" spans="1:57" ht="27" thickTop="1" thickBot="1">
      <c r="A1" s="3"/>
      <c r="B1" s="120" t="s">
        <v>12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2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</row>
    <row r="2" spans="1:57" ht="15.75" thickTop="1" thickBot="1">
      <c r="A2" s="3"/>
      <c r="B2" s="135" t="s">
        <v>36</v>
      </c>
      <c r="C2" s="136"/>
      <c r="D2" s="136"/>
      <c r="E2" s="136"/>
      <c r="F2" s="137"/>
      <c r="G2" s="135" t="s">
        <v>37</v>
      </c>
      <c r="H2" s="136"/>
      <c r="I2" s="136"/>
      <c r="J2" s="136"/>
      <c r="K2" s="137"/>
      <c r="L2" s="135" t="s">
        <v>38</v>
      </c>
      <c r="M2" s="136"/>
      <c r="N2" s="136"/>
      <c r="O2" s="136"/>
      <c r="P2" s="137"/>
      <c r="Q2" s="135" t="s">
        <v>39</v>
      </c>
      <c r="R2" s="136"/>
      <c r="S2" s="136"/>
      <c r="T2" s="136"/>
      <c r="U2" s="137"/>
      <c r="V2" s="135" t="s">
        <v>40</v>
      </c>
      <c r="W2" s="136"/>
      <c r="X2" s="136"/>
      <c r="Y2" s="136"/>
      <c r="Z2" s="138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</row>
    <row r="3" spans="1:57" ht="15" thickBot="1">
      <c r="A3" s="3"/>
      <c r="B3" s="5" t="s">
        <v>15</v>
      </c>
      <c r="C3" s="6" t="s">
        <v>16</v>
      </c>
      <c r="D3" s="7" t="s">
        <v>17</v>
      </c>
      <c r="E3" s="7" t="s">
        <v>18</v>
      </c>
      <c r="F3" s="6" t="s">
        <v>19</v>
      </c>
      <c r="G3" s="5" t="s">
        <v>15</v>
      </c>
      <c r="H3" s="6" t="s">
        <v>16</v>
      </c>
      <c r="I3" s="7" t="s">
        <v>17</v>
      </c>
      <c r="J3" s="7" t="s">
        <v>18</v>
      </c>
      <c r="K3" s="6" t="s">
        <v>19</v>
      </c>
      <c r="L3" s="5" t="s">
        <v>15</v>
      </c>
      <c r="M3" s="6" t="s">
        <v>16</v>
      </c>
      <c r="N3" s="7" t="s">
        <v>17</v>
      </c>
      <c r="O3" s="7" t="s">
        <v>18</v>
      </c>
      <c r="P3" s="6" t="s">
        <v>19</v>
      </c>
      <c r="Q3" s="5" t="s">
        <v>15</v>
      </c>
      <c r="R3" s="6" t="s">
        <v>16</v>
      </c>
      <c r="S3" s="7" t="s">
        <v>17</v>
      </c>
      <c r="T3" s="7" t="s">
        <v>18</v>
      </c>
      <c r="U3" s="6" t="s">
        <v>19</v>
      </c>
      <c r="V3" s="5" t="s">
        <v>15</v>
      </c>
      <c r="W3" s="6" t="s">
        <v>16</v>
      </c>
      <c r="X3" s="7" t="s">
        <v>17</v>
      </c>
      <c r="Y3" s="7" t="s">
        <v>18</v>
      </c>
      <c r="Z3" s="6" t="s">
        <v>19</v>
      </c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</row>
    <row r="4" spans="1:57">
      <c r="A4" s="3"/>
      <c r="B4" s="5" t="s">
        <v>24</v>
      </c>
      <c r="C4" s="6" t="s">
        <v>24</v>
      </c>
      <c r="D4" s="7">
        <v>1</v>
      </c>
      <c r="E4" s="7" t="s">
        <v>25</v>
      </c>
      <c r="F4" s="6" t="s">
        <v>26</v>
      </c>
      <c r="G4" s="5" t="s">
        <v>24</v>
      </c>
      <c r="H4" s="6" t="s">
        <v>24</v>
      </c>
      <c r="I4" s="7">
        <v>1</v>
      </c>
      <c r="J4" s="7" t="s">
        <v>25</v>
      </c>
      <c r="K4" s="6" t="s">
        <v>26</v>
      </c>
      <c r="L4" s="5" t="s">
        <v>24</v>
      </c>
      <c r="M4" s="6" t="s">
        <v>24</v>
      </c>
      <c r="N4" s="7">
        <v>1</v>
      </c>
      <c r="O4" s="7" t="s">
        <v>25</v>
      </c>
      <c r="P4" s="6" t="s">
        <v>26</v>
      </c>
      <c r="Q4" s="5" t="s">
        <v>24</v>
      </c>
      <c r="R4" s="6" t="s">
        <v>24</v>
      </c>
      <c r="S4" s="7">
        <v>1</v>
      </c>
      <c r="T4" s="7" t="s">
        <v>25</v>
      </c>
      <c r="U4" s="6" t="s">
        <v>26</v>
      </c>
      <c r="V4" s="5" t="s">
        <v>24</v>
      </c>
      <c r="W4" s="6" t="s">
        <v>24</v>
      </c>
      <c r="X4" s="7">
        <v>1</v>
      </c>
      <c r="Y4" s="7" t="s">
        <v>25</v>
      </c>
      <c r="Z4" s="6" t="s">
        <v>26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</row>
    <row r="5" spans="1:57">
      <c r="A5" s="24">
        <v>2008</v>
      </c>
      <c r="B5" s="25">
        <v>2</v>
      </c>
      <c r="C5" s="26">
        <v>7.7</v>
      </c>
      <c r="D5" s="25">
        <v>5.7</v>
      </c>
      <c r="E5" s="26">
        <v>0.15</v>
      </c>
      <c r="F5" s="27">
        <v>21</v>
      </c>
      <c r="G5" s="26">
        <v>4.2</v>
      </c>
      <c r="H5" s="25">
        <v>6.8</v>
      </c>
      <c r="I5" s="26">
        <v>6.2</v>
      </c>
      <c r="J5" s="25">
        <v>0.2</v>
      </c>
      <c r="K5" s="28">
        <v>17.5</v>
      </c>
      <c r="L5" s="25">
        <v>3</v>
      </c>
      <c r="M5" s="26">
        <v>5.2</v>
      </c>
      <c r="N5" s="25">
        <v>6.1</v>
      </c>
      <c r="O5" s="26">
        <v>0.15</v>
      </c>
      <c r="P5" s="27">
        <v>13.6</v>
      </c>
      <c r="Q5" s="26">
        <v>3.1</v>
      </c>
      <c r="R5" s="25">
        <v>6.2</v>
      </c>
      <c r="S5" s="26">
        <v>6</v>
      </c>
      <c r="T5" s="25">
        <v>0.2</v>
      </c>
      <c r="U5" s="28">
        <v>15.7</v>
      </c>
      <c r="V5" s="25">
        <v>3.5</v>
      </c>
      <c r="W5" s="26">
        <v>6.2</v>
      </c>
      <c r="X5" s="25">
        <v>6.1</v>
      </c>
      <c r="Y5" s="26">
        <v>0.15</v>
      </c>
      <c r="Z5" s="25">
        <v>13.8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57">
      <c r="A6" s="29">
        <v>2009</v>
      </c>
      <c r="B6" s="30">
        <v>2</v>
      </c>
      <c r="C6" s="31">
        <v>8.3000000000000007</v>
      </c>
      <c r="D6" s="30">
        <v>5.65</v>
      </c>
      <c r="E6" s="31">
        <v>0.2</v>
      </c>
      <c r="F6" s="27">
        <v>21.4</v>
      </c>
      <c r="G6" s="31">
        <v>4.0999999999999996</v>
      </c>
      <c r="H6" s="30">
        <v>7.8</v>
      </c>
      <c r="I6" s="31">
        <v>6</v>
      </c>
      <c r="J6" s="30">
        <v>0.1</v>
      </c>
      <c r="K6" s="28">
        <v>21.3</v>
      </c>
      <c r="L6" s="30">
        <v>2.8</v>
      </c>
      <c r="M6" s="31">
        <v>6.5</v>
      </c>
      <c r="N6" s="30">
        <v>5.8</v>
      </c>
      <c r="O6" s="31">
        <v>0.30000000000000004</v>
      </c>
      <c r="P6" s="27">
        <v>17.2</v>
      </c>
      <c r="Q6" s="31">
        <v>3.1</v>
      </c>
      <c r="R6" s="30">
        <v>6.7</v>
      </c>
      <c r="S6" s="31">
        <v>5.75</v>
      </c>
      <c r="T6" s="30">
        <v>0.30000000000000004</v>
      </c>
      <c r="U6" s="28">
        <v>17.600000000000001</v>
      </c>
      <c r="V6" s="30">
        <v>4.0999999999999996</v>
      </c>
      <c r="W6" s="31">
        <v>8.1</v>
      </c>
      <c r="X6" s="30">
        <v>6</v>
      </c>
      <c r="Y6" s="31">
        <v>0.15</v>
      </c>
      <c r="Z6" s="30">
        <v>17.899999999999999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</row>
    <row r="7" spans="1:57">
      <c r="A7" s="29">
        <v>2010</v>
      </c>
      <c r="B7" s="30">
        <v>2</v>
      </c>
      <c r="C7" s="31">
        <v>7.2</v>
      </c>
      <c r="D7" s="30">
        <v>5.6</v>
      </c>
      <c r="E7" s="31">
        <v>0.35</v>
      </c>
      <c r="F7" s="27">
        <v>21.8</v>
      </c>
      <c r="G7" s="31">
        <v>4.0999999999999996</v>
      </c>
      <c r="H7" s="30">
        <v>6.6</v>
      </c>
      <c r="I7" s="31">
        <v>6</v>
      </c>
      <c r="J7" s="30">
        <v>0.15</v>
      </c>
      <c r="K7" s="28">
        <v>23.6</v>
      </c>
      <c r="L7" s="30">
        <v>2.9</v>
      </c>
      <c r="M7" s="31">
        <v>5</v>
      </c>
      <c r="N7" s="30">
        <v>5.95</v>
      </c>
      <c r="O7" s="31">
        <v>0.2</v>
      </c>
      <c r="P7" s="27">
        <v>18.399999999999999</v>
      </c>
      <c r="Q7" s="31">
        <v>3.1</v>
      </c>
      <c r="R7" s="30">
        <v>5.9</v>
      </c>
      <c r="S7" s="31">
        <v>5.75</v>
      </c>
      <c r="T7" s="30">
        <v>0.1</v>
      </c>
      <c r="U7" s="28">
        <v>18</v>
      </c>
      <c r="V7" s="30">
        <v>4</v>
      </c>
      <c r="W7" s="31">
        <v>6.5</v>
      </c>
      <c r="X7" s="30">
        <v>5.85</v>
      </c>
      <c r="Y7" s="31">
        <v>8.4</v>
      </c>
      <c r="Z7" s="30">
        <v>17.3</v>
      </c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</row>
    <row r="8" spans="1:57">
      <c r="A8" s="29">
        <v>2011</v>
      </c>
      <c r="B8" s="30"/>
      <c r="C8" s="31"/>
      <c r="D8" s="30"/>
      <c r="E8" s="31"/>
      <c r="F8" s="30"/>
      <c r="G8" s="32"/>
      <c r="H8" s="30"/>
      <c r="I8" s="31"/>
      <c r="J8" s="30"/>
      <c r="K8" s="31"/>
      <c r="L8" s="33"/>
      <c r="M8" s="31"/>
      <c r="N8" s="30"/>
      <c r="O8" s="31"/>
      <c r="P8" s="30"/>
      <c r="Q8" s="32"/>
      <c r="R8" s="30"/>
      <c r="S8" s="31"/>
      <c r="T8" s="30"/>
      <c r="U8" s="31"/>
      <c r="V8" s="33"/>
      <c r="W8" s="31"/>
      <c r="X8" s="30"/>
      <c r="Y8" s="31"/>
      <c r="Z8" s="30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1:57">
      <c r="A9" s="29">
        <v>2012</v>
      </c>
      <c r="B9" s="30"/>
      <c r="C9" s="31"/>
      <c r="D9" s="30"/>
      <c r="E9" s="31"/>
      <c r="F9" s="30"/>
      <c r="G9" s="32"/>
      <c r="H9" s="30"/>
      <c r="I9" s="31"/>
      <c r="J9" s="30"/>
      <c r="K9" s="31"/>
      <c r="L9" s="33"/>
      <c r="M9" s="31"/>
      <c r="N9" s="30"/>
      <c r="O9" s="31"/>
      <c r="P9" s="30"/>
      <c r="Q9" s="32"/>
      <c r="R9" s="30"/>
      <c r="S9" s="31"/>
      <c r="T9" s="30"/>
      <c r="U9" s="31"/>
      <c r="V9" s="33"/>
      <c r="W9" s="31"/>
      <c r="X9" s="30"/>
      <c r="Y9" s="31"/>
      <c r="Z9" s="30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>
      <c r="A10" s="29">
        <v>2013</v>
      </c>
      <c r="B10" s="30"/>
      <c r="C10" s="31"/>
      <c r="D10" s="30"/>
      <c r="E10" s="31"/>
      <c r="F10" s="30"/>
      <c r="G10" s="32"/>
      <c r="H10" s="30"/>
      <c r="I10" s="31"/>
      <c r="J10" s="30"/>
      <c r="K10" s="31"/>
      <c r="L10" s="33"/>
      <c r="M10" s="31"/>
      <c r="N10" s="30"/>
      <c r="O10" s="31"/>
      <c r="P10" s="30"/>
      <c r="Q10" s="32"/>
      <c r="R10" s="30"/>
      <c r="S10" s="31"/>
      <c r="T10" s="30"/>
      <c r="U10" s="31"/>
      <c r="V10" s="33"/>
      <c r="W10" s="31"/>
      <c r="X10" s="30"/>
      <c r="Y10" s="31"/>
      <c r="Z10" s="30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1:57">
      <c r="A11" s="29">
        <v>2014</v>
      </c>
      <c r="B11" s="30"/>
      <c r="C11" s="31"/>
      <c r="D11" s="30"/>
      <c r="E11" s="31"/>
      <c r="F11" s="30"/>
      <c r="G11" s="32"/>
      <c r="H11" s="30"/>
      <c r="I11" s="31"/>
      <c r="J11" s="30"/>
      <c r="K11" s="31"/>
      <c r="L11" s="33"/>
      <c r="M11" s="31"/>
      <c r="N11" s="30"/>
      <c r="O11" s="31"/>
      <c r="P11" s="30"/>
      <c r="Q11" s="32"/>
      <c r="R11" s="30"/>
      <c r="S11" s="31"/>
      <c r="T11" s="30"/>
      <c r="U11" s="31"/>
      <c r="V11" s="33"/>
      <c r="W11" s="31"/>
      <c r="X11" s="30"/>
      <c r="Y11" s="31"/>
      <c r="Z11" s="30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1:57">
      <c r="A12" s="34">
        <v>2015</v>
      </c>
      <c r="B12" s="35"/>
      <c r="C12" s="36"/>
      <c r="D12" s="35"/>
      <c r="E12" s="36"/>
      <c r="F12" s="35"/>
      <c r="G12" s="37"/>
      <c r="H12" s="35"/>
      <c r="I12" s="36"/>
      <c r="J12" s="35"/>
      <c r="K12" s="36"/>
      <c r="L12" s="38"/>
      <c r="M12" s="36"/>
      <c r="N12" s="35"/>
      <c r="O12" s="36"/>
      <c r="P12" s="35"/>
      <c r="Q12" s="37"/>
      <c r="R12" s="35"/>
      <c r="S12" s="36"/>
      <c r="T12" s="35"/>
      <c r="U12" s="36"/>
      <c r="V12" s="38"/>
      <c r="W12" s="36"/>
      <c r="X12" s="35"/>
      <c r="Y12" s="36"/>
      <c r="Z12" s="35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1:57" ht="15" thickBo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1:57" ht="27" thickTop="1" thickBot="1">
      <c r="A14" s="3"/>
      <c r="B14" s="120" t="s">
        <v>13</v>
      </c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2"/>
      <c r="AA14" s="3"/>
      <c r="AB14" s="3"/>
      <c r="AC14" s="3"/>
      <c r="AD14" s="3"/>
      <c r="AU14" s="3"/>
      <c r="AV14" s="3"/>
      <c r="AW14" s="3"/>
      <c r="AX14" s="3"/>
      <c r="AY14" s="3"/>
      <c r="AZ14" s="3"/>
      <c r="BA14" s="3"/>
      <c r="BB14" s="3"/>
      <c r="BC14" s="3"/>
      <c r="BD14" s="3"/>
    </row>
    <row r="15" spans="1:57" ht="15.75" thickTop="1" thickBot="1">
      <c r="A15" s="3"/>
      <c r="B15" s="139" t="s">
        <v>41</v>
      </c>
      <c r="C15" s="140"/>
      <c r="D15" s="140"/>
      <c r="E15" s="140"/>
      <c r="F15" s="141"/>
      <c r="G15" s="139" t="s">
        <v>42</v>
      </c>
      <c r="H15" s="140"/>
      <c r="I15" s="140"/>
      <c r="J15" s="140"/>
      <c r="K15" s="141"/>
      <c r="L15" s="139" t="s">
        <v>43</v>
      </c>
      <c r="M15" s="140"/>
      <c r="N15" s="140"/>
      <c r="O15" s="140"/>
      <c r="P15" s="141"/>
      <c r="Q15" s="135" t="s">
        <v>44</v>
      </c>
      <c r="R15" s="136"/>
      <c r="S15" s="136"/>
      <c r="T15" s="136"/>
      <c r="U15" s="137"/>
      <c r="V15" s="135" t="s">
        <v>45</v>
      </c>
      <c r="W15" s="136"/>
      <c r="X15" s="136"/>
      <c r="Y15" s="136"/>
      <c r="Z15" s="138"/>
      <c r="AA15" s="3"/>
      <c r="AB15" s="3"/>
      <c r="AC15" s="3"/>
      <c r="AD15" s="3"/>
    </row>
    <row r="16" spans="1:57" ht="15" thickBot="1">
      <c r="A16" s="3"/>
      <c r="B16" s="5" t="s">
        <v>15</v>
      </c>
      <c r="C16" s="6" t="s">
        <v>16</v>
      </c>
      <c r="D16" s="7" t="s">
        <v>17</v>
      </c>
      <c r="E16" s="7" t="s">
        <v>18</v>
      </c>
      <c r="F16" s="6" t="s">
        <v>19</v>
      </c>
      <c r="G16" s="5" t="s">
        <v>15</v>
      </c>
      <c r="H16" s="6" t="s">
        <v>16</v>
      </c>
      <c r="I16" s="7" t="s">
        <v>17</v>
      </c>
      <c r="J16" s="7" t="s">
        <v>18</v>
      </c>
      <c r="K16" s="6" t="s">
        <v>19</v>
      </c>
      <c r="L16" s="5" t="s">
        <v>15</v>
      </c>
      <c r="M16" s="6" t="s">
        <v>16</v>
      </c>
      <c r="N16" s="7" t="s">
        <v>17</v>
      </c>
      <c r="O16" s="7" t="s">
        <v>18</v>
      </c>
      <c r="P16" s="6" t="s">
        <v>19</v>
      </c>
      <c r="Q16" s="5" t="s">
        <v>15</v>
      </c>
      <c r="R16" s="6" t="s">
        <v>16</v>
      </c>
      <c r="S16" s="7" t="s">
        <v>17</v>
      </c>
      <c r="T16" s="7" t="s">
        <v>18</v>
      </c>
      <c r="U16" s="6" t="s">
        <v>19</v>
      </c>
      <c r="V16" s="5" t="s">
        <v>15</v>
      </c>
      <c r="W16" s="6" t="s">
        <v>16</v>
      </c>
      <c r="X16" s="7" t="s">
        <v>17</v>
      </c>
      <c r="Y16" s="7" t="s">
        <v>18</v>
      </c>
      <c r="Z16" s="6" t="s">
        <v>19</v>
      </c>
      <c r="AA16" s="3"/>
      <c r="AB16" s="3"/>
      <c r="AC16" s="3"/>
      <c r="AD16" s="3"/>
    </row>
    <row r="17" spans="1:30">
      <c r="A17" s="3"/>
      <c r="B17" s="5" t="s">
        <v>24</v>
      </c>
      <c r="C17" s="6" t="s">
        <v>24</v>
      </c>
      <c r="D17" s="7">
        <v>1</v>
      </c>
      <c r="E17" s="7" t="s">
        <v>25</v>
      </c>
      <c r="F17" s="6" t="s">
        <v>26</v>
      </c>
      <c r="G17" s="5" t="s">
        <v>24</v>
      </c>
      <c r="H17" s="6" t="s">
        <v>24</v>
      </c>
      <c r="I17" s="7">
        <v>1</v>
      </c>
      <c r="J17" s="7" t="s">
        <v>25</v>
      </c>
      <c r="K17" s="6" t="s">
        <v>26</v>
      </c>
      <c r="L17" s="5" t="s">
        <v>24</v>
      </c>
      <c r="M17" s="6" t="s">
        <v>24</v>
      </c>
      <c r="N17" s="7">
        <v>1</v>
      </c>
      <c r="O17" s="7" t="s">
        <v>25</v>
      </c>
      <c r="P17" s="6" t="s">
        <v>26</v>
      </c>
      <c r="Q17" s="5" t="s">
        <v>24</v>
      </c>
      <c r="R17" s="6" t="s">
        <v>24</v>
      </c>
      <c r="S17" s="7">
        <v>1</v>
      </c>
      <c r="T17" s="7" t="s">
        <v>25</v>
      </c>
      <c r="U17" s="6" t="s">
        <v>26</v>
      </c>
      <c r="V17" s="5" t="s">
        <v>24</v>
      </c>
      <c r="W17" s="6" t="s">
        <v>24</v>
      </c>
      <c r="X17" s="7">
        <v>1</v>
      </c>
      <c r="Y17" s="7" t="s">
        <v>25</v>
      </c>
      <c r="Z17" s="6" t="s">
        <v>26</v>
      </c>
      <c r="AA17" s="3"/>
      <c r="AB17" s="3"/>
      <c r="AC17" s="3"/>
      <c r="AD17" s="3"/>
    </row>
    <row r="18" spans="1:30">
      <c r="A18" s="24">
        <v>2008</v>
      </c>
      <c r="B18" s="25">
        <v>3.8</v>
      </c>
      <c r="C18" s="26">
        <v>7.9</v>
      </c>
      <c r="D18" s="25">
        <v>5.9</v>
      </c>
      <c r="E18" s="26">
        <v>0.15</v>
      </c>
      <c r="F18" s="39">
        <v>24.6</v>
      </c>
      <c r="G18" s="26">
        <v>6.2</v>
      </c>
      <c r="H18" s="25">
        <v>11.5</v>
      </c>
      <c r="I18" s="26">
        <v>6.3</v>
      </c>
      <c r="J18" s="25">
        <v>0.1</v>
      </c>
      <c r="K18" s="40">
        <v>28.2</v>
      </c>
      <c r="L18" s="25">
        <v>6.1</v>
      </c>
      <c r="M18" s="26">
        <v>9.6999999999999993</v>
      </c>
      <c r="N18" s="25">
        <v>6.3</v>
      </c>
      <c r="O18" s="26">
        <v>0.5</v>
      </c>
      <c r="P18" s="39">
        <v>27.8</v>
      </c>
      <c r="Q18" s="26">
        <v>5.0999999999999996</v>
      </c>
      <c r="R18" s="25">
        <v>9.6999999999999993</v>
      </c>
      <c r="S18" s="26">
        <v>6.4</v>
      </c>
      <c r="T18" s="25">
        <v>0.1</v>
      </c>
      <c r="U18" s="40">
        <v>30.1</v>
      </c>
      <c r="V18" s="25">
        <v>7.2</v>
      </c>
      <c r="W18" s="26">
        <v>11.3</v>
      </c>
      <c r="X18" s="25">
        <v>6.2</v>
      </c>
      <c r="Y18" s="26">
        <v>0.25</v>
      </c>
      <c r="Z18" s="25">
        <v>20.100000000000001</v>
      </c>
      <c r="AA18" s="3"/>
      <c r="AB18" s="3"/>
      <c r="AC18" s="3"/>
      <c r="AD18" s="3"/>
    </row>
    <row r="19" spans="1:30">
      <c r="A19" s="29">
        <v>2009</v>
      </c>
      <c r="B19" s="30">
        <v>3.8</v>
      </c>
      <c r="C19" s="31">
        <v>6.5</v>
      </c>
      <c r="D19" s="30">
        <v>5.9</v>
      </c>
      <c r="E19" s="31">
        <v>0.1</v>
      </c>
      <c r="F19" s="41">
        <v>26.3</v>
      </c>
      <c r="G19" s="31">
        <v>6.1</v>
      </c>
      <c r="H19" s="30">
        <v>9.1</v>
      </c>
      <c r="I19" s="31">
        <v>6.3</v>
      </c>
      <c r="J19" s="30">
        <v>0.1</v>
      </c>
      <c r="K19" s="42">
        <v>29.5</v>
      </c>
      <c r="L19" s="30">
        <v>6.1</v>
      </c>
      <c r="M19" s="31">
        <v>9.1999999999999993</v>
      </c>
      <c r="N19" s="30">
        <v>6.4</v>
      </c>
      <c r="O19" s="31">
        <v>0.15</v>
      </c>
      <c r="P19" s="41">
        <v>29</v>
      </c>
      <c r="Q19" s="31">
        <v>5.2</v>
      </c>
      <c r="R19" s="30">
        <v>8.9</v>
      </c>
      <c r="S19" s="31">
        <v>6.2</v>
      </c>
      <c r="T19" s="30">
        <v>0.35</v>
      </c>
      <c r="U19" s="42">
        <v>32.200000000000003</v>
      </c>
      <c r="V19" s="30">
        <v>7.3</v>
      </c>
      <c r="W19" s="31">
        <v>9.1</v>
      </c>
      <c r="X19" s="30">
        <v>6.4</v>
      </c>
      <c r="Y19" s="31">
        <v>0.2</v>
      </c>
      <c r="Z19" s="30">
        <v>21.9</v>
      </c>
      <c r="AA19" s="3"/>
      <c r="AB19" s="3"/>
      <c r="AC19" s="3"/>
      <c r="AD19" s="3"/>
    </row>
    <row r="20" spans="1:30">
      <c r="A20" s="29">
        <v>2010</v>
      </c>
      <c r="B20" s="30">
        <v>3.9</v>
      </c>
      <c r="C20" s="31">
        <v>5.3</v>
      </c>
      <c r="D20" s="30">
        <v>5.7</v>
      </c>
      <c r="E20" s="31">
        <v>0.1</v>
      </c>
      <c r="F20" s="41">
        <v>24.7</v>
      </c>
      <c r="G20" s="31">
        <v>6.1</v>
      </c>
      <c r="H20" s="30">
        <v>9</v>
      </c>
      <c r="I20" s="31">
        <v>5.9</v>
      </c>
      <c r="J20" s="30">
        <v>0.15</v>
      </c>
      <c r="K20" s="42">
        <v>27.9</v>
      </c>
      <c r="L20" s="30">
        <v>6.1</v>
      </c>
      <c r="M20" s="31">
        <v>9.3000000000000007</v>
      </c>
      <c r="N20" s="30">
        <v>6.1</v>
      </c>
      <c r="O20" s="31">
        <v>0.4</v>
      </c>
      <c r="P20" s="41">
        <v>26.7</v>
      </c>
      <c r="Q20" s="31">
        <v>5.2</v>
      </c>
      <c r="R20" s="30">
        <v>8.8000000000000007</v>
      </c>
      <c r="S20" s="31">
        <v>6.1</v>
      </c>
      <c r="T20" s="30">
        <v>0.1</v>
      </c>
      <c r="U20" s="42">
        <v>29.9</v>
      </c>
      <c r="V20" s="30">
        <v>7.3</v>
      </c>
      <c r="W20" s="31">
        <v>9</v>
      </c>
      <c r="X20" s="30">
        <v>6.1</v>
      </c>
      <c r="Y20" s="31">
        <v>0.1</v>
      </c>
      <c r="Z20" s="30">
        <v>20.3</v>
      </c>
      <c r="AA20" s="3"/>
      <c r="AB20" s="3"/>
      <c r="AC20" s="3"/>
      <c r="AD20" s="3"/>
    </row>
    <row r="21" spans="1:30">
      <c r="A21" s="29">
        <v>2011</v>
      </c>
      <c r="B21" s="30"/>
      <c r="C21" s="31"/>
      <c r="D21" s="30"/>
      <c r="E21" s="31"/>
      <c r="F21" s="41"/>
      <c r="G21" s="32"/>
      <c r="H21" s="30"/>
      <c r="I21" s="31"/>
      <c r="J21" s="30"/>
      <c r="K21" s="42"/>
      <c r="L21" s="33"/>
      <c r="M21" s="31"/>
      <c r="N21" s="30"/>
      <c r="O21" s="31"/>
      <c r="P21" s="41"/>
      <c r="Q21" s="32"/>
      <c r="R21" s="30"/>
      <c r="S21" s="31"/>
      <c r="T21" s="30"/>
      <c r="U21" s="42"/>
      <c r="V21" s="33"/>
      <c r="W21" s="31"/>
      <c r="X21" s="30"/>
      <c r="Y21" s="31"/>
      <c r="Z21" s="30"/>
      <c r="AA21" s="3"/>
      <c r="AB21" s="3"/>
      <c r="AC21" s="3"/>
      <c r="AD21" s="3"/>
    </row>
    <row r="22" spans="1:30">
      <c r="A22" s="29">
        <v>2012</v>
      </c>
      <c r="B22" s="30"/>
      <c r="C22" s="31"/>
      <c r="D22" s="30"/>
      <c r="E22" s="31"/>
      <c r="F22" s="41"/>
      <c r="G22" s="32"/>
      <c r="H22" s="30"/>
      <c r="I22" s="31"/>
      <c r="J22" s="30"/>
      <c r="K22" s="31"/>
      <c r="L22" s="33"/>
      <c r="M22" s="31"/>
      <c r="N22" s="30"/>
      <c r="O22" s="31"/>
      <c r="P22" s="30"/>
      <c r="Q22" s="32"/>
      <c r="R22" s="30"/>
      <c r="S22" s="31"/>
      <c r="T22" s="30"/>
      <c r="U22" s="42"/>
      <c r="V22" s="33"/>
      <c r="W22" s="31"/>
      <c r="X22" s="30"/>
      <c r="Y22" s="31"/>
      <c r="Z22" s="30"/>
      <c r="AA22" s="3"/>
      <c r="AB22" s="3"/>
      <c r="AC22" s="3"/>
      <c r="AD22" s="3"/>
    </row>
    <row r="23" spans="1:30">
      <c r="A23" s="29">
        <v>2013</v>
      </c>
      <c r="B23" s="30"/>
      <c r="C23" s="31"/>
      <c r="D23" s="30"/>
      <c r="E23" s="31"/>
      <c r="F23" s="41"/>
      <c r="G23" s="32"/>
      <c r="H23" s="30"/>
      <c r="I23" s="31"/>
      <c r="J23" s="30"/>
      <c r="K23" s="31"/>
      <c r="L23" s="33"/>
      <c r="M23" s="31"/>
      <c r="N23" s="30"/>
      <c r="O23" s="31"/>
      <c r="P23" s="30"/>
      <c r="Q23" s="32"/>
      <c r="R23" s="30"/>
      <c r="S23" s="31"/>
      <c r="T23" s="30"/>
      <c r="U23" s="42"/>
      <c r="V23" s="33"/>
      <c r="W23" s="31"/>
      <c r="X23" s="30"/>
      <c r="Y23" s="31"/>
      <c r="Z23" s="30"/>
      <c r="AA23" s="3"/>
      <c r="AB23" s="3"/>
      <c r="AC23" s="3"/>
      <c r="AD23" s="3"/>
    </row>
    <row r="24" spans="1:30">
      <c r="A24" s="29">
        <v>2014</v>
      </c>
      <c r="B24" s="30"/>
      <c r="C24" s="31"/>
      <c r="D24" s="30"/>
      <c r="E24" s="31"/>
      <c r="F24" s="41"/>
      <c r="G24" s="32"/>
      <c r="H24" s="30"/>
      <c r="I24" s="31"/>
      <c r="J24" s="30"/>
      <c r="K24" s="31"/>
      <c r="L24" s="33"/>
      <c r="M24" s="31"/>
      <c r="N24" s="30"/>
      <c r="O24" s="31"/>
      <c r="P24" s="30"/>
      <c r="Q24" s="32"/>
      <c r="R24" s="30"/>
      <c r="S24" s="31"/>
      <c r="T24" s="30"/>
      <c r="U24" s="31"/>
      <c r="V24" s="33"/>
      <c r="W24" s="31"/>
      <c r="X24" s="30"/>
      <c r="Y24" s="31"/>
      <c r="Z24" s="30"/>
      <c r="AA24" s="3"/>
      <c r="AB24" s="3"/>
      <c r="AC24" s="3"/>
      <c r="AD24" s="3"/>
    </row>
    <row r="25" spans="1:30">
      <c r="A25" s="34">
        <v>2015</v>
      </c>
      <c r="B25" s="35"/>
      <c r="C25" s="36"/>
      <c r="D25" s="35"/>
      <c r="E25" s="36"/>
      <c r="F25" s="35"/>
      <c r="G25" s="37"/>
      <c r="H25" s="35"/>
      <c r="I25" s="36"/>
      <c r="J25" s="35"/>
      <c r="K25" s="36"/>
      <c r="L25" s="38"/>
      <c r="M25" s="36"/>
      <c r="N25" s="35"/>
      <c r="O25" s="36"/>
      <c r="P25" s="35"/>
      <c r="Q25" s="37"/>
      <c r="R25" s="35"/>
      <c r="S25" s="36"/>
      <c r="T25" s="35"/>
      <c r="U25" s="36"/>
      <c r="V25" s="38"/>
      <c r="W25" s="36"/>
      <c r="X25" s="35"/>
      <c r="Y25" s="36"/>
      <c r="Z25" s="35"/>
      <c r="AA25" s="3"/>
      <c r="AB25" s="3"/>
      <c r="AC25" s="3"/>
      <c r="AD25" s="3"/>
    </row>
    <row r="26" spans="1:30" ht="15" thickBo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27" thickTop="1" thickBot="1">
      <c r="A27" s="3"/>
      <c r="B27" s="120" t="s">
        <v>14</v>
      </c>
      <c r="C27" s="121"/>
      <c r="D27" s="121"/>
      <c r="E27" s="121"/>
      <c r="F27" s="121"/>
      <c r="G27" s="121"/>
      <c r="H27" s="121"/>
      <c r="I27" s="121"/>
      <c r="J27" s="121"/>
      <c r="K27" s="122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ht="15.75" thickTop="1" thickBot="1">
      <c r="A28" s="3"/>
      <c r="B28" s="135" t="s">
        <v>46</v>
      </c>
      <c r="C28" s="136"/>
      <c r="D28" s="136"/>
      <c r="E28" s="136"/>
      <c r="F28" s="137"/>
      <c r="G28" s="135" t="s">
        <v>47</v>
      </c>
      <c r="H28" s="136"/>
      <c r="I28" s="136"/>
      <c r="J28" s="136"/>
      <c r="K28" s="138"/>
      <c r="L28" s="3"/>
      <c r="M28" s="3"/>
      <c r="N28" s="3"/>
      <c r="O28" s="3"/>
      <c r="P28" s="3"/>
      <c r="Q28" s="3"/>
      <c r="R28" s="3"/>
      <c r="S28" s="3"/>
      <c r="T28" s="3"/>
      <c r="AA28" s="3"/>
      <c r="AB28" s="3"/>
      <c r="AC28" s="3"/>
    </row>
    <row r="29" spans="1:30" ht="15" thickBot="1">
      <c r="A29" s="3"/>
      <c r="B29" s="5" t="s">
        <v>15</v>
      </c>
      <c r="C29" s="6" t="s">
        <v>16</v>
      </c>
      <c r="D29" s="7" t="s">
        <v>17</v>
      </c>
      <c r="E29" s="7" t="s">
        <v>18</v>
      </c>
      <c r="F29" s="6" t="s">
        <v>19</v>
      </c>
      <c r="G29" s="5" t="s">
        <v>15</v>
      </c>
      <c r="H29" s="6" t="s">
        <v>16</v>
      </c>
      <c r="I29" s="7" t="s">
        <v>17</v>
      </c>
      <c r="J29" s="7" t="s">
        <v>18</v>
      </c>
      <c r="K29" s="6" t="s">
        <v>19</v>
      </c>
      <c r="L29" s="3"/>
      <c r="M29" s="3"/>
      <c r="N29" s="3"/>
      <c r="O29" s="3"/>
      <c r="P29" s="3"/>
      <c r="Q29" s="3"/>
      <c r="R29" s="3"/>
      <c r="S29" s="3"/>
      <c r="T29" s="3"/>
      <c r="AA29" s="3"/>
    </row>
    <row r="30" spans="1:30">
      <c r="A30" s="3"/>
      <c r="B30" s="5" t="s">
        <v>24</v>
      </c>
      <c r="C30" s="6" t="s">
        <v>24</v>
      </c>
      <c r="D30" s="7">
        <v>1</v>
      </c>
      <c r="E30" s="7" t="s">
        <v>25</v>
      </c>
      <c r="F30" s="6" t="s">
        <v>26</v>
      </c>
      <c r="G30" s="5" t="s">
        <v>24</v>
      </c>
      <c r="H30" s="6" t="s">
        <v>24</v>
      </c>
      <c r="I30" s="7">
        <v>1</v>
      </c>
      <c r="J30" s="7" t="s">
        <v>25</v>
      </c>
      <c r="K30" s="6" t="s">
        <v>26</v>
      </c>
      <c r="L30" s="3"/>
      <c r="M30" s="3"/>
      <c r="N30" s="3"/>
      <c r="O30" s="3"/>
      <c r="P30" s="3"/>
      <c r="Q30" s="3"/>
      <c r="R30" s="3"/>
      <c r="S30" s="3"/>
      <c r="T30" s="3"/>
      <c r="AA30" s="3"/>
    </row>
    <row r="31" spans="1:30">
      <c r="A31" s="24">
        <v>2008</v>
      </c>
      <c r="B31" s="25">
        <v>3.1</v>
      </c>
      <c r="C31" s="26">
        <v>8.9</v>
      </c>
      <c r="D31" s="25">
        <v>0.1</v>
      </c>
      <c r="E31" s="26">
        <v>0.1</v>
      </c>
      <c r="F31" s="39">
        <v>13.6</v>
      </c>
      <c r="G31" s="26">
        <v>2.1</v>
      </c>
      <c r="H31" s="25">
        <v>7</v>
      </c>
      <c r="I31" s="26">
        <v>10.8</v>
      </c>
      <c r="J31" s="25">
        <v>0.1</v>
      </c>
      <c r="K31" s="26">
        <v>7.3</v>
      </c>
      <c r="L31" s="3"/>
      <c r="M31" s="3"/>
      <c r="N31" s="3"/>
      <c r="O31" s="3"/>
      <c r="P31" s="3"/>
      <c r="Q31" s="3"/>
      <c r="R31" s="3"/>
      <c r="S31" s="3"/>
      <c r="T31" s="3"/>
      <c r="AA31" s="3"/>
    </row>
    <row r="32" spans="1:30">
      <c r="A32" s="29">
        <v>2009</v>
      </c>
      <c r="B32" s="30">
        <v>3.2</v>
      </c>
      <c r="C32" s="31">
        <v>6.5</v>
      </c>
      <c r="D32" s="30">
        <v>6.2</v>
      </c>
      <c r="E32" s="31">
        <v>0.4</v>
      </c>
      <c r="F32" s="41">
        <v>15.2</v>
      </c>
      <c r="G32" s="31">
        <v>2.1</v>
      </c>
      <c r="H32" s="30">
        <v>5</v>
      </c>
      <c r="I32" s="31">
        <v>5.7</v>
      </c>
      <c r="J32" s="30">
        <v>0.55000000000000004</v>
      </c>
      <c r="K32" s="31">
        <v>7.8</v>
      </c>
      <c r="L32" s="3"/>
      <c r="M32" s="3"/>
      <c r="N32" s="3"/>
      <c r="O32" s="3"/>
      <c r="P32" s="3"/>
      <c r="Q32" s="3"/>
      <c r="R32" s="3"/>
      <c r="S32" s="3"/>
      <c r="T32" s="3"/>
      <c r="AA32" s="3"/>
    </row>
    <row r="33" spans="1:27">
      <c r="A33" s="29">
        <v>2010</v>
      </c>
      <c r="B33" s="30">
        <v>3</v>
      </c>
      <c r="C33" s="31">
        <v>5.6</v>
      </c>
      <c r="D33" s="30">
        <v>5.95</v>
      </c>
      <c r="E33" s="31">
        <v>0.1</v>
      </c>
      <c r="F33" s="41">
        <v>16.7</v>
      </c>
      <c r="G33" s="31">
        <v>2.1</v>
      </c>
      <c r="H33" s="30">
        <v>3.9</v>
      </c>
      <c r="I33" s="31">
        <v>5.65</v>
      </c>
      <c r="J33" s="30">
        <v>0.1</v>
      </c>
      <c r="K33" s="31">
        <v>8</v>
      </c>
      <c r="L33" s="3"/>
      <c r="M33" s="3"/>
      <c r="N33" s="3"/>
      <c r="O33" s="3"/>
      <c r="P33" s="3"/>
      <c r="Q33" s="3"/>
      <c r="R33" s="3"/>
      <c r="S33" s="3"/>
      <c r="T33" s="3"/>
      <c r="AA33" s="3"/>
    </row>
    <row r="34" spans="1:27">
      <c r="A34" s="29">
        <v>2011</v>
      </c>
      <c r="B34" s="30"/>
      <c r="C34" s="31"/>
      <c r="D34" s="30"/>
      <c r="E34" s="31"/>
      <c r="F34" s="41"/>
      <c r="G34" s="32"/>
      <c r="H34" s="30"/>
      <c r="I34" s="31"/>
      <c r="J34" s="30"/>
      <c r="K34" s="31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AA34" s="3"/>
    </row>
    <row r="35" spans="1:27">
      <c r="A35" s="29">
        <v>2012</v>
      </c>
      <c r="B35" s="30"/>
      <c r="C35" s="31"/>
      <c r="D35" s="30"/>
      <c r="E35" s="31"/>
      <c r="F35" s="30"/>
      <c r="G35" s="32"/>
      <c r="H35" s="30"/>
      <c r="I35" s="31"/>
      <c r="J35" s="30"/>
      <c r="K35" s="31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AA35" s="3"/>
    </row>
    <row r="36" spans="1:27">
      <c r="A36" s="29">
        <v>2013</v>
      </c>
      <c r="B36" s="30"/>
      <c r="C36" s="31"/>
      <c r="D36" s="30"/>
      <c r="E36" s="31"/>
      <c r="F36" s="30"/>
      <c r="G36" s="32"/>
      <c r="H36" s="30"/>
      <c r="I36" s="31"/>
      <c r="J36" s="30"/>
      <c r="K36" s="31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AA36" s="3"/>
    </row>
    <row r="37" spans="1:27">
      <c r="A37" s="29">
        <v>2014</v>
      </c>
      <c r="B37" s="30"/>
      <c r="C37" s="31"/>
      <c r="D37" s="30"/>
      <c r="E37" s="31"/>
      <c r="F37" s="30"/>
      <c r="G37" s="32"/>
      <c r="H37" s="30"/>
      <c r="I37" s="31"/>
      <c r="J37" s="30"/>
      <c r="K37" s="31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AA37" s="3"/>
    </row>
    <row r="38" spans="1:27">
      <c r="A38" s="34">
        <v>2015</v>
      </c>
      <c r="B38" s="35"/>
      <c r="C38" s="36"/>
      <c r="D38" s="35"/>
      <c r="E38" s="36"/>
      <c r="F38" s="35"/>
      <c r="G38" s="37"/>
      <c r="H38" s="35"/>
      <c r="I38" s="36"/>
      <c r="J38" s="35"/>
      <c r="K38" s="36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AA38" s="3"/>
    </row>
    <row r="39" spans="1:27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 s="3"/>
    </row>
    <row r="40" spans="1:27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 s="3"/>
    </row>
    <row r="41" spans="1:27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7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7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7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7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7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7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6:24"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6:24"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</sheetData>
  <sheetProtection password="DBAF" sheet="1" objects="1" scenarios="1" selectLockedCells="1"/>
  <mergeCells count="15">
    <mergeCell ref="B1:Z1"/>
    <mergeCell ref="B2:F2"/>
    <mergeCell ref="G2:K2"/>
    <mergeCell ref="L2:P2"/>
    <mergeCell ref="Q2:U2"/>
    <mergeCell ref="V2:Z2"/>
    <mergeCell ref="B14:Z14"/>
    <mergeCell ref="B28:F28"/>
    <mergeCell ref="G28:K28"/>
    <mergeCell ref="B27:K27"/>
    <mergeCell ref="B15:F15"/>
    <mergeCell ref="G15:K15"/>
    <mergeCell ref="L15:P15"/>
    <mergeCell ref="Q15:U15"/>
    <mergeCell ref="V15:Z15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Q20"/>
  <sheetViews>
    <sheetView tabSelected="1" zoomScale="75" workbookViewId="0">
      <selection activeCell="K14" sqref="K14"/>
    </sheetView>
  </sheetViews>
  <sheetFormatPr baseColWidth="10" defaultColWidth="11.5703125" defaultRowHeight="13.5"/>
  <cols>
    <col min="1" max="1" width="6" style="3" customWidth="1"/>
    <col min="2" max="11" width="8.42578125" style="60" customWidth="1"/>
    <col min="12" max="12" width="11.5703125" style="3"/>
    <col min="13" max="13" width="9.85546875" style="3" customWidth="1"/>
    <col min="14" max="14" width="9" style="3" customWidth="1"/>
    <col min="15" max="15" width="9.140625" style="3" customWidth="1"/>
    <col min="16" max="16" width="12.28515625" style="3" customWidth="1"/>
    <col min="17" max="16384" width="11.5703125" style="3"/>
  </cols>
  <sheetData>
    <row r="1" spans="1:17" ht="27" thickTop="1" thickBot="1">
      <c r="B1" s="142" t="s">
        <v>48</v>
      </c>
      <c r="C1" s="143"/>
      <c r="D1" s="143"/>
      <c r="E1" s="143"/>
      <c r="F1" s="143"/>
      <c r="G1" s="143"/>
      <c r="H1" s="143"/>
      <c r="I1" s="143"/>
      <c r="J1" s="143"/>
      <c r="K1" s="144"/>
    </row>
    <row r="2" spans="1:17" ht="15.75" thickTop="1" thickBot="1">
      <c r="A2" s="4"/>
      <c r="B2" s="147" t="s">
        <v>49</v>
      </c>
      <c r="C2" s="148"/>
      <c r="D2" s="148"/>
      <c r="E2" s="148"/>
      <c r="F2" s="148"/>
      <c r="G2" s="148"/>
      <c r="H2" s="148"/>
      <c r="I2" s="148"/>
      <c r="J2" s="148"/>
      <c r="K2" s="149"/>
    </row>
    <row r="3" spans="1:17" ht="15" thickBot="1">
      <c r="A3" s="4"/>
      <c r="B3" s="145" t="s">
        <v>15</v>
      </c>
      <c r="C3" s="146"/>
      <c r="D3" s="145" t="s">
        <v>16</v>
      </c>
      <c r="E3" s="146"/>
      <c r="F3" s="145" t="s">
        <v>17</v>
      </c>
      <c r="G3" s="146"/>
      <c r="H3" s="145" t="s">
        <v>18</v>
      </c>
      <c r="I3" s="146"/>
      <c r="J3" s="145" t="s">
        <v>19</v>
      </c>
      <c r="K3" s="146"/>
      <c r="M3" s="22" t="str">
        <f>B16&amp; " Captages "</f>
        <v xml:space="preserve">TAC Captages </v>
      </c>
      <c r="N3" s="22" t="str">
        <f>D16&amp; " Captages "</f>
        <v xml:space="preserve">TH Captages </v>
      </c>
      <c r="O3" s="22" t="str">
        <f>F16&amp; " Captages "</f>
        <v xml:space="preserve">pH Captages </v>
      </c>
      <c r="P3" s="22" t="str">
        <f>H16&amp; " Captages "</f>
        <v xml:space="preserve">Turbidité Captages </v>
      </c>
      <c r="Q3" s="22" t="str">
        <f>J16&amp; " Captages "</f>
        <v xml:space="preserve">Nitrates Captages </v>
      </c>
    </row>
    <row r="4" spans="1:17" ht="15" thickBot="1">
      <c r="A4" s="4"/>
      <c r="B4" s="92" t="s">
        <v>50</v>
      </c>
      <c r="C4" s="93" t="s">
        <v>51</v>
      </c>
      <c r="D4" s="92" t="s">
        <v>50</v>
      </c>
      <c r="E4" s="93" t="s">
        <v>51</v>
      </c>
      <c r="F4" s="92" t="s">
        <v>50</v>
      </c>
      <c r="G4" s="93" t="s">
        <v>51</v>
      </c>
      <c r="H4" s="92" t="s">
        <v>50</v>
      </c>
      <c r="I4" s="93" t="s">
        <v>51</v>
      </c>
      <c r="J4" s="92" t="s">
        <v>50</v>
      </c>
      <c r="K4" s="93" t="s">
        <v>51</v>
      </c>
      <c r="M4" s="22" t="s">
        <v>52</v>
      </c>
      <c r="N4" s="22" t="s">
        <v>53</v>
      </c>
      <c r="O4" s="22" t="s">
        <v>54</v>
      </c>
      <c r="P4" s="22" t="s">
        <v>55</v>
      </c>
      <c r="Q4" s="22" t="s">
        <v>56</v>
      </c>
    </row>
    <row r="5" spans="1:17" ht="14.25">
      <c r="A5" s="44">
        <v>2008</v>
      </c>
      <c r="B5" s="62">
        <f>AVERAGE('Données C-F'!B18,'Données C-F'!G18,'Données C-F'!L18,'Données C-F'!B5,'Données C-F'!B31)</f>
        <v>4.24</v>
      </c>
      <c r="C5" s="86">
        <f>AVERAGE('Données C-F'!Q18,'Données C-F'!V18,'Données C-F'!G5,'Données C-F'!L5,'Données C-F'!Q5,'Données C-F'!V5,'Données C-F'!G31)</f>
        <v>4.0285714285714294</v>
      </c>
      <c r="D5" s="62">
        <f>AVERAGE('Données C-F'!C18,'Données C-F'!H18,'Données C-F'!M18,'Données C-F'!C5,'Données C-F'!C31)</f>
        <v>9.1399999999999988</v>
      </c>
      <c r="E5" s="86">
        <f>AVERAGE('Données C-F'!R18,'Données C-F'!W18,'Données C-F'!H5,'Données C-F'!M5,'Données C-F'!R5,'Données C-F'!W5,'Données C-F'!H31)</f>
        <v>7.4857142857142867</v>
      </c>
      <c r="F5" s="62">
        <f>AVERAGE('Données C-F'!D18,'Données C-F'!I18,'Données C-F'!N18,'Données C-F'!D5,'Données C-F'!I5,'Données C-F'!D31)</f>
        <v>5.083333333333333</v>
      </c>
      <c r="G5" s="86">
        <f>AVERAGE('Données C-F'!S18,'Données C-F'!X18,'Données C-F'!I5,'Données C-F'!N5,'Données C-F'!S5,'Données C-F'!X5,'Données C-F'!I31)</f>
        <v>6.8285714285714283</v>
      </c>
      <c r="H5" s="62">
        <f>AVERAGE('Données C-F'!E18,'Données C-F'!J18,'Données C-F'!O18,'Données C-F'!E5,'Données C-F'!J5,'Données C-F'!E31)</f>
        <v>0.20000000000000004</v>
      </c>
      <c r="I5" s="86">
        <f>AVERAGE('Données C-F'!T18,'Données C-F'!Y18,'Données C-F'!J5,'Données C-F'!O5,'Données C-F'!T5,'Données C-F'!Y5,'Données C-F'!J31)</f>
        <v>0.16428571428571431</v>
      </c>
      <c r="J5" s="62">
        <f>AVERAGE('Données C-F'!F18,'Données C-F'!K18,'Données C-F'!P18,'Données C-F'!F5,'Données C-F'!F31)</f>
        <v>23.04</v>
      </c>
      <c r="K5" s="86">
        <f>AVERAGE('Données C-F'!U18,'Données C-F'!Z18,'Données C-F'!K5,'Données C-F'!P5,'Données C-F'!U5,'Données C-F'!Z5,'Données C-F'!K31)</f>
        <v>16.87142857142857</v>
      </c>
    </row>
    <row r="6" spans="1:17" ht="14.25">
      <c r="A6" s="45">
        <v>2009</v>
      </c>
      <c r="B6" s="62">
        <f>AVERAGE('Données C-F'!B19,'Données C-F'!G19,'Données C-F'!L19,'Données C-F'!B6,'Données C-F'!B32)</f>
        <v>4.24</v>
      </c>
      <c r="C6" s="86">
        <f>AVERAGE('Données C-F'!Q19,'Données C-F'!V19,'Données C-F'!G6,'Données C-F'!L6,'Données C-F'!Q6,'Données C-F'!V6,'Données C-F'!G32)</f>
        <v>4.1000000000000005</v>
      </c>
      <c r="D6" s="62">
        <f>AVERAGE('Données C-F'!C19,'Données C-F'!H19,'Données C-F'!M19,'Données C-F'!C6,'Données C-F'!C32)</f>
        <v>7.919999999999999</v>
      </c>
      <c r="E6" s="86">
        <f>AVERAGE('Données C-F'!R19,'Données C-F'!W19,'Données C-F'!H6,'Données C-F'!M6,'Données C-F'!R6,'Données C-F'!W6,'Données C-F'!H32)</f>
        <v>7.4428571428571431</v>
      </c>
      <c r="F6" s="62">
        <f>AVERAGE('Données C-F'!D19,'Données C-F'!I19,'Données C-F'!N19,'Données C-F'!D6,'Données C-F'!I6,'Données C-F'!D32)</f>
        <v>6.0750000000000002</v>
      </c>
      <c r="G6" s="86">
        <f>AVERAGE('Données C-F'!S19,'Données C-F'!X19,'Données C-F'!I6,'Données C-F'!N6,'Données C-F'!S6,'Données C-F'!X6,'Données C-F'!I32)</f>
        <v>5.9785714285714295</v>
      </c>
      <c r="H6" s="62">
        <f>AVERAGE('Données C-F'!E19,'Données C-F'!J19,'Données C-F'!O19,'Données C-F'!E6,'Données C-F'!J6,'Données C-F'!E32)</f>
        <v>0.17500000000000002</v>
      </c>
      <c r="I6" s="86">
        <f>AVERAGE('Données C-F'!T19,'Données C-F'!Y19,'Données C-F'!J6,'Données C-F'!O6,'Données C-F'!T6,'Données C-F'!Y6,'Données C-F'!J32)</f>
        <v>0.27857142857142858</v>
      </c>
      <c r="J6" s="62">
        <f>AVERAGE('Données C-F'!F19,'Données C-F'!K19,'Données C-F'!P19,'Données C-F'!F6,'Données C-F'!F32)</f>
        <v>24.279999999999998</v>
      </c>
      <c r="K6" s="86">
        <f>AVERAGE('Données C-F'!U19,'Données C-F'!Z19,'Données C-F'!K6,'Données C-F'!P6,'Données C-F'!U6,'Données C-F'!Z6,'Données C-F'!K32)</f>
        <v>19.414285714285718</v>
      </c>
    </row>
    <row r="7" spans="1:17" ht="14.25">
      <c r="A7" s="45">
        <v>2010</v>
      </c>
      <c r="B7" s="62">
        <f>AVERAGE('Données C-F'!B20,'Données C-F'!G20,'Données C-F'!L20,'Données C-F'!B7,'Données C-F'!B33)</f>
        <v>4.2200000000000006</v>
      </c>
      <c r="C7" s="86">
        <f>AVERAGE('Données C-F'!Q20,'Données C-F'!V20,'Données C-F'!G7,'Données C-F'!L7,'Données C-F'!Q7,'Données C-F'!V7,'Données C-F'!G33)</f>
        <v>4.1000000000000005</v>
      </c>
      <c r="D7" s="62">
        <f>AVERAGE('Données C-F'!C20,'Données C-F'!H20,'Données C-F'!M20,'Données C-F'!C7,'Données C-F'!C33)</f>
        <v>7.2799999999999994</v>
      </c>
      <c r="E7" s="86">
        <f>AVERAGE('Données C-F'!R20,'Données C-F'!W20,'Données C-F'!H7,'Données C-F'!M7,'Données C-F'!R7,'Données C-F'!W7,'Données C-F'!H33)</f>
        <v>6.5285714285714276</v>
      </c>
      <c r="F7" s="62">
        <f>AVERAGE('Données C-F'!D20,'Données C-F'!I20,'Données C-F'!N20,'Données C-F'!D7,'Données C-F'!I7,'Données C-F'!D33)</f>
        <v>5.8750000000000009</v>
      </c>
      <c r="G7" s="86">
        <f>AVERAGE('Données C-F'!S20,'Données C-F'!X20,'Données C-F'!I7,'Données C-F'!N7,'Données C-F'!S7,'Données C-F'!X7,'Données C-F'!I33)</f>
        <v>5.9142857142857137</v>
      </c>
      <c r="H7" s="62">
        <f>AVERAGE('Données C-F'!E20,'Données C-F'!J20,'Données C-F'!O20,'Données C-F'!E7,'Données C-F'!J7,'Données C-F'!E33)</f>
        <v>0.20833333333333334</v>
      </c>
      <c r="I7" s="86">
        <f>AVERAGE('Données C-F'!T20,'Données C-F'!Y20,'Données C-F'!J7,'Données C-F'!O7,'Données C-F'!T7,'Données C-F'!Y7,'Données C-F'!J33)</f>
        <v>1.3071428571428572</v>
      </c>
      <c r="J7" s="62">
        <f>AVERAGE('Données C-F'!F20,'Données C-F'!K20,'Données C-F'!P20,'Données C-F'!F7,'Données C-F'!F33)</f>
        <v>23.56</v>
      </c>
      <c r="K7" s="86">
        <f>AVERAGE('Données C-F'!U20,'Données C-F'!Z20,'Données C-F'!K7,'Données C-F'!P7,'Données C-F'!U7,'Données C-F'!Z7,'Données C-F'!K33)</f>
        <v>19.357142857142858</v>
      </c>
    </row>
    <row r="8" spans="1:17" ht="14.25">
      <c r="A8" s="45">
        <v>2011</v>
      </c>
      <c r="B8" s="62" t="e">
        <f>AVERAGE('Données C-F'!B21,'Données C-F'!G21,'Données C-F'!L21,'Données C-F'!B8,'Données C-F'!B34)</f>
        <v>#DIV/0!</v>
      </c>
      <c r="C8" s="86" t="e">
        <f>AVERAGE('Données C-F'!Q21,'Données C-F'!V21,'Données C-F'!G8,'Données C-F'!L8,'Données C-F'!Q8,'Données C-F'!V8,'Données C-F'!G34)</f>
        <v>#DIV/0!</v>
      </c>
      <c r="D8" s="62" t="e">
        <f>AVERAGE('Données C-F'!C21,'Données C-F'!H21,'Données C-F'!M21,'Données C-F'!C8,'Données C-F'!C34)</f>
        <v>#DIV/0!</v>
      </c>
      <c r="E8" s="86" t="e">
        <f>AVERAGE('Données C-F'!R21,'Données C-F'!W21,'Données C-F'!H8,'Données C-F'!M8,'Données C-F'!R8,'Données C-F'!W8,'Données C-F'!H34)</f>
        <v>#DIV/0!</v>
      </c>
      <c r="F8" s="62" t="e">
        <f>AVERAGE('Données C-F'!D21,'Données C-F'!I21,'Données C-F'!N21,'Données C-F'!D8,'Données C-F'!I8,'Données C-F'!D34)</f>
        <v>#DIV/0!</v>
      </c>
      <c r="G8" s="86" t="e">
        <f>AVERAGE('Données C-F'!S21,'Données C-F'!X21,'Données C-F'!I8,'Données C-F'!N8,'Données C-F'!S8,'Données C-F'!X8,'Données C-F'!I34)</f>
        <v>#DIV/0!</v>
      </c>
      <c r="H8" s="62" t="e">
        <f>AVERAGE('Données C-F'!E21,'Données C-F'!J21,'Données C-F'!O21,'Données C-F'!E8,'Données C-F'!J8,'Données C-F'!E34)</f>
        <v>#DIV/0!</v>
      </c>
      <c r="I8" s="86" t="e">
        <f>AVERAGE('Données C-F'!T21,'Données C-F'!Y21,'Données C-F'!J8,'Données C-F'!O8,'Données C-F'!T8,'Données C-F'!Y8,'Données C-F'!J34)</f>
        <v>#DIV/0!</v>
      </c>
      <c r="J8" s="62" t="e">
        <f>AVERAGE('Données C-F'!F21,'Données C-F'!K21,'Données C-F'!P21,'Données C-F'!F8,'Données C-F'!F34)</f>
        <v>#DIV/0!</v>
      </c>
      <c r="K8" s="86" t="e">
        <f>AVERAGE('Données C-F'!U21,'Données C-F'!Z21,'Données C-F'!K8,'Données C-F'!P8,'Données C-F'!U8,'Données C-F'!Z8,'Données C-F'!K34)</f>
        <v>#DIV/0!</v>
      </c>
    </row>
    <row r="9" spans="1:17" ht="14.25">
      <c r="A9" s="45">
        <v>2012</v>
      </c>
      <c r="B9" s="62" t="e">
        <f>AVERAGE('Données C-F'!B22,'Données C-F'!G22,'Données C-F'!L22,'Données C-F'!B9,'Données C-F'!B35)</f>
        <v>#DIV/0!</v>
      </c>
      <c r="C9" s="86" t="e">
        <f>AVERAGE('Données C-F'!Q22,'Données C-F'!V22,'Données C-F'!G9,'Données C-F'!L9,'Données C-F'!Q9,'Données C-F'!V9,'Données C-F'!G35)</f>
        <v>#DIV/0!</v>
      </c>
      <c r="D9" s="62" t="e">
        <f>AVERAGE('Données C-F'!C22,'Données C-F'!H22,'Données C-F'!M22,'Données C-F'!C9,'Données C-F'!C35)</f>
        <v>#DIV/0!</v>
      </c>
      <c r="E9" s="86" t="e">
        <f>AVERAGE('Données C-F'!R22,'Données C-F'!W22,'Données C-F'!H9,'Données C-F'!M9,'Données C-F'!R9,'Données C-F'!W9,'Données C-F'!H35)</f>
        <v>#DIV/0!</v>
      </c>
      <c r="F9" s="62" t="e">
        <f>AVERAGE('Données C-F'!D22,'Données C-F'!I22,'Données C-F'!N22,'Données C-F'!D9,'Données C-F'!I9,'Données C-F'!D35)</f>
        <v>#DIV/0!</v>
      </c>
      <c r="G9" s="86" t="e">
        <f>AVERAGE('Données C-F'!S22,'Données C-F'!X22,'Données C-F'!I9,'Données C-F'!N9,'Données C-F'!S9,'Données C-F'!X9,'Données C-F'!I35)</f>
        <v>#DIV/0!</v>
      </c>
      <c r="H9" s="62" t="e">
        <f>AVERAGE('Données C-F'!E22,'Données C-F'!J22,'Données C-F'!O22,'Données C-F'!E9,'Données C-F'!J9,'Données C-F'!E35)</f>
        <v>#DIV/0!</v>
      </c>
      <c r="I9" s="86" t="e">
        <f>AVERAGE('Données C-F'!T22,'Données C-F'!Y22,'Données C-F'!J9,'Données C-F'!O9,'Données C-F'!T9,'Données C-F'!Y9,'Données C-F'!J35)</f>
        <v>#DIV/0!</v>
      </c>
      <c r="J9" s="62" t="e">
        <f>AVERAGE('Données C-F'!F22,'Données C-F'!K22,'Données C-F'!P22,'Données C-F'!F9,'Données C-F'!F35)</f>
        <v>#DIV/0!</v>
      </c>
      <c r="K9" s="86" t="e">
        <f>AVERAGE('Données C-F'!U22,'Données C-F'!Z22,'Données C-F'!K9,'Données C-F'!P9,'Données C-F'!U9,'Données C-F'!Z9,'Données C-F'!K35)</f>
        <v>#DIV/0!</v>
      </c>
    </row>
    <row r="10" spans="1:17" ht="14.25">
      <c r="A10" s="45">
        <v>2013</v>
      </c>
      <c r="B10" s="62" t="e">
        <f>AVERAGE('Données C-F'!B23,'Données C-F'!G23,'Données C-F'!L23,'Données C-F'!B10,'Données C-F'!B36)</f>
        <v>#DIV/0!</v>
      </c>
      <c r="C10" s="86" t="e">
        <f>AVERAGE('Données C-F'!Q23,'Données C-F'!V23,'Données C-F'!G10,'Données C-F'!L10,'Données C-F'!Q10,'Données C-F'!V10,'Données C-F'!G36)</f>
        <v>#DIV/0!</v>
      </c>
      <c r="D10" s="62" t="e">
        <f>AVERAGE('Données C-F'!C23,'Données C-F'!H23,'Données C-F'!M23,'Données C-F'!C10,'Données C-F'!C36)</f>
        <v>#DIV/0!</v>
      </c>
      <c r="E10" s="86" t="e">
        <f>AVERAGE('Données C-F'!R23,'Données C-F'!W23,'Données C-F'!H10,'Données C-F'!M10,'Données C-F'!R10,'Données C-F'!W10,'Données C-F'!H36)</f>
        <v>#DIV/0!</v>
      </c>
      <c r="F10" s="62" t="e">
        <f>AVERAGE('Données C-F'!D23,'Données C-F'!I23,'Données C-F'!N23,'Données C-F'!D10,'Données C-F'!I10,'Données C-F'!D36)</f>
        <v>#DIV/0!</v>
      </c>
      <c r="G10" s="86" t="e">
        <f>AVERAGE('Données C-F'!S23,'Données C-F'!X23,'Données C-F'!I10,'Données C-F'!N10,'Données C-F'!S10,'Données C-F'!X10,'Données C-F'!I36)</f>
        <v>#DIV/0!</v>
      </c>
      <c r="H10" s="62" t="e">
        <f>AVERAGE('Données C-F'!E23,'Données C-F'!J23,'Données C-F'!O23,'Données C-F'!E10,'Données C-F'!J10,'Données C-F'!E36)</f>
        <v>#DIV/0!</v>
      </c>
      <c r="I10" s="86" t="e">
        <f>AVERAGE('Données C-F'!T23,'Données C-F'!Y23,'Données C-F'!J10,'Données C-F'!O10,'Données C-F'!T10,'Données C-F'!Y10,'Données C-F'!J36)</f>
        <v>#DIV/0!</v>
      </c>
      <c r="J10" s="62" t="e">
        <f>AVERAGE('Données C-F'!F23,'Données C-F'!K23,'Données C-F'!P23,'Données C-F'!F10,'Données C-F'!F36)</f>
        <v>#DIV/0!</v>
      </c>
      <c r="K10" s="86" t="e">
        <f>AVERAGE('Données C-F'!U23,'Données C-F'!Z23,'Données C-F'!K10,'Données C-F'!P10,'Données C-F'!U10,'Données C-F'!Z10,'Données C-F'!K36)</f>
        <v>#DIV/0!</v>
      </c>
    </row>
    <row r="11" spans="1:17" ht="14.25">
      <c r="A11" s="45">
        <v>2014</v>
      </c>
      <c r="B11" s="62" t="e">
        <f>AVERAGE('Données C-F'!B24,'Données C-F'!G24,'Données C-F'!L24,'Données C-F'!B11,'Données C-F'!B37)</f>
        <v>#DIV/0!</v>
      </c>
      <c r="C11" s="86" t="e">
        <f>AVERAGE('Données C-F'!Q24,'Données C-F'!V24,'Données C-F'!G11,'Données C-F'!L11,'Données C-F'!Q11,'Données C-F'!V11,'Données C-F'!G37)</f>
        <v>#DIV/0!</v>
      </c>
      <c r="D11" s="62" t="e">
        <f>AVERAGE('Données C-F'!C24,'Données C-F'!H24,'Données C-F'!M24,'Données C-F'!C11,'Données C-F'!C37)</f>
        <v>#DIV/0!</v>
      </c>
      <c r="E11" s="86" t="e">
        <f>AVERAGE('Données C-F'!R24,'Données C-F'!W24,'Données C-F'!H11,'Données C-F'!M11,'Données C-F'!R11,'Données C-F'!W11,'Données C-F'!H37)</f>
        <v>#DIV/0!</v>
      </c>
      <c r="F11" s="62" t="e">
        <f>AVERAGE('Données C-F'!D24,'Données C-F'!I24,'Données C-F'!N24,'Données C-F'!D11,'Données C-F'!I11,'Données C-F'!D37)</f>
        <v>#DIV/0!</v>
      </c>
      <c r="G11" s="86" t="e">
        <f>AVERAGE('Données C-F'!S24,'Données C-F'!X24,'Données C-F'!I11,'Données C-F'!N11,'Données C-F'!S11,'Données C-F'!X11,'Données C-F'!I37)</f>
        <v>#DIV/0!</v>
      </c>
      <c r="H11" s="62" t="e">
        <f>AVERAGE('Données C-F'!E24,'Données C-F'!J24,'Données C-F'!O24,'Données C-F'!E11,'Données C-F'!J11,'Données C-F'!E37)</f>
        <v>#DIV/0!</v>
      </c>
      <c r="I11" s="86" t="e">
        <f>AVERAGE('Données C-F'!T24,'Données C-F'!Y24,'Données C-F'!J11,'Données C-F'!O11,'Données C-F'!T11,'Données C-F'!Y11,'Données C-F'!J37)</f>
        <v>#DIV/0!</v>
      </c>
      <c r="J11" s="62" t="e">
        <f>AVERAGE('Données C-F'!F24,'Données C-F'!K24,'Données C-F'!P24,'Données C-F'!F11,'Données C-F'!F37)</f>
        <v>#DIV/0!</v>
      </c>
      <c r="K11" s="86" t="e">
        <f>AVERAGE('Données C-F'!U24,'Données C-F'!Z24,'Données C-F'!K11,'Données C-F'!P11,'Données C-F'!U11,'Données C-F'!Z11,'Données C-F'!K37)</f>
        <v>#DIV/0!</v>
      </c>
    </row>
    <row r="12" spans="1:17" ht="14.25">
      <c r="A12" s="46">
        <v>2015</v>
      </c>
      <c r="B12" s="94" t="e">
        <f>AVERAGE('Données C-F'!B25,'Données C-F'!G25,'Données C-F'!L25,'Données C-F'!B12,'Données C-F'!B38)</f>
        <v>#DIV/0!</v>
      </c>
      <c r="C12" s="95" t="e">
        <f>AVERAGE('Données C-F'!Q25,'Données C-F'!V25,'Données C-F'!G12,'Données C-F'!L12,'Données C-F'!Q12,'Données C-F'!V12,'Données C-F'!G38)</f>
        <v>#DIV/0!</v>
      </c>
      <c r="D12" s="94" t="e">
        <f>AVERAGE('Données C-F'!C25,'Données C-F'!H25,'Données C-F'!M25,'Données C-F'!C12,'Données C-F'!C38)</f>
        <v>#DIV/0!</v>
      </c>
      <c r="E12" s="95" t="e">
        <f>AVERAGE('Données C-F'!R25,'Données C-F'!W25,'Données C-F'!H12,'Données C-F'!M12,'Données C-F'!R12,'Données C-F'!W12,'Données C-F'!H38)</f>
        <v>#DIV/0!</v>
      </c>
      <c r="F12" s="94" t="e">
        <f>AVERAGE('Données C-F'!D25,'Données C-F'!I25,'Données C-F'!N25,'Données C-F'!D12,'Données C-F'!I12,'Données C-F'!D38)</f>
        <v>#DIV/0!</v>
      </c>
      <c r="G12" s="95" t="e">
        <f>AVERAGE('Données C-F'!S25,'Données C-F'!X25,'Données C-F'!I12,'Données C-F'!N12,'Données C-F'!S12,'Données C-F'!X12,'Données C-F'!I38)</f>
        <v>#DIV/0!</v>
      </c>
      <c r="H12" s="94" t="e">
        <f>AVERAGE('Données C-F'!E25,'Données C-F'!J25,'Données C-F'!O25,'Données C-F'!E12,'Données C-F'!J12,'Données C-F'!E38)</f>
        <v>#DIV/0!</v>
      </c>
      <c r="I12" s="95" t="e">
        <f>AVERAGE('Données C-F'!T25,'Données C-F'!Y25,'Données C-F'!J12,'Données C-F'!O12,'Données C-F'!T12,'Données C-F'!Y12,'Données C-F'!J38)</f>
        <v>#DIV/0!</v>
      </c>
      <c r="J12" s="94" t="e">
        <f>AVERAGE('Données C-F'!F25,'Données C-F'!K25,'Données C-F'!P25,'Données C-F'!F12,'Données C-F'!F38)</f>
        <v>#DIV/0!</v>
      </c>
      <c r="K12" s="95" t="e">
        <f>AVERAGE('Données C-F'!U25,'Données C-F'!Z25,'Données C-F'!K12,'Données C-F'!P12,'Données C-F'!U12,'Données C-F'!Z12,'Données C-F'!K38)</f>
        <v>#DIV/0!</v>
      </c>
    </row>
    <row r="13" spans="1:17" ht="14.25" thickBot="1"/>
    <row r="14" spans="1:17" ht="30" thickTop="1" thickBot="1">
      <c r="B14" s="150" t="s">
        <v>57</v>
      </c>
      <c r="C14" s="151"/>
      <c r="D14" s="151"/>
      <c r="E14" s="151"/>
      <c r="F14" s="151"/>
      <c r="G14" s="151"/>
      <c r="H14" s="151"/>
      <c r="I14" s="151"/>
      <c r="J14" s="152"/>
      <c r="K14" s="96">
        <v>2010</v>
      </c>
    </row>
    <row r="15" spans="1:17" ht="27" thickTop="1" thickBot="1">
      <c r="B15" s="142" t="str">
        <f>"Analyses  " &amp;K14</f>
        <v>Analyses  2010</v>
      </c>
      <c r="C15" s="143"/>
      <c r="D15" s="143"/>
      <c r="E15" s="143"/>
      <c r="F15" s="143"/>
      <c r="G15" s="143"/>
      <c r="H15" s="143"/>
      <c r="I15" s="143"/>
      <c r="J15" s="143"/>
      <c r="K15" s="144"/>
    </row>
    <row r="16" spans="1:17" ht="15.75" thickTop="1" thickBot="1">
      <c r="B16" s="153" t="s">
        <v>15</v>
      </c>
      <c r="C16" s="154"/>
      <c r="D16" s="153" t="s">
        <v>16</v>
      </c>
      <c r="E16" s="154"/>
      <c r="F16" s="153" t="s">
        <v>17</v>
      </c>
      <c r="G16" s="154"/>
      <c r="H16" s="153" t="s">
        <v>18</v>
      </c>
      <c r="I16" s="154"/>
      <c r="J16" s="153" t="s">
        <v>19</v>
      </c>
      <c r="K16" s="154"/>
    </row>
    <row r="17" spans="1:11" ht="15" thickBot="1">
      <c r="B17" s="92" t="s">
        <v>50</v>
      </c>
      <c r="C17" s="93" t="s">
        <v>51</v>
      </c>
      <c r="D17" s="92" t="s">
        <v>50</v>
      </c>
      <c r="E17" s="93" t="s">
        <v>51</v>
      </c>
      <c r="F17" s="92" t="s">
        <v>50</v>
      </c>
      <c r="G17" s="93" t="s">
        <v>51</v>
      </c>
      <c r="H17" s="92" t="s">
        <v>50</v>
      </c>
      <c r="I17" s="93" t="s">
        <v>51</v>
      </c>
      <c r="J17" s="92" t="s">
        <v>50</v>
      </c>
      <c r="K17" s="93" t="s">
        <v>51</v>
      </c>
    </row>
    <row r="18" spans="1:11" ht="14.25">
      <c r="A18" s="24">
        <f>K14</f>
        <v>2010</v>
      </c>
      <c r="B18" s="62">
        <f>VLOOKUP(A18,$A$5:$K$12,2,0)</f>
        <v>4.2200000000000006</v>
      </c>
      <c r="C18" s="86">
        <f>VLOOKUP(A18,$A$5:$K$12,3,0)</f>
        <v>4.1000000000000005</v>
      </c>
      <c r="D18" s="62">
        <f>VLOOKUP(A18,$A$5:$K$12,4,0)</f>
        <v>7.2799999999999994</v>
      </c>
      <c r="E18" s="86">
        <f>VLOOKUP(A18,$A$5:$K$12,5,0)</f>
        <v>6.5285714285714276</v>
      </c>
      <c r="F18" s="62">
        <f>VLOOKUP(A18,$A$5:$K$12,6,0)</f>
        <v>5.8750000000000009</v>
      </c>
      <c r="G18" s="86">
        <f>VLOOKUP(A18,$A$5:$K$12,7,0)</f>
        <v>5.9142857142857137</v>
      </c>
      <c r="H18" s="62">
        <f>VLOOKUP(A18,$A$5:$K$12,8,0)</f>
        <v>0.20833333333333334</v>
      </c>
      <c r="I18" s="86">
        <f>VLOOKUP(A18,$A$5:$K$12,9,0)</f>
        <v>1.3071428571428572</v>
      </c>
      <c r="J18" s="62">
        <f>VLOOKUP(A18,$A$5:$K$12,10,0)</f>
        <v>23.56</v>
      </c>
      <c r="K18" s="86">
        <f>VLOOKUP(A18,$A$5:$K$12,11,0)</f>
        <v>19.357142857142858</v>
      </c>
    </row>
    <row r="19" spans="1:11" ht="14.25">
      <c r="A19" s="24">
        <f>K14-1</f>
        <v>2009</v>
      </c>
      <c r="B19" s="62">
        <f>VLOOKUP(A19,$A$5:$K$12,2,0)</f>
        <v>4.24</v>
      </c>
      <c r="C19" s="86">
        <f>VLOOKUP(A19,$A$5:$K$12,3,0)</f>
        <v>4.1000000000000005</v>
      </c>
      <c r="D19" s="62">
        <f>VLOOKUP(A19,$A$5:$K$12,4,0)</f>
        <v>7.919999999999999</v>
      </c>
      <c r="E19" s="86">
        <f>VLOOKUP(A19,$A$5:$K$12,5,0)</f>
        <v>7.4428571428571431</v>
      </c>
      <c r="F19" s="62">
        <f>VLOOKUP(A19,$A$5:$K$12,6,0)</f>
        <v>6.0750000000000002</v>
      </c>
      <c r="G19" s="86">
        <f>VLOOKUP(A19,$A$5:$K$12,7,0)</f>
        <v>5.9785714285714295</v>
      </c>
      <c r="H19" s="62">
        <f>VLOOKUP(A19,$A$5:$K$12,8,0)</f>
        <v>0.17500000000000002</v>
      </c>
      <c r="I19" s="86">
        <f>VLOOKUP(A19,$A$5:$K$12,9,0)</f>
        <v>0.27857142857142858</v>
      </c>
      <c r="J19" s="62">
        <f>VLOOKUP(A19,$A$5:$K$12,10,0)</f>
        <v>24.279999999999998</v>
      </c>
      <c r="K19" s="86">
        <f>VLOOKUP(A19,$A$5:$K$12,11,0)</f>
        <v>19.414285714285718</v>
      </c>
    </row>
    <row r="20" spans="1:11" ht="14.25">
      <c r="A20" s="47">
        <f>K14-2</f>
        <v>2008</v>
      </c>
      <c r="B20" s="94">
        <f>VLOOKUP(A20,$A$5:$K$12,2,0)</f>
        <v>4.24</v>
      </c>
      <c r="C20" s="95">
        <f>VLOOKUP(A20,$A$5:$K$12,3,0)</f>
        <v>4.0285714285714294</v>
      </c>
      <c r="D20" s="94">
        <f>VLOOKUP(A20,$A$5:$K$12,4,0)</f>
        <v>9.1399999999999988</v>
      </c>
      <c r="E20" s="95">
        <f>VLOOKUP(A20,$A$5:$K$12,5,0)</f>
        <v>7.4857142857142867</v>
      </c>
      <c r="F20" s="94">
        <f>VLOOKUP(A20,$A$5:$K$12,6,0)</f>
        <v>5.083333333333333</v>
      </c>
      <c r="G20" s="95">
        <f>VLOOKUP(A20,$A$5:$K$12,7,0)</f>
        <v>6.8285714285714283</v>
      </c>
      <c r="H20" s="94">
        <f>VLOOKUP(A20,$A$5:$K$12,8,0)</f>
        <v>0.20000000000000004</v>
      </c>
      <c r="I20" s="95">
        <f>VLOOKUP(A20,$A$5:$K$12,9,0)</f>
        <v>0.16428571428571431</v>
      </c>
      <c r="J20" s="94">
        <f>VLOOKUP(A20,$A$5:$K$12,10,0)</f>
        <v>23.04</v>
      </c>
      <c r="K20" s="95">
        <f>VLOOKUP(A20,$A$5:$K$12,11,0)</f>
        <v>16.87142857142857</v>
      </c>
    </row>
  </sheetData>
  <sheetProtection password="DBAF" sheet="1" objects="1" scenarios="1" selectLockedCells="1"/>
  <mergeCells count="14">
    <mergeCell ref="B15:K15"/>
    <mergeCell ref="B14:J14"/>
    <mergeCell ref="B16:C16"/>
    <mergeCell ref="D16:E16"/>
    <mergeCell ref="F16:G16"/>
    <mergeCell ref="H16:I16"/>
    <mergeCell ref="J16:K16"/>
    <mergeCell ref="B1:K1"/>
    <mergeCell ref="J3:K3"/>
    <mergeCell ref="H3:I3"/>
    <mergeCell ref="F3:G3"/>
    <mergeCell ref="D3:E3"/>
    <mergeCell ref="B3:C3"/>
    <mergeCell ref="B2:K2"/>
  </mergeCells>
  <dataValidations count="1">
    <dataValidation type="list" allowBlank="1" showInputMessage="1" showErrorMessage="1" sqref="K14">
      <formula1>"2008, 2009, 2010, 2011, 2012, 2013, 2014, 2015"</formula1>
    </dataValidation>
  </dataValidation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Général</vt:lpstr>
      <vt:lpstr>Données ED</vt:lpstr>
      <vt:lpstr>Analyses ED</vt:lpstr>
      <vt:lpstr>Données C-F</vt:lpstr>
      <vt:lpstr>Analyses C-F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vijo</cp:lastModifiedBy>
  <dcterms:created xsi:type="dcterms:W3CDTF">2011-04-21T06:58:53Z</dcterms:created>
  <dcterms:modified xsi:type="dcterms:W3CDTF">2011-04-26T14:58:41Z</dcterms:modified>
</cp:coreProperties>
</file>