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4115" windowHeight="5190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P92" i="2" l="1"/>
  <c r="BL92" i="2"/>
  <c r="BK92" i="2"/>
  <c r="BJ92" i="2"/>
  <c r="BI92" i="2"/>
  <c r="BH92" i="2"/>
  <c r="BG92" i="2"/>
  <c r="BF92" i="2"/>
  <c r="BE92" i="2"/>
  <c r="BD92" i="2"/>
  <c r="BC92" i="2"/>
  <c r="BB92" i="2"/>
  <c r="BA92" i="2"/>
  <c r="AZ92" i="2"/>
  <c r="AY92" i="2"/>
  <c r="AX92" i="2"/>
  <c r="AW92" i="2"/>
  <c r="AV92" i="2"/>
  <c r="AU92" i="2"/>
  <c r="AT92" i="2"/>
  <c r="AS92" i="2"/>
  <c r="AR92" i="2"/>
  <c r="AQ92" i="2"/>
  <c r="AP92" i="2"/>
  <c r="AO92" i="2"/>
  <c r="AN92" i="2"/>
  <c r="AM92" i="2"/>
  <c r="AL92" i="2"/>
  <c r="AJ92" i="2"/>
  <c r="BO90" i="2"/>
  <c r="BN90" i="2"/>
  <c r="BM90" i="2"/>
  <c r="BL90" i="2"/>
  <c r="BJ90" i="2"/>
  <c r="BI90" i="2"/>
  <c r="BH90" i="2"/>
  <c r="BG90" i="2"/>
  <c r="BF90" i="2"/>
  <c r="BD90" i="2"/>
  <c r="BC90" i="2"/>
  <c r="BB90" i="2"/>
  <c r="AZ90" i="2"/>
  <c r="AY90" i="2"/>
  <c r="AW90" i="2"/>
  <c r="AU90" i="2"/>
  <c r="AT90" i="2"/>
  <c r="AR90" i="2"/>
  <c r="AP90" i="2"/>
  <c r="AO90" i="2"/>
  <c r="AN90" i="2"/>
  <c r="AM90" i="2"/>
  <c r="AL90" i="2"/>
  <c r="AJ90" i="2"/>
  <c r="AB90" i="2"/>
  <c r="BK90" i="2" s="1"/>
  <c r="BK77" i="2" s="1"/>
  <c r="V90" i="2"/>
  <c r="BE90" i="2" s="1"/>
  <c r="R90" i="2"/>
  <c r="BA90" i="2" s="1"/>
  <c r="BA77" i="2" s="1"/>
  <c r="O90" i="2"/>
  <c r="AX90" i="2" s="1"/>
  <c r="AX77" i="2" s="1"/>
  <c r="M90" i="2"/>
  <c r="AV90" i="2" s="1"/>
  <c r="J90" i="2"/>
  <c r="AS90" i="2" s="1"/>
  <c r="H90" i="2"/>
  <c r="AQ90" i="2" s="1"/>
  <c r="AQ77" i="2" s="1"/>
  <c r="B90" i="2"/>
  <c r="AK90" i="2" s="1"/>
  <c r="BP90" i="2" s="1"/>
  <c r="BO89" i="2"/>
  <c r="BN89" i="2"/>
  <c r="BM89" i="2"/>
  <c r="BL89" i="2"/>
  <c r="BK89" i="2"/>
  <c r="BJ89" i="2"/>
  <c r="BI89" i="2"/>
  <c r="BH89" i="2"/>
  <c r="BG89" i="2"/>
  <c r="BF89" i="2"/>
  <c r="BE89" i="2"/>
  <c r="BD89" i="2"/>
  <c r="BC89" i="2"/>
  <c r="BB89" i="2"/>
  <c r="BA89" i="2"/>
  <c r="AZ89" i="2"/>
  <c r="AY89" i="2"/>
  <c r="AX89" i="2"/>
  <c r="AW89" i="2"/>
  <c r="AV89" i="2"/>
  <c r="AU89" i="2"/>
  <c r="AT89" i="2"/>
  <c r="AS89" i="2"/>
  <c r="AR89" i="2"/>
  <c r="AQ89" i="2"/>
  <c r="AP89" i="2"/>
  <c r="AO89" i="2"/>
  <c r="AN89" i="2"/>
  <c r="AM89" i="2"/>
  <c r="AL89" i="2"/>
  <c r="AK89" i="2"/>
  <c r="BP89" i="2" s="1"/>
  <c r="AJ89" i="2"/>
  <c r="AG89" i="2"/>
  <c r="BO88" i="2"/>
  <c r="BN88" i="2"/>
  <c r="BM88" i="2"/>
  <c r="BL88" i="2"/>
  <c r="BK88" i="2"/>
  <c r="BJ88" i="2"/>
  <c r="BI88" i="2"/>
  <c r="BH88" i="2"/>
  <c r="BG88" i="2"/>
  <c r="BF88" i="2"/>
  <c r="BE88" i="2"/>
  <c r="BD88" i="2"/>
  <c r="BC88" i="2"/>
  <c r="BB88" i="2"/>
  <c r="BA88" i="2"/>
  <c r="AZ88" i="2"/>
  <c r="AY88" i="2"/>
  <c r="AX88" i="2"/>
  <c r="AW88" i="2"/>
  <c r="AV88" i="2"/>
  <c r="AU88" i="2"/>
  <c r="AT88" i="2"/>
  <c r="AS88" i="2"/>
  <c r="AR88" i="2"/>
  <c r="AQ88" i="2"/>
  <c r="AP88" i="2"/>
  <c r="AO88" i="2"/>
  <c r="AN88" i="2"/>
  <c r="AM88" i="2"/>
  <c r="AL88" i="2"/>
  <c r="AK88" i="2"/>
  <c r="BP88" i="2" s="1"/>
  <c r="AJ88" i="2"/>
  <c r="AG88" i="2"/>
  <c r="BO87" i="2"/>
  <c r="BN87" i="2"/>
  <c r="BM87" i="2"/>
  <c r="BL87" i="2"/>
  <c r="BK87" i="2"/>
  <c r="BJ87" i="2"/>
  <c r="BI87" i="2"/>
  <c r="BH87" i="2"/>
  <c r="BG87" i="2"/>
  <c r="BF87" i="2"/>
  <c r="BE87" i="2"/>
  <c r="BD87" i="2"/>
  <c r="BC87" i="2"/>
  <c r="BB87" i="2"/>
  <c r="BA87" i="2"/>
  <c r="AZ87" i="2"/>
  <c r="AY87" i="2"/>
  <c r="AX87" i="2"/>
  <c r="AW87" i="2"/>
  <c r="AV87" i="2"/>
  <c r="AU87" i="2"/>
  <c r="AT87" i="2"/>
  <c r="AS87" i="2"/>
  <c r="AR87" i="2"/>
  <c r="AQ87" i="2"/>
  <c r="AP87" i="2"/>
  <c r="AO87" i="2"/>
  <c r="AN87" i="2"/>
  <c r="AM87" i="2"/>
  <c r="AL87" i="2"/>
  <c r="AK87" i="2"/>
  <c r="BP87" i="2" s="1"/>
  <c r="AJ87" i="2"/>
  <c r="AG87" i="2"/>
  <c r="BO86" i="2"/>
  <c r="BN86" i="2"/>
  <c r="BM86" i="2"/>
  <c r="BL86" i="2"/>
  <c r="BK86" i="2"/>
  <c r="BJ86" i="2"/>
  <c r="BI86" i="2"/>
  <c r="BH86" i="2"/>
  <c r="BG86" i="2"/>
  <c r="BF86" i="2"/>
  <c r="BE86" i="2"/>
  <c r="BD86" i="2"/>
  <c r="BC86" i="2"/>
  <c r="BB86" i="2"/>
  <c r="BA86" i="2"/>
  <c r="AZ86" i="2"/>
  <c r="AY86" i="2"/>
  <c r="AX86" i="2"/>
  <c r="AW86" i="2"/>
  <c r="AV86" i="2"/>
  <c r="AU86" i="2"/>
  <c r="AT86" i="2"/>
  <c r="AS86" i="2"/>
  <c r="AR86" i="2"/>
  <c r="AQ86" i="2"/>
  <c r="AP86" i="2"/>
  <c r="AO86" i="2"/>
  <c r="AN86" i="2"/>
  <c r="AM86" i="2"/>
  <c r="AL86" i="2"/>
  <c r="AK86" i="2"/>
  <c r="BP86" i="2" s="1"/>
  <c r="AJ86" i="2"/>
  <c r="AG86" i="2"/>
  <c r="BO85" i="2"/>
  <c r="BN85" i="2"/>
  <c r="BM85" i="2"/>
  <c r="BL85" i="2"/>
  <c r="BK85" i="2"/>
  <c r="BJ85" i="2"/>
  <c r="BI85" i="2"/>
  <c r="BH85" i="2"/>
  <c r="BG85" i="2"/>
  <c r="BF85" i="2"/>
  <c r="BE85" i="2"/>
  <c r="BD85" i="2"/>
  <c r="BC85" i="2"/>
  <c r="BB85" i="2"/>
  <c r="BA85" i="2"/>
  <c r="AZ85" i="2"/>
  <c r="AY85" i="2"/>
  <c r="AX85" i="2"/>
  <c r="AW85" i="2"/>
  <c r="AV85" i="2"/>
  <c r="AU85" i="2"/>
  <c r="AT85" i="2"/>
  <c r="AS85" i="2"/>
  <c r="AR85" i="2"/>
  <c r="AQ85" i="2"/>
  <c r="AP85" i="2"/>
  <c r="AO85" i="2"/>
  <c r="AN85" i="2"/>
  <c r="AM85" i="2"/>
  <c r="AL85" i="2"/>
  <c r="AK85" i="2"/>
  <c r="BP85" i="2" s="1"/>
  <c r="AJ85" i="2"/>
  <c r="AG85" i="2"/>
  <c r="BO84" i="2"/>
  <c r="BN84" i="2"/>
  <c r="BM84" i="2"/>
  <c r="BL84" i="2"/>
  <c r="BK84" i="2"/>
  <c r="BJ84" i="2"/>
  <c r="BI84" i="2"/>
  <c r="BH84" i="2"/>
  <c r="BG84" i="2"/>
  <c r="BF84" i="2"/>
  <c r="BE84" i="2"/>
  <c r="BD84" i="2"/>
  <c r="BC84" i="2"/>
  <c r="BB84" i="2"/>
  <c r="BA84" i="2"/>
  <c r="AZ84" i="2"/>
  <c r="AY84" i="2"/>
  <c r="AX84" i="2"/>
  <c r="AW84" i="2"/>
  <c r="AV84" i="2"/>
  <c r="AU84" i="2"/>
  <c r="AT84" i="2"/>
  <c r="AS84" i="2"/>
  <c r="AR84" i="2"/>
  <c r="AQ84" i="2"/>
  <c r="AP84" i="2"/>
  <c r="AO84" i="2"/>
  <c r="AN84" i="2"/>
  <c r="AM84" i="2"/>
  <c r="AL84" i="2"/>
  <c r="AK84" i="2"/>
  <c r="BP84" i="2" s="1"/>
  <c r="AJ84" i="2"/>
  <c r="AG84" i="2"/>
  <c r="BO83" i="2"/>
  <c r="BN83" i="2"/>
  <c r="BM83" i="2"/>
  <c r="BL83" i="2"/>
  <c r="BK83" i="2"/>
  <c r="BJ83" i="2"/>
  <c r="BI83" i="2"/>
  <c r="BH83" i="2"/>
  <c r="BG83" i="2"/>
  <c r="BF83" i="2"/>
  <c r="BE83" i="2"/>
  <c r="BD83" i="2"/>
  <c r="BC83" i="2"/>
  <c r="BB83" i="2"/>
  <c r="BA83" i="2"/>
  <c r="AZ83" i="2"/>
  <c r="AY83" i="2"/>
  <c r="AX83" i="2"/>
  <c r="AW83" i="2"/>
  <c r="AV83" i="2"/>
  <c r="AU83" i="2"/>
  <c r="AT83" i="2"/>
  <c r="AS83" i="2"/>
  <c r="AR83" i="2"/>
  <c r="AQ83" i="2"/>
  <c r="AP83" i="2"/>
  <c r="AO83" i="2"/>
  <c r="AN83" i="2"/>
  <c r="AM83" i="2"/>
  <c r="AL83" i="2"/>
  <c r="AK83" i="2"/>
  <c r="BP83" i="2" s="1"/>
  <c r="AJ83" i="2"/>
  <c r="AG83" i="2"/>
  <c r="BO82" i="2"/>
  <c r="BN82" i="2"/>
  <c r="BM82" i="2"/>
  <c r="BL82" i="2"/>
  <c r="BK82" i="2"/>
  <c r="BJ82" i="2"/>
  <c r="BI82" i="2"/>
  <c r="BH82" i="2"/>
  <c r="BG82" i="2"/>
  <c r="BF82" i="2"/>
  <c r="BE82" i="2"/>
  <c r="BD82" i="2"/>
  <c r="BC82" i="2"/>
  <c r="BB82" i="2"/>
  <c r="BA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BP82" i="2" s="1"/>
  <c r="AJ82" i="2"/>
  <c r="AG82" i="2"/>
  <c r="BO81" i="2"/>
  <c r="BN81" i="2"/>
  <c r="BM81" i="2"/>
  <c r="BL81" i="2"/>
  <c r="BK81" i="2"/>
  <c r="BJ81" i="2"/>
  <c r="BI81" i="2"/>
  <c r="BH81" i="2"/>
  <c r="BG81" i="2"/>
  <c r="BF81" i="2"/>
  <c r="BE81" i="2"/>
  <c r="BD81" i="2"/>
  <c r="BC81" i="2"/>
  <c r="BB81" i="2"/>
  <c r="BA81" i="2"/>
  <c r="AZ81" i="2"/>
  <c r="AY81" i="2"/>
  <c r="AX81" i="2"/>
  <c r="AW81" i="2"/>
  <c r="AV81" i="2"/>
  <c r="AU81" i="2"/>
  <c r="AT81" i="2"/>
  <c r="AS81" i="2"/>
  <c r="AR81" i="2"/>
  <c r="AQ81" i="2"/>
  <c r="AP81" i="2"/>
  <c r="AO81" i="2"/>
  <c r="AN81" i="2"/>
  <c r="AM81" i="2"/>
  <c r="AL81" i="2"/>
  <c r="BP81" i="2" s="1"/>
  <c r="AK81" i="2"/>
  <c r="AJ81" i="2"/>
  <c r="AG81" i="2"/>
  <c r="BO80" i="2"/>
  <c r="BN80" i="2"/>
  <c r="BM80" i="2"/>
  <c r="BL80" i="2"/>
  <c r="BK80" i="2"/>
  <c r="BJ80" i="2"/>
  <c r="BI80" i="2"/>
  <c r="BH80" i="2"/>
  <c r="BG80" i="2"/>
  <c r="BF80" i="2"/>
  <c r="BE80" i="2"/>
  <c r="BD80" i="2"/>
  <c r="BC80" i="2"/>
  <c r="BB80" i="2"/>
  <c r="BA80" i="2"/>
  <c r="AZ80" i="2"/>
  <c r="AY80" i="2"/>
  <c r="AX80" i="2"/>
  <c r="AW80" i="2"/>
  <c r="AV80" i="2"/>
  <c r="AU80" i="2"/>
  <c r="AT80" i="2"/>
  <c r="AS80" i="2"/>
  <c r="AR80" i="2"/>
  <c r="AQ80" i="2"/>
  <c r="AP80" i="2"/>
  <c r="AO80" i="2"/>
  <c r="AN80" i="2"/>
  <c r="AM80" i="2"/>
  <c r="AL80" i="2"/>
  <c r="BP80" i="2" s="1"/>
  <c r="AK80" i="2"/>
  <c r="AJ80" i="2"/>
  <c r="AG80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BB79" i="2"/>
  <c r="BA79" i="2"/>
  <c r="AZ79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L79" i="2"/>
  <c r="BP79" i="2" s="1"/>
  <c r="AK79" i="2"/>
  <c r="AJ79" i="2"/>
  <c r="AG79" i="2"/>
  <c r="BO78" i="2"/>
  <c r="BN78" i="2"/>
  <c r="BM78" i="2"/>
  <c r="BL78" i="2"/>
  <c r="BK78" i="2"/>
  <c r="BI78" i="2"/>
  <c r="BH78" i="2"/>
  <c r="BB78" i="2"/>
  <c r="BA78" i="2"/>
  <c r="AX78" i="2"/>
  <c r="AW78" i="2"/>
  <c r="AV78" i="2"/>
  <c r="AU78" i="2"/>
  <c r="AT78" i="2"/>
  <c r="AR78" i="2"/>
  <c r="AQ78" i="2"/>
  <c r="AO78" i="2"/>
  <c r="AN78" i="2"/>
  <c r="AJ78" i="2"/>
  <c r="AA78" i="2"/>
  <c r="BJ78" i="2" s="1"/>
  <c r="BJ77" i="2" s="1"/>
  <c r="X78" i="2"/>
  <c r="BG78" i="2" s="1"/>
  <c r="BG77" i="2" s="1"/>
  <c r="W78" i="2"/>
  <c r="BF78" i="2" s="1"/>
  <c r="BF77" i="2" s="1"/>
  <c r="V78" i="2"/>
  <c r="BE78" i="2" s="1"/>
  <c r="BE77" i="2" s="1"/>
  <c r="U78" i="2"/>
  <c r="BD78" i="2" s="1"/>
  <c r="BD77" i="2" s="1"/>
  <c r="T78" i="2"/>
  <c r="BC78" i="2" s="1"/>
  <c r="BC77" i="2" s="1"/>
  <c r="Q78" i="2"/>
  <c r="AZ78" i="2" s="1"/>
  <c r="AZ77" i="2" s="1"/>
  <c r="P78" i="2"/>
  <c r="AY78" i="2" s="1"/>
  <c r="AY77" i="2" s="1"/>
  <c r="J78" i="2"/>
  <c r="AS78" i="2" s="1"/>
  <c r="AS77" i="2" s="1"/>
  <c r="I78" i="2"/>
  <c r="G78" i="2"/>
  <c r="AP78" i="2" s="1"/>
  <c r="D78" i="2"/>
  <c r="AM78" i="2" s="1"/>
  <c r="AM77" i="2" s="1"/>
  <c r="C78" i="2"/>
  <c r="AL78" i="2" s="1"/>
  <c r="B78" i="2"/>
  <c r="AK78" i="2" s="1"/>
  <c r="BO77" i="2"/>
  <c r="BN77" i="2"/>
  <c r="BM77" i="2"/>
  <c r="BL77" i="2"/>
  <c r="BI77" i="2"/>
  <c r="BH77" i="2"/>
  <c r="BB77" i="2"/>
  <c r="AW77" i="2"/>
  <c r="AV77" i="2"/>
  <c r="AU77" i="2"/>
  <c r="AT77" i="2"/>
  <c r="AR77" i="2"/>
  <c r="AP77" i="2"/>
  <c r="AO77" i="2"/>
  <c r="AN77" i="2"/>
  <c r="AL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G77" i="2"/>
  <c r="F77" i="2"/>
  <c r="E77" i="2"/>
  <c r="D77" i="2"/>
  <c r="C77" i="2"/>
  <c r="B77" i="2"/>
  <c r="AG77" i="2" s="1"/>
  <c r="BO76" i="2"/>
  <c r="BN76" i="2"/>
  <c r="BM76" i="2"/>
  <c r="BL76" i="2"/>
  <c r="BK76" i="2"/>
  <c r="BJ76" i="2"/>
  <c r="BI76" i="2"/>
  <c r="BH76" i="2"/>
  <c r="BG76" i="2"/>
  <c r="BF76" i="2"/>
  <c r="BE76" i="2"/>
  <c r="BD76" i="2"/>
  <c r="BC76" i="2"/>
  <c r="BB76" i="2"/>
  <c r="BA76" i="2"/>
  <c r="AZ76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L76" i="2"/>
  <c r="BP76" i="2" s="1"/>
  <c r="AK76" i="2"/>
  <c r="AJ76" i="2"/>
  <c r="AG76" i="2"/>
  <c r="BO75" i="2"/>
  <c r="BN75" i="2"/>
  <c r="BM75" i="2"/>
  <c r="BL75" i="2"/>
  <c r="BK75" i="2"/>
  <c r="BJ75" i="2"/>
  <c r="BI75" i="2"/>
  <c r="BH75" i="2"/>
  <c r="BG75" i="2"/>
  <c r="BF75" i="2"/>
  <c r="BE75" i="2"/>
  <c r="BD75" i="2"/>
  <c r="BC75" i="2"/>
  <c r="BB75" i="2"/>
  <c r="BA75" i="2"/>
  <c r="AZ75" i="2"/>
  <c r="AY75" i="2"/>
  <c r="AX75" i="2"/>
  <c r="AW75" i="2"/>
  <c r="AV75" i="2"/>
  <c r="AU75" i="2"/>
  <c r="AT75" i="2"/>
  <c r="AS75" i="2"/>
  <c r="AR75" i="2"/>
  <c r="AQ75" i="2"/>
  <c r="AP75" i="2"/>
  <c r="AO75" i="2"/>
  <c r="AN75" i="2"/>
  <c r="AM75" i="2"/>
  <c r="AL75" i="2"/>
  <c r="BP75" i="2" s="1"/>
  <c r="AK75" i="2"/>
  <c r="AJ75" i="2"/>
  <c r="AG75" i="2"/>
  <c r="BO74" i="2"/>
  <c r="BN74" i="2"/>
  <c r="BM74" i="2"/>
  <c r="BL74" i="2"/>
  <c r="BK74" i="2"/>
  <c r="BJ74" i="2"/>
  <c r="BI74" i="2"/>
  <c r="BH74" i="2"/>
  <c r="BG74" i="2"/>
  <c r="BF74" i="2"/>
  <c r="BE74" i="2"/>
  <c r="BD74" i="2"/>
  <c r="BC74" i="2"/>
  <c r="BB74" i="2"/>
  <c r="BA74" i="2"/>
  <c r="AZ74" i="2"/>
  <c r="AY74" i="2"/>
  <c r="AX74" i="2"/>
  <c r="AW74" i="2"/>
  <c r="AV74" i="2"/>
  <c r="AU74" i="2"/>
  <c r="AT74" i="2"/>
  <c r="AS74" i="2"/>
  <c r="AR74" i="2"/>
  <c r="AQ74" i="2"/>
  <c r="AP74" i="2"/>
  <c r="AO74" i="2"/>
  <c r="AN74" i="2"/>
  <c r="AM74" i="2"/>
  <c r="AL74" i="2"/>
  <c r="BP74" i="2" s="1"/>
  <c r="AK74" i="2"/>
  <c r="AJ74" i="2"/>
  <c r="AG74" i="2"/>
  <c r="BO73" i="2"/>
  <c r="BN73" i="2"/>
  <c r="BM73" i="2"/>
  <c r="BL73" i="2"/>
  <c r="BK73" i="2"/>
  <c r="BJ73" i="2"/>
  <c r="BI73" i="2"/>
  <c r="BH73" i="2"/>
  <c r="BG73" i="2"/>
  <c r="BF73" i="2"/>
  <c r="BE73" i="2"/>
  <c r="BD73" i="2"/>
  <c r="BC73" i="2"/>
  <c r="BB73" i="2"/>
  <c r="BA73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AL73" i="2"/>
  <c r="BP73" i="2" s="1"/>
  <c r="AK73" i="2"/>
  <c r="AJ73" i="2"/>
  <c r="AG73" i="2"/>
  <c r="BO72" i="2"/>
  <c r="BN72" i="2"/>
  <c r="BM72" i="2"/>
  <c r="BL72" i="2"/>
  <c r="BK72" i="2"/>
  <c r="BJ72" i="2"/>
  <c r="BI72" i="2"/>
  <c r="BH72" i="2"/>
  <c r="BG72" i="2"/>
  <c r="BF72" i="2"/>
  <c r="BE72" i="2"/>
  <c r="BD72" i="2"/>
  <c r="BC72" i="2"/>
  <c r="BB72" i="2"/>
  <c r="BA72" i="2"/>
  <c r="AZ72" i="2"/>
  <c r="AY72" i="2"/>
  <c r="AX72" i="2"/>
  <c r="AW72" i="2"/>
  <c r="AV72" i="2"/>
  <c r="AU72" i="2"/>
  <c r="AT72" i="2"/>
  <c r="AS72" i="2"/>
  <c r="AR72" i="2"/>
  <c r="AQ72" i="2"/>
  <c r="AP72" i="2"/>
  <c r="AO72" i="2"/>
  <c r="AN72" i="2"/>
  <c r="AM72" i="2"/>
  <c r="AL72" i="2"/>
  <c r="BP72" i="2" s="1"/>
  <c r="AK72" i="2"/>
  <c r="AF72" i="2"/>
  <c r="AE72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H72" i="2"/>
  <c r="G72" i="2"/>
  <c r="F72" i="2"/>
  <c r="E72" i="2"/>
  <c r="D72" i="2"/>
  <c r="C72" i="2"/>
  <c r="AG72" i="2" s="1"/>
  <c r="B72" i="2"/>
  <c r="BO71" i="2"/>
  <c r="BN71" i="2"/>
  <c r="BM71" i="2"/>
  <c r="BL71" i="2"/>
  <c r="BK71" i="2"/>
  <c r="BJ71" i="2"/>
  <c r="BI71" i="2"/>
  <c r="BH71" i="2"/>
  <c r="BG71" i="2"/>
  <c r="BF71" i="2"/>
  <c r="BE71" i="2"/>
  <c r="BD71" i="2"/>
  <c r="BC71" i="2"/>
  <c r="BB71" i="2"/>
  <c r="BA71" i="2"/>
  <c r="AZ71" i="2"/>
  <c r="AY71" i="2"/>
  <c r="AX71" i="2"/>
  <c r="AW71" i="2"/>
  <c r="AV71" i="2"/>
  <c r="AU71" i="2"/>
  <c r="AT71" i="2"/>
  <c r="AS71" i="2"/>
  <c r="AR71" i="2"/>
  <c r="AQ71" i="2"/>
  <c r="AP71" i="2"/>
  <c r="AO71" i="2"/>
  <c r="AN71" i="2"/>
  <c r="AM71" i="2"/>
  <c r="AL71" i="2"/>
  <c r="BP71" i="2" s="1"/>
  <c r="AK71" i="2"/>
  <c r="AG71" i="2"/>
  <c r="BO70" i="2"/>
  <c r="BN70" i="2"/>
  <c r="BM70" i="2"/>
  <c r="BL70" i="2"/>
  <c r="BK70" i="2"/>
  <c r="BJ70" i="2"/>
  <c r="BI70" i="2"/>
  <c r="BH70" i="2"/>
  <c r="BG70" i="2"/>
  <c r="BF70" i="2"/>
  <c r="BE70" i="2"/>
  <c r="BD70" i="2"/>
  <c r="BC70" i="2"/>
  <c r="BB70" i="2"/>
  <c r="BA70" i="2"/>
  <c r="AZ70" i="2"/>
  <c r="AY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BP70" i="2" s="1"/>
  <c r="AG70" i="2"/>
  <c r="BO69" i="2"/>
  <c r="BN69" i="2"/>
  <c r="BM69" i="2"/>
  <c r="BL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Y69" i="2"/>
  <c r="AX69" i="2"/>
  <c r="AW69" i="2"/>
  <c r="AV69" i="2"/>
  <c r="AT69" i="2"/>
  <c r="AS69" i="2"/>
  <c r="AR69" i="2"/>
  <c r="AQ69" i="2"/>
  <c r="AP69" i="2"/>
  <c r="AO69" i="2"/>
  <c r="AN69" i="2"/>
  <c r="AM69" i="2"/>
  <c r="AL69" i="2"/>
  <c r="BP69" i="2" s="1"/>
  <c r="AK69" i="2"/>
  <c r="AJ69" i="2"/>
  <c r="L69" i="2"/>
  <c r="AU69" i="2" s="1"/>
  <c r="BO68" i="2"/>
  <c r="BN68" i="2"/>
  <c r="BM68" i="2"/>
  <c r="BL68" i="2"/>
  <c r="BK68" i="2"/>
  <c r="BJ68" i="2"/>
  <c r="BI68" i="2"/>
  <c r="BH68" i="2"/>
  <c r="BG68" i="2"/>
  <c r="BF68" i="2"/>
  <c r="BE68" i="2"/>
  <c r="BD68" i="2"/>
  <c r="BC68" i="2"/>
  <c r="BB68" i="2"/>
  <c r="BA68" i="2"/>
  <c r="AZ68" i="2"/>
  <c r="AY68" i="2"/>
  <c r="AX68" i="2"/>
  <c r="AW68" i="2"/>
  <c r="AV68" i="2"/>
  <c r="AU68" i="2"/>
  <c r="AT68" i="2"/>
  <c r="AS68" i="2"/>
  <c r="AR68" i="2"/>
  <c r="AQ68" i="2"/>
  <c r="AP68" i="2"/>
  <c r="AO68" i="2"/>
  <c r="AN68" i="2"/>
  <c r="AM68" i="2"/>
  <c r="AL68" i="2"/>
  <c r="AK68" i="2"/>
  <c r="BP68" i="2" s="1"/>
  <c r="AJ68" i="2"/>
  <c r="AG68" i="2"/>
  <c r="BO67" i="2"/>
  <c r="BN67" i="2"/>
  <c r="BM67" i="2"/>
  <c r="BL67" i="2"/>
  <c r="BK67" i="2"/>
  <c r="BJ67" i="2"/>
  <c r="BI67" i="2"/>
  <c r="BH67" i="2"/>
  <c r="BG67" i="2"/>
  <c r="BF67" i="2"/>
  <c r="BE67" i="2"/>
  <c r="BD67" i="2"/>
  <c r="BC67" i="2"/>
  <c r="BB67" i="2"/>
  <c r="BA67" i="2"/>
  <c r="AZ67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AL67" i="2"/>
  <c r="AK67" i="2"/>
  <c r="BP67" i="2" s="1"/>
  <c r="AG67" i="2"/>
  <c r="BO66" i="2"/>
  <c r="BN66" i="2"/>
  <c r="BM66" i="2"/>
  <c r="BL66" i="2"/>
  <c r="BK66" i="2"/>
  <c r="BJ66" i="2"/>
  <c r="BI66" i="2"/>
  <c r="BH66" i="2"/>
  <c r="BG66" i="2"/>
  <c r="BF66" i="2"/>
  <c r="BE66" i="2"/>
  <c r="BD66" i="2"/>
  <c r="BC66" i="2"/>
  <c r="BB66" i="2"/>
  <c r="BA66" i="2"/>
  <c r="AZ66" i="2"/>
  <c r="AY66" i="2"/>
  <c r="AX66" i="2"/>
  <c r="AW66" i="2"/>
  <c r="AV66" i="2"/>
  <c r="AU66" i="2"/>
  <c r="AT66" i="2"/>
  <c r="AS66" i="2"/>
  <c r="AR66" i="2"/>
  <c r="AQ66" i="2"/>
  <c r="AP66" i="2"/>
  <c r="AO66" i="2"/>
  <c r="AN66" i="2"/>
  <c r="AM66" i="2"/>
  <c r="AL66" i="2"/>
  <c r="BP66" i="2" s="1"/>
  <c r="AK66" i="2"/>
  <c r="AG66" i="2"/>
  <c r="BO65" i="2"/>
  <c r="BN65" i="2"/>
  <c r="BM65" i="2"/>
  <c r="BL65" i="2"/>
  <c r="BK65" i="2"/>
  <c r="BJ65" i="2"/>
  <c r="BI65" i="2"/>
  <c r="BH65" i="2"/>
  <c r="BG65" i="2"/>
  <c r="BF65" i="2"/>
  <c r="BE65" i="2"/>
  <c r="BD65" i="2"/>
  <c r="BC65" i="2"/>
  <c r="BB65" i="2"/>
  <c r="BA65" i="2"/>
  <c r="AZ65" i="2"/>
  <c r="AY65" i="2"/>
  <c r="AX65" i="2"/>
  <c r="AW65" i="2"/>
  <c r="AV65" i="2"/>
  <c r="AU65" i="2"/>
  <c r="AT65" i="2"/>
  <c r="AS65" i="2"/>
  <c r="AR65" i="2"/>
  <c r="AQ65" i="2"/>
  <c r="AP65" i="2"/>
  <c r="AO65" i="2"/>
  <c r="AN65" i="2"/>
  <c r="AM65" i="2"/>
  <c r="AL65" i="2"/>
  <c r="AK65" i="2"/>
  <c r="BP65" i="2" s="1"/>
  <c r="AJ65" i="2"/>
  <c r="AG65" i="2"/>
  <c r="AF65" i="2"/>
  <c r="BO64" i="2"/>
  <c r="BN64" i="2"/>
  <c r="BM64" i="2"/>
  <c r="BL64" i="2"/>
  <c r="BK64" i="2"/>
  <c r="BJ64" i="2"/>
  <c r="BI64" i="2"/>
  <c r="BH64" i="2"/>
  <c r="BG64" i="2"/>
  <c r="BF64" i="2"/>
  <c r="BE64" i="2"/>
  <c r="BD64" i="2"/>
  <c r="BC64" i="2"/>
  <c r="BB64" i="2"/>
  <c r="BA64" i="2"/>
  <c r="AZ64" i="2"/>
  <c r="AY64" i="2"/>
  <c r="AX64" i="2"/>
  <c r="AW64" i="2"/>
  <c r="AV64" i="2"/>
  <c r="AU64" i="2"/>
  <c r="AT64" i="2"/>
  <c r="AS64" i="2"/>
  <c r="AR64" i="2"/>
  <c r="AQ64" i="2"/>
  <c r="AP64" i="2"/>
  <c r="AO64" i="2"/>
  <c r="AN64" i="2"/>
  <c r="AM64" i="2"/>
  <c r="AL64" i="2"/>
  <c r="BP64" i="2" s="1"/>
  <c r="AK64" i="2"/>
  <c r="AJ64" i="2"/>
  <c r="AG64" i="2"/>
  <c r="BO63" i="2"/>
  <c r="BN63" i="2"/>
  <c r="BM63" i="2"/>
  <c r="BL63" i="2"/>
  <c r="BK63" i="2"/>
  <c r="BJ63" i="2"/>
  <c r="BI63" i="2"/>
  <c r="BH63" i="2"/>
  <c r="BG63" i="2"/>
  <c r="BF63" i="2"/>
  <c r="BE63" i="2"/>
  <c r="BD63" i="2"/>
  <c r="BC63" i="2"/>
  <c r="BB63" i="2"/>
  <c r="BA63" i="2"/>
  <c r="AZ63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BP63" i="2" s="1"/>
  <c r="AK63" i="2"/>
  <c r="AG63" i="2"/>
  <c r="BO62" i="2"/>
  <c r="BN62" i="2"/>
  <c r="BM62" i="2"/>
  <c r="BL62" i="2"/>
  <c r="BK62" i="2"/>
  <c r="BJ62" i="2"/>
  <c r="BI62" i="2"/>
  <c r="BH62" i="2"/>
  <c r="BG62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BP62" i="2" s="1"/>
  <c r="AG62" i="2"/>
  <c r="BO61" i="2"/>
  <c r="BN61" i="2"/>
  <c r="BM61" i="2"/>
  <c r="BL61" i="2"/>
  <c r="BK61" i="2"/>
  <c r="BJ61" i="2"/>
  <c r="BI61" i="2"/>
  <c r="BH61" i="2"/>
  <c r="BG61" i="2"/>
  <c r="BF61" i="2"/>
  <c r="BE61" i="2"/>
  <c r="BD61" i="2"/>
  <c r="BC61" i="2"/>
  <c r="BB61" i="2"/>
  <c r="BA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AL61" i="2"/>
  <c r="BP61" i="2" s="1"/>
  <c r="AK61" i="2"/>
  <c r="AG61" i="2"/>
  <c r="BO60" i="2"/>
  <c r="BN60" i="2"/>
  <c r="BM60" i="2"/>
  <c r="BL60" i="2"/>
  <c r="BK60" i="2"/>
  <c r="BJ60" i="2"/>
  <c r="BI60" i="2"/>
  <c r="BH60" i="2"/>
  <c r="BG60" i="2"/>
  <c r="BF60" i="2"/>
  <c r="BE60" i="2"/>
  <c r="BD60" i="2"/>
  <c r="BC60" i="2"/>
  <c r="BB60" i="2"/>
  <c r="BA60" i="2"/>
  <c r="AZ60" i="2"/>
  <c r="AY60" i="2"/>
  <c r="AX60" i="2"/>
  <c r="AW60" i="2"/>
  <c r="AV60" i="2"/>
  <c r="AU60" i="2"/>
  <c r="AT60" i="2"/>
  <c r="AS60" i="2"/>
  <c r="AR60" i="2"/>
  <c r="AQ60" i="2"/>
  <c r="AP60" i="2"/>
  <c r="AO60" i="2"/>
  <c r="AN60" i="2"/>
  <c r="AM60" i="2"/>
  <c r="AL60" i="2"/>
  <c r="AK60" i="2"/>
  <c r="BP60" i="2" s="1"/>
  <c r="AJ60" i="2"/>
  <c r="AG60" i="2"/>
  <c r="BO59" i="2"/>
  <c r="BN59" i="2"/>
  <c r="BM59" i="2"/>
  <c r="BL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Y59" i="2"/>
  <c r="AX59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BP59" i="2" s="1"/>
  <c r="AG59" i="2"/>
  <c r="BO57" i="2"/>
  <c r="BN57" i="2"/>
  <c r="BM57" i="2"/>
  <c r="BL57" i="2"/>
  <c r="BK57" i="2"/>
  <c r="BJ57" i="2"/>
  <c r="BI57" i="2"/>
  <c r="BH57" i="2"/>
  <c r="BG57" i="2"/>
  <c r="BF57" i="2"/>
  <c r="BE57" i="2"/>
  <c r="BD57" i="2"/>
  <c r="BC57" i="2"/>
  <c r="BB57" i="2"/>
  <c r="BA57" i="2"/>
  <c r="AZ57" i="2"/>
  <c r="AY57" i="2"/>
  <c r="AX57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BP57" i="2" s="1"/>
  <c r="AK57" i="2"/>
  <c r="AJ57" i="2"/>
  <c r="AG57" i="2"/>
  <c r="BO56" i="2"/>
  <c r="BN56" i="2"/>
  <c r="BM56" i="2"/>
  <c r="BL56" i="2"/>
  <c r="BK56" i="2"/>
  <c r="BJ56" i="2"/>
  <c r="BI56" i="2"/>
  <c r="BH56" i="2"/>
  <c r="BG56" i="2"/>
  <c r="BF56" i="2"/>
  <c r="BE56" i="2"/>
  <c r="BD56" i="2"/>
  <c r="BC56" i="2"/>
  <c r="BB56" i="2"/>
  <c r="BA56" i="2"/>
  <c r="AZ56" i="2"/>
  <c r="AY56" i="2"/>
  <c r="AX56" i="2"/>
  <c r="AW56" i="2"/>
  <c r="AV56" i="2"/>
  <c r="AU56" i="2"/>
  <c r="AT56" i="2"/>
  <c r="AS56" i="2"/>
  <c r="AR56" i="2"/>
  <c r="AQ56" i="2"/>
  <c r="AP56" i="2"/>
  <c r="AO56" i="2"/>
  <c r="AN56" i="2"/>
  <c r="AM56" i="2"/>
  <c r="AL56" i="2"/>
  <c r="BP56" i="2" s="1"/>
  <c r="AK56" i="2"/>
  <c r="AG56" i="2"/>
  <c r="BO53" i="2"/>
  <c r="BO52" i="2" s="1"/>
  <c r="BM53" i="2"/>
  <c r="BM52" i="2" s="1"/>
  <c r="BK53" i="2"/>
  <c r="BK52" i="2" s="1"/>
  <c r="BK94" i="2" s="1"/>
  <c r="BI53" i="2"/>
  <c r="BI52" i="2" s="1"/>
  <c r="BI94" i="2" s="1"/>
  <c r="BG53" i="2"/>
  <c r="BG52" i="2" s="1"/>
  <c r="BG94" i="2" s="1"/>
  <c r="BE53" i="2"/>
  <c r="BE52" i="2" s="1"/>
  <c r="BE94" i="2" s="1"/>
  <c r="BC53" i="2"/>
  <c r="BC52" i="2" s="1"/>
  <c r="BC94" i="2" s="1"/>
  <c r="BA53" i="2"/>
  <c r="BA52" i="2" s="1"/>
  <c r="BA94" i="2" s="1"/>
  <c r="AY53" i="2"/>
  <c r="AY52" i="2" s="1"/>
  <c r="AY94" i="2" s="1"/>
  <c r="AW53" i="2"/>
  <c r="AW52" i="2" s="1"/>
  <c r="AW94" i="2" s="1"/>
  <c r="AU53" i="2"/>
  <c r="AU52" i="2" s="1"/>
  <c r="AU94" i="2" s="1"/>
  <c r="AS53" i="2"/>
  <c r="AS52" i="2" s="1"/>
  <c r="AS94" i="2" s="1"/>
  <c r="AQ53" i="2"/>
  <c r="AQ52" i="2" s="1"/>
  <c r="AQ94" i="2" s="1"/>
  <c r="AO53" i="2"/>
  <c r="AO52" i="2" s="1"/>
  <c r="AO94" i="2" s="1"/>
  <c r="AM53" i="2"/>
  <c r="AM52" i="2" s="1"/>
  <c r="AM94" i="2" s="1"/>
  <c r="AK53" i="2"/>
  <c r="AJ53" i="2"/>
  <c r="AF53" i="2"/>
  <c r="AE53" i="2"/>
  <c r="BN53" i="2" s="1"/>
  <c r="BN52" i="2" s="1"/>
  <c r="AD53" i="2"/>
  <c r="AC53" i="2"/>
  <c r="BL53" i="2" s="1"/>
  <c r="BL52" i="2" s="1"/>
  <c r="BL94" i="2" s="1"/>
  <c r="AB53" i="2"/>
  <c r="AA53" i="2"/>
  <c r="BJ53" i="2" s="1"/>
  <c r="BJ52" i="2" s="1"/>
  <c r="BJ94" i="2" s="1"/>
  <c r="Z53" i="2"/>
  <c r="Y53" i="2"/>
  <c r="BH53" i="2" s="1"/>
  <c r="BH52" i="2" s="1"/>
  <c r="BH94" i="2" s="1"/>
  <c r="X53" i="2"/>
  <c r="W53" i="2"/>
  <c r="BF53" i="2" s="1"/>
  <c r="BF52" i="2" s="1"/>
  <c r="BF94" i="2" s="1"/>
  <c r="V53" i="2"/>
  <c r="U53" i="2"/>
  <c r="BD53" i="2" s="1"/>
  <c r="BD52" i="2" s="1"/>
  <c r="BD94" i="2" s="1"/>
  <c r="T53" i="2"/>
  <c r="S53" i="2"/>
  <c r="BB53" i="2" s="1"/>
  <c r="BB52" i="2" s="1"/>
  <c r="BB94" i="2" s="1"/>
  <c r="R53" i="2"/>
  <c r="Q53" i="2"/>
  <c r="AZ53" i="2" s="1"/>
  <c r="AZ52" i="2" s="1"/>
  <c r="AZ94" i="2" s="1"/>
  <c r="P53" i="2"/>
  <c r="O53" i="2"/>
  <c r="AX53" i="2" s="1"/>
  <c r="AX52" i="2" s="1"/>
  <c r="AX94" i="2" s="1"/>
  <c r="N53" i="2"/>
  <c r="M53" i="2"/>
  <c r="AV53" i="2" s="1"/>
  <c r="AV52" i="2" s="1"/>
  <c r="AV94" i="2" s="1"/>
  <c r="L53" i="2"/>
  <c r="K53" i="2"/>
  <c r="AT53" i="2" s="1"/>
  <c r="AT52" i="2" s="1"/>
  <c r="AT94" i="2" s="1"/>
  <c r="J53" i="2"/>
  <c r="I53" i="2"/>
  <c r="AR53" i="2" s="1"/>
  <c r="AR52" i="2" s="1"/>
  <c r="AR94" i="2" s="1"/>
  <c r="H53" i="2"/>
  <c r="G53" i="2"/>
  <c r="AP53" i="2" s="1"/>
  <c r="AP52" i="2" s="1"/>
  <c r="AP94" i="2" s="1"/>
  <c r="F53" i="2"/>
  <c r="E53" i="2"/>
  <c r="AN53" i="2" s="1"/>
  <c r="AN52" i="2" s="1"/>
  <c r="AN94" i="2" s="1"/>
  <c r="D53" i="2"/>
  <c r="C53" i="2"/>
  <c r="AL53" i="2" s="1"/>
  <c r="AL52" i="2" s="1"/>
  <c r="AL94" i="2" s="1"/>
  <c r="B53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AG52" i="2" s="1"/>
  <c r="B51" i="2"/>
  <c r="AP50" i="2"/>
  <c r="AO50" i="2"/>
  <c r="AM50" i="2"/>
  <c r="AK50" i="2"/>
  <c r="AF50" i="2"/>
  <c r="BO50" i="2" s="1"/>
  <c r="AE50" i="2"/>
  <c r="BN50" i="2" s="1"/>
  <c r="AD50" i="2"/>
  <c r="BM50" i="2" s="1"/>
  <c r="AC50" i="2"/>
  <c r="BL50" i="2" s="1"/>
  <c r="AB50" i="2"/>
  <c r="BK50" i="2" s="1"/>
  <c r="AA50" i="2"/>
  <c r="BJ50" i="2" s="1"/>
  <c r="Z50" i="2"/>
  <c r="BI50" i="2" s="1"/>
  <c r="Y50" i="2"/>
  <c r="BH50" i="2" s="1"/>
  <c r="X50" i="2"/>
  <c r="BG50" i="2" s="1"/>
  <c r="W50" i="2"/>
  <c r="BF50" i="2" s="1"/>
  <c r="V50" i="2"/>
  <c r="BE50" i="2" s="1"/>
  <c r="U50" i="2"/>
  <c r="BD50" i="2" s="1"/>
  <c r="T50" i="2"/>
  <c r="BC50" i="2" s="1"/>
  <c r="S50" i="2"/>
  <c r="BB50" i="2" s="1"/>
  <c r="R50" i="2"/>
  <c r="BA50" i="2" s="1"/>
  <c r="Q50" i="2"/>
  <c r="AZ50" i="2" s="1"/>
  <c r="P50" i="2"/>
  <c r="AY50" i="2" s="1"/>
  <c r="O50" i="2"/>
  <c r="AX50" i="2" s="1"/>
  <c r="N50" i="2"/>
  <c r="AW50" i="2" s="1"/>
  <c r="M50" i="2"/>
  <c r="AV50" i="2" s="1"/>
  <c r="L50" i="2"/>
  <c r="AU50" i="2" s="1"/>
  <c r="K50" i="2"/>
  <c r="AT50" i="2" s="1"/>
  <c r="J50" i="2"/>
  <c r="AS50" i="2" s="1"/>
  <c r="I50" i="2"/>
  <c r="AR50" i="2" s="1"/>
  <c r="H50" i="2"/>
  <c r="AQ50" i="2" s="1"/>
  <c r="F50" i="2"/>
  <c r="E50" i="2"/>
  <c r="D50" i="2"/>
  <c r="C50" i="2"/>
  <c r="B50" i="2"/>
  <c r="BN49" i="2"/>
  <c r="BL49" i="2"/>
  <c r="BJ49" i="2"/>
  <c r="BH49" i="2"/>
  <c r="BF49" i="2"/>
  <c r="BD49" i="2"/>
  <c r="BB49" i="2"/>
  <c r="AZ49" i="2"/>
  <c r="AX49" i="2"/>
  <c r="AV49" i="2"/>
  <c r="AT49" i="2"/>
  <c r="AR49" i="2"/>
  <c r="AP49" i="2"/>
  <c r="AJ49" i="2"/>
  <c r="AE49" i="2"/>
  <c r="AC49" i="2"/>
  <c r="AA49" i="2"/>
  <c r="Y49" i="2"/>
  <c r="W49" i="2"/>
  <c r="U49" i="2"/>
  <c r="S49" i="2"/>
  <c r="Q49" i="2"/>
  <c r="O49" i="2"/>
  <c r="M49" i="2"/>
  <c r="K49" i="2"/>
  <c r="I49" i="2"/>
  <c r="G49" i="2"/>
  <c r="F49" i="2"/>
  <c r="AO49" i="2" s="1"/>
  <c r="D49" i="2"/>
  <c r="AM49" i="2" s="1"/>
  <c r="B49" i="2"/>
  <c r="BO48" i="2"/>
  <c r="BN48" i="2"/>
  <c r="BM48" i="2"/>
  <c r="BL48" i="2"/>
  <c r="BK48" i="2"/>
  <c r="BJ48" i="2"/>
  <c r="BI48" i="2"/>
  <c r="BH48" i="2"/>
  <c r="BG48" i="2"/>
  <c r="BF48" i="2"/>
  <c r="BE48" i="2"/>
  <c r="BD48" i="2"/>
  <c r="BC48" i="2"/>
  <c r="BB48" i="2"/>
  <c r="BA48" i="2"/>
  <c r="AY48" i="2"/>
  <c r="AX48" i="2"/>
  <c r="AW48" i="2"/>
  <c r="AV48" i="2"/>
  <c r="AU48" i="2"/>
  <c r="AT48" i="2"/>
  <c r="AS48" i="2"/>
  <c r="AR48" i="2"/>
  <c r="AQ48" i="2"/>
  <c r="AP48" i="2"/>
  <c r="AO48" i="2"/>
  <c r="AN48" i="2"/>
  <c r="AL48" i="2"/>
  <c r="AK48" i="2"/>
  <c r="AJ48" i="2"/>
  <c r="Q48" i="2"/>
  <c r="AZ48" i="2" s="1"/>
  <c r="AZ36" i="2" s="1"/>
  <c r="D48" i="2"/>
  <c r="AM48" i="2" s="1"/>
  <c r="AM36" i="2" s="1"/>
  <c r="BO47" i="2"/>
  <c r="BN47" i="2"/>
  <c r="BM47" i="2"/>
  <c r="BL47" i="2"/>
  <c r="BK47" i="2"/>
  <c r="BJ47" i="2"/>
  <c r="BI47" i="2"/>
  <c r="BH47" i="2"/>
  <c r="BG47" i="2"/>
  <c r="BF47" i="2"/>
  <c r="BE47" i="2"/>
  <c r="BD47" i="2"/>
  <c r="BC47" i="2"/>
  <c r="BB47" i="2"/>
  <c r="BA47" i="2"/>
  <c r="AZ47" i="2"/>
  <c r="AY47" i="2"/>
  <c r="AX47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BP47" i="2" s="1"/>
  <c r="AJ47" i="2"/>
  <c r="AG47" i="2"/>
  <c r="BO46" i="2"/>
  <c r="BN46" i="2"/>
  <c r="BM46" i="2"/>
  <c r="BL46" i="2"/>
  <c r="BK46" i="2"/>
  <c r="BJ46" i="2"/>
  <c r="BI46" i="2"/>
  <c r="BH46" i="2"/>
  <c r="BG46" i="2"/>
  <c r="BF46" i="2"/>
  <c r="BE46" i="2"/>
  <c r="BD46" i="2"/>
  <c r="BC46" i="2"/>
  <c r="BB46" i="2"/>
  <c r="BA46" i="2"/>
  <c r="AZ46" i="2"/>
  <c r="AY46" i="2"/>
  <c r="AX46" i="2"/>
  <c r="AW46" i="2"/>
  <c r="AV46" i="2"/>
  <c r="AU46" i="2"/>
  <c r="AT46" i="2"/>
  <c r="AS46" i="2"/>
  <c r="AR46" i="2"/>
  <c r="AQ46" i="2"/>
  <c r="AP46" i="2"/>
  <c r="AO46" i="2"/>
  <c r="AN46" i="2"/>
  <c r="AM46" i="2"/>
  <c r="AL46" i="2"/>
  <c r="AK46" i="2"/>
  <c r="BP46" i="2" s="1"/>
  <c r="AJ46" i="2"/>
  <c r="AG46" i="2"/>
  <c r="BO45" i="2"/>
  <c r="BN45" i="2"/>
  <c r="BM45" i="2"/>
  <c r="BL45" i="2"/>
  <c r="BK45" i="2"/>
  <c r="BJ45" i="2"/>
  <c r="BI45" i="2"/>
  <c r="BH45" i="2"/>
  <c r="BG45" i="2"/>
  <c r="BF45" i="2"/>
  <c r="BE45" i="2"/>
  <c r="BD45" i="2"/>
  <c r="BC45" i="2"/>
  <c r="BB45" i="2"/>
  <c r="BA45" i="2"/>
  <c r="AZ45" i="2"/>
  <c r="AY45" i="2"/>
  <c r="AX45" i="2"/>
  <c r="AW45" i="2"/>
  <c r="AV45" i="2"/>
  <c r="AU45" i="2"/>
  <c r="AT45" i="2"/>
  <c r="AS45" i="2"/>
  <c r="AR45" i="2"/>
  <c r="AQ45" i="2"/>
  <c r="AP45" i="2"/>
  <c r="AO45" i="2"/>
  <c r="AN45" i="2"/>
  <c r="AM45" i="2"/>
  <c r="AL45" i="2"/>
  <c r="AK45" i="2"/>
  <c r="BP45" i="2" s="1"/>
  <c r="AJ45" i="2"/>
  <c r="AG45" i="2"/>
  <c r="BO44" i="2"/>
  <c r="BN44" i="2"/>
  <c r="BM44" i="2"/>
  <c r="BL44" i="2"/>
  <c r="BK44" i="2"/>
  <c r="BJ44" i="2"/>
  <c r="BI44" i="2"/>
  <c r="BH44" i="2"/>
  <c r="BG44" i="2"/>
  <c r="BF44" i="2"/>
  <c r="BE44" i="2"/>
  <c r="BD44" i="2"/>
  <c r="BC44" i="2"/>
  <c r="BB44" i="2"/>
  <c r="BA44" i="2"/>
  <c r="AZ44" i="2"/>
  <c r="AY44" i="2"/>
  <c r="AX44" i="2"/>
  <c r="AW44" i="2"/>
  <c r="AV44" i="2"/>
  <c r="AU44" i="2"/>
  <c r="AT44" i="2"/>
  <c r="AS44" i="2"/>
  <c r="AR44" i="2"/>
  <c r="AQ44" i="2"/>
  <c r="AP44" i="2"/>
  <c r="AO44" i="2"/>
  <c r="AN44" i="2"/>
  <c r="AM44" i="2"/>
  <c r="AL44" i="2"/>
  <c r="AK44" i="2"/>
  <c r="BP44" i="2" s="1"/>
  <c r="AJ44" i="2"/>
  <c r="AG44" i="2"/>
  <c r="BO43" i="2"/>
  <c r="BN43" i="2"/>
  <c r="BM43" i="2"/>
  <c r="BL43" i="2"/>
  <c r="BK43" i="2"/>
  <c r="BJ43" i="2"/>
  <c r="BI43" i="2"/>
  <c r="BH43" i="2"/>
  <c r="BG43" i="2"/>
  <c r="BF43" i="2"/>
  <c r="BE43" i="2"/>
  <c r="BD43" i="2"/>
  <c r="BC43" i="2"/>
  <c r="BB43" i="2"/>
  <c r="BA43" i="2"/>
  <c r="AZ43" i="2"/>
  <c r="AY43" i="2"/>
  <c r="AX43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BP43" i="2" s="1"/>
  <c r="AJ43" i="2"/>
  <c r="AG43" i="2"/>
  <c r="BO42" i="2"/>
  <c r="BN42" i="2"/>
  <c r="BM42" i="2"/>
  <c r="BL42" i="2"/>
  <c r="BK42" i="2"/>
  <c r="BJ42" i="2"/>
  <c r="BI42" i="2"/>
  <c r="BH42" i="2"/>
  <c r="BG42" i="2"/>
  <c r="BF42" i="2"/>
  <c r="BE42" i="2"/>
  <c r="BD42" i="2"/>
  <c r="BC42" i="2"/>
  <c r="BB42" i="2"/>
  <c r="BA42" i="2"/>
  <c r="AZ42" i="2"/>
  <c r="AY42" i="2"/>
  <c r="AX42" i="2"/>
  <c r="AW42" i="2"/>
  <c r="AV42" i="2"/>
  <c r="AU42" i="2"/>
  <c r="AT42" i="2"/>
  <c r="AS42" i="2"/>
  <c r="AR42" i="2"/>
  <c r="AQ42" i="2"/>
  <c r="AP42" i="2"/>
  <c r="AO42" i="2"/>
  <c r="AN42" i="2"/>
  <c r="AM42" i="2"/>
  <c r="AL42" i="2"/>
  <c r="AK42" i="2"/>
  <c r="BP42" i="2" s="1"/>
  <c r="AJ42" i="2"/>
  <c r="AG42" i="2"/>
  <c r="BO41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BP41" i="2" s="1"/>
  <c r="AJ41" i="2"/>
  <c r="AG41" i="2"/>
  <c r="BO40" i="2"/>
  <c r="BN40" i="2"/>
  <c r="BM40" i="2"/>
  <c r="BL40" i="2"/>
  <c r="BK40" i="2"/>
  <c r="BJ40" i="2"/>
  <c r="BI40" i="2"/>
  <c r="BH40" i="2"/>
  <c r="BG40" i="2"/>
  <c r="BF40" i="2"/>
  <c r="BE40" i="2"/>
  <c r="BD40" i="2"/>
  <c r="BC40" i="2"/>
  <c r="BB40" i="2"/>
  <c r="BA40" i="2"/>
  <c r="AZ40" i="2"/>
  <c r="AY40" i="2"/>
  <c r="AX40" i="2"/>
  <c r="AW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BP40" i="2" s="1"/>
  <c r="AJ40" i="2"/>
  <c r="AG40" i="2"/>
  <c r="BO39" i="2"/>
  <c r="BN39" i="2"/>
  <c r="BM39" i="2"/>
  <c r="BL39" i="2"/>
  <c r="BK39" i="2"/>
  <c r="BJ39" i="2"/>
  <c r="BI39" i="2"/>
  <c r="BH39" i="2"/>
  <c r="BG39" i="2"/>
  <c r="BF39" i="2"/>
  <c r="BE39" i="2"/>
  <c r="BD39" i="2"/>
  <c r="BC39" i="2"/>
  <c r="BB39" i="2"/>
  <c r="BA39" i="2"/>
  <c r="AZ39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BP39" i="2" s="1"/>
  <c r="AJ39" i="2"/>
  <c r="AG39" i="2"/>
  <c r="BO38" i="2"/>
  <c r="BN38" i="2"/>
  <c r="BM38" i="2"/>
  <c r="BL38" i="2"/>
  <c r="BK38" i="2"/>
  <c r="BJ38" i="2"/>
  <c r="BI38" i="2"/>
  <c r="BH38" i="2"/>
  <c r="BG38" i="2"/>
  <c r="BF38" i="2"/>
  <c r="BE38" i="2"/>
  <c r="BD38" i="2"/>
  <c r="BC38" i="2"/>
  <c r="BB38" i="2"/>
  <c r="BA38" i="2"/>
  <c r="AZ38" i="2"/>
  <c r="AY38" i="2"/>
  <c r="AX38" i="2"/>
  <c r="AW38" i="2"/>
  <c r="AV38" i="2"/>
  <c r="AU38" i="2"/>
  <c r="AT38" i="2"/>
  <c r="AS38" i="2"/>
  <c r="AR38" i="2"/>
  <c r="AQ38" i="2"/>
  <c r="AP38" i="2"/>
  <c r="AO38" i="2"/>
  <c r="AN38" i="2"/>
  <c r="AM38" i="2"/>
  <c r="AL38" i="2"/>
  <c r="AK38" i="2"/>
  <c r="BP38" i="2" s="1"/>
  <c r="AJ38" i="2"/>
  <c r="AG38" i="2"/>
  <c r="BO37" i="2"/>
  <c r="BO36" i="2" s="1"/>
  <c r="BO51" i="2" s="1"/>
  <c r="BN37" i="2"/>
  <c r="BM37" i="2"/>
  <c r="BM36" i="2" s="1"/>
  <c r="BL37" i="2"/>
  <c r="BK37" i="2"/>
  <c r="BK36" i="2" s="1"/>
  <c r="BJ37" i="2"/>
  <c r="BI37" i="2"/>
  <c r="BI36" i="2" s="1"/>
  <c r="BH37" i="2"/>
  <c r="BG37" i="2"/>
  <c r="BG36" i="2" s="1"/>
  <c r="BG51" i="2" s="1"/>
  <c r="BF37" i="2"/>
  <c r="BE37" i="2"/>
  <c r="BE36" i="2" s="1"/>
  <c r="BD37" i="2"/>
  <c r="BC37" i="2"/>
  <c r="BC36" i="2" s="1"/>
  <c r="BC51" i="2" s="1"/>
  <c r="BB37" i="2"/>
  <c r="BA37" i="2"/>
  <c r="BA36" i="2" s="1"/>
  <c r="AZ37" i="2"/>
  <c r="AY37" i="2"/>
  <c r="AX37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BP37" i="2" s="1"/>
  <c r="AJ37" i="2"/>
  <c r="AG37" i="2"/>
  <c r="BN36" i="2"/>
  <c r="BL36" i="2"/>
  <c r="BJ36" i="2"/>
  <c r="BH36" i="2"/>
  <c r="BF36" i="2"/>
  <c r="BD36" i="2"/>
  <c r="BB36" i="2"/>
  <c r="AY36" i="2"/>
  <c r="AY51" i="2" s="1"/>
  <c r="AX36" i="2"/>
  <c r="AW36" i="2"/>
  <c r="AV36" i="2"/>
  <c r="AU36" i="2"/>
  <c r="AT36" i="2"/>
  <c r="AS36" i="2"/>
  <c r="AR36" i="2"/>
  <c r="AQ36" i="2"/>
  <c r="AP36" i="2"/>
  <c r="AO36" i="2"/>
  <c r="AN36" i="2"/>
  <c r="AL36" i="2"/>
  <c r="AK36" i="2"/>
  <c r="AF36" i="2"/>
  <c r="AF51" i="2" s="1"/>
  <c r="AE36" i="2"/>
  <c r="AD36" i="2"/>
  <c r="AC36" i="2"/>
  <c r="AB36" i="2"/>
  <c r="AA36" i="2"/>
  <c r="Z36" i="2"/>
  <c r="Y36" i="2"/>
  <c r="X36" i="2"/>
  <c r="X51" i="2" s="1"/>
  <c r="W36" i="2"/>
  <c r="V36" i="2"/>
  <c r="U36" i="2"/>
  <c r="T36" i="2"/>
  <c r="T51" i="2" s="1"/>
  <c r="S36" i="2"/>
  <c r="R36" i="2"/>
  <c r="Q36" i="2"/>
  <c r="P36" i="2"/>
  <c r="P51" i="2" s="1"/>
  <c r="O36" i="2"/>
  <c r="N36" i="2"/>
  <c r="M36" i="2"/>
  <c r="L36" i="2"/>
  <c r="L51" i="2" s="1"/>
  <c r="K36" i="2"/>
  <c r="J36" i="2"/>
  <c r="I36" i="2"/>
  <c r="H36" i="2"/>
  <c r="H51" i="2" s="1"/>
  <c r="G36" i="2"/>
  <c r="F36" i="2"/>
  <c r="E36" i="2"/>
  <c r="D36" i="2"/>
  <c r="D51" i="2" s="1"/>
  <c r="C36" i="2"/>
  <c r="B36" i="2"/>
  <c r="AG36" i="2" s="1"/>
  <c r="BO35" i="2"/>
  <c r="BN35" i="2"/>
  <c r="BM35" i="2"/>
  <c r="BL35" i="2"/>
  <c r="BK35" i="2"/>
  <c r="BJ35" i="2"/>
  <c r="BI35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BP35" i="2" s="1"/>
  <c r="AJ35" i="2"/>
  <c r="AG35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BB34" i="2"/>
  <c r="BA34" i="2"/>
  <c r="AZ34" i="2"/>
  <c r="AY34" i="2"/>
  <c r="AX34" i="2"/>
  <c r="AW34" i="2"/>
  <c r="AV34" i="2"/>
  <c r="AU34" i="2"/>
  <c r="AT34" i="2"/>
  <c r="AS34" i="2"/>
  <c r="AR34" i="2"/>
  <c r="AQ34" i="2"/>
  <c r="AP34" i="2"/>
  <c r="AO34" i="2"/>
  <c r="AN34" i="2"/>
  <c r="AM34" i="2"/>
  <c r="AL34" i="2"/>
  <c r="AK34" i="2"/>
  <c r="BP34" i="2" s="1"/>
  <c r="AJ34" i="2"/>
  <c r="AG34" i="2"/>
  <c r="BO33" i="2"/>
  <c r="BO32" i="2" s="1"/>
  <c r="BN33" i="2"/>
  <c r="BM33" i="2"/>
  <c r="BM32" i="2" s="1"/>
  <c r="BL33" i="2"/>
  <c r="BK33" i="2"/>
  <c r="BK32" i="2" s="1"/>
  <c r="BJ33" i="2"/>
  <c r="BI33" i="2"/>
  <c r="BI32" i="2" s="1"/>
  <c r="BH33" i="2"/>
  <c r="BG33" i="2"/>
  <c r="BG32" i="2" s="1"/>
  <c r="BF33" i="2"/>
  <c r="BE33" i="2"/>
  <c r="BE32" i="2" s="1"/>
  <c r="BD33" i="2"/>
  <c r="BC33" i="2"/>
  <c r="BC32" i="2" s="1"/>
  <c r="BB33" i="2"/>
  <c r="BA33" i="2"/>
  <c r="BA32" i="2" s="1"/>
  <c r="AZ33" i="2"/>
  <c r="AY33" i="2"/>
  <c r="AY32" i="2" s="1"/>
  <c r="AX33" i="2"/>
  <c r="AW33" i="2"/>
  <c r="AW32" i="2" s="1"/>
  <c r="AV33" i="2"/>
  <c r="AU33" i="2"/>
  <c r="AU32" i="2" s="1"/>
  <c r="AT33" i="2"/>
  <c r="AS33" i="2"/>
  <c r="AS32" i="2" s="1"/>
  <c r="AR33" i="2"/>
  <c r="AQ33" i="2"/>
  <c r="AQ32" i="2" s="1"/>
  <c r="AP33" i="2"/>
  <c r="AO33" i="2"/>
  <c r="AO32" i="2" s="1"/>
  <c r="AN33" i="2"/>
  <c r="AM33" i="2"/>
  <c r="AM32" i="2" s="1"/>
  <c r="AL33" i="2"/>
  <c r="AK33" i="2"/>
  <c r="BP33" i="2" s="1"/>
  <c r="AJ33" i="2"/>
  <c r="AG33" i="2"/>
  <c r="BN32" i="2"/>
  <c r="BL32" i="2"/>
  <c r="BJ32" i="2"/>
  <c r="BH32" i="2"/>
  <c r="BF32" i="2"/>
  <c r="BD32" i="2"/>
  <c r="BB32" i="2"/>
  <c r="AZ32" i="2"/>
  <c r="AX32" i="2"/>
  <c r="AV32" i="2"/>
  <c r="AT32" i="2"/>
  <c r="AR32" i="2"/>
  <c r="AP32" i="2"/>
  <c r="AN32" i="2"/>
  <c r="AL32" i="2"/>
  <c r="AF32" i="2"/>
  <c r="AE32" i="2"/>
  <c r="AD32" i="2"/>
  <c r="AD51" i="2" s="1"/>
  <c r="AC32" i="2"/>
  <c r="AB32" i="2"/>
  <c r="AA32" i="2"/>
  <c r="Z32" i="2"/>
  <c r="Z51" i="2" s="1"/>
  <c r="Y32" i="2"/>
  <c r="X32" i="2"/>
  <c r="W32" i="2"/>
  <c r="V32" i="2"/>
  <c r="V51" i="2" s="1"/>
  <c r="U32" i="2"/>
  <c r="T32" i="2"/>
  <c r="S32" i="2"/>
  <c r="R32" i="2"/>
  <c r="R51" i="2" s="1"/>
  <c r="Q32" i="2"/>
  <c r="P32" i="2"/>
  <c r="O32" i="2"/>
  <c r="N32" i="2"/>
  <c r="N51" i="2" s="1"/>
  <c r="M32" i="2"/>
  <c r="L32" i="2"/>
  <c r="K32" i="2"/>
  <c r="J32" i="2"/>
  <c r="J51" i="2" s="1"/>
  <c r="I32" i="2"/>
  <c r="H32" i="2"/>
  <c r="G32" i="2"/>
  <c r="F32" i="2"/>
  <c r="F51" i="2" s="1"/>
  <c r="E32" i="2"/>
  <c r="D32" i="2"/>
  <c r="C32" i="2"/>
  <c r="B32" i="2"/>
  <c r="AG32" i="2" s="1"/>
  <c r="BO31" i="2"/>
  <c r="BN31" i="2"/>
  <c r="BM31" i="2"/>
  <c r="BL31" i="2"/>
  <c r="BK31" i="2"/>
  <c r="BJ31" i="2"/>
  <c r="BI31" i="2"/>
  <c r="BH31" i="2"/>
  <c r="BG31" i="2"/>
  <c r="BF31" i="2"/>
  <c r="BE31" i="2"/>
  <c r="BD31" i="2"/>
  <c r="BC31" i="2"/>
  <c r="BB31" i="2"/>
  <c r="BA31" i="2"/>
  <c r="AZ31" i="2"/>
  <c r="AY31" i="2"/>
  <c r="AX31" i="2"/>
  <c r="AW31" i="2"/>
  <c r="AV31" i="2"/>
  <c r="AU31" i="2"/>
  <c r="AT31" i="2"/>
  <c r="AS31" i="2"/>
  <c r="AR31" i="2"/>
  <c r="AQ31" i="2"/>
  <c r="AP31" i="2"/>
  <c r="AO31" i="2"/>
  <c r="AN31" i="2"/>
  <c r="AM31" i="2"/>
  <c r="AL31" i="2"/>
  <c r="AK31" i="2"/>
  <c r="BP31" i="2" s="1"/>
  <c r="AJ31" i="2"/>
  <c r="AG31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BB30" i="2"/>
  <c r="BA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L30" i="2"/>
  <c r="AK30" i="2"/>
  <c r="BP30" i="2" s="1"/>
  <c r="AJ30" i="2"/>
  <c r="AG30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BP29" i="2" s="1"/>
  <c r="AJ29" i="2"/>
  <c r="AG29" i="2"/>
  <c r="BO28" i="2"/>
  <c r="BN28" i="2"/>
  <c r="BM28" i="2"/>
  <c r="BL28" i="2"/>
  <c r="BK28" i="2"/>
  <c r="BJ28" i="2"/>
  <c r="BI28" i="2"/>
  <c r="BH28" i="2"/>
  <c r="BG28" i="2"/>
  <c r="BF28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BP28" i="2" s="1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B28" i="2"/>
  <c r="AG28" i="2" s="1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J27" i="2"/>
  <c r="Q27" i="2"/>
  <c r="AZ27" i="2" s="1"/>
  <c r="B27" i="2"/>
  <c r="AK27" i="2" s="1"/>
  <c r="BP27" i="2" s="1"/>
  <c r="BO26" i="2"/>
  <c r="BN26" i="2"/>
  <c r="BM26" i="2"/>
  <c r="BL26" i="2"/>
  <c r="BK26" i="2"/>
  <c r="BJ26" i="2"/>
  <c r="BI26" i="2"/>
  <c r="BI10" i="2" s="1"/>
  <c r="BI95" i="2" s="1"/>
  <c r="BI93" i="2" s="1"/>
  <c r="BI96" i="2" s="1"/>
  <c r="BH26" i="2"/>
  <c r="BG26" i="2"/>
  <c r="BD26" i="2"/>
  <c r="BC26" i="2"/>
  <c r="BB26" i="2"/>
  <c r="BA26" i="2"/>
  <c r="AZ26" i="2"/>
  <c r="AY26" i="2"/>
  <c r="AX26" i="2"/>
  <c r="AV26" i="2"/>
  <c r="AU26" i="2"/>
  <c r="AS26" i="2"/>
  <c r="AS10" i="2" s="1"/>
  <c r="AS95" i="2" s="1"/>
  <c r="AS93" i="2" s="1"/>
  <c r="AS96" i="2" s="1"/>
  <c r="AR26" i="2"/>
  <c r="AQ26" i="2"/>
  <c r="AQ10" i="2" s="1"/>
  <c r="AQ95" i="2" s="1"/>
  <c r="AQ93" i="2" s="1"/>
  <c r="AQ96" i="2" s="1"/>
  <c r="AP26" i="2"/>
  <c r="AO26" i="2"/>
  <c r="AO10" i="2" s="1"/>
  <c r="AO95" i="2" s="1"/>
  <c r="AO93" i="2" s="1"/>
  <c r="AO96" i="2" s="1"/>
  <c r="AN26" i="2"/>
  <c r="AM26" i="2"/>
  <c r="AM10" i="2" s="1"/>
  <c r="AM95" i="2" s="1"/>
  <c r="AM93" i="2" s="1"/>
  <c r="AM96" i="2" s="1"/>
  <c r="AK26" i="2"/>
  <c r="AJ26" i="2"/>
  <c r="Z26" i="2"/>
  <c r="X26" i="2"/>
  <c r="W26" i="2"/>
  <c r="BF26" i="2" s="1"/>
  <c r="V26" i="2"/>
  <c r="BE26" i="2" s="1"/>
  <c r="BE10" i="2" s="1"/>
  <c r="BE95" i="2" s="1"/>
  <c r="BE93" i="2" s="1"/>
  <c r="BE96" i="2" s="1"/>
  <c r="R26" i="2"/>
  <c r="N26" i="2"/>
  <c r="AW26" i="2" s="1"/>
  <c r="AW10" i="2" s="1"/>
  <c r="AW95" i="2" s="1"/>
  <c r="AW93" i="2" s="1"/>
  <c r="AW96" i="2" s="1"/>
  <c r="K26" i="2"/>
  <c r="AT26" i="2" s="1"/>
  <c r="J26" i="2"/>
  <c r="AG26" i="2" s="1"/>
  <c r="C26" i="2"/>
  <c r="AL26" i="2" s="1"/>
  <c r="BO25" i="2"/>
  <c r="BN25" i="2"/>
  <c r="BM25" i="2"/>
  <c r="BL25" i="2"/>
  <c r="BK25" i="2"/>
  <c r="BJ25" i="2"/>
  <c r="BI25" i="2"/>
  <c r="BH25" i="2"/>
  <c r="BG25" i="2"/>
  <c r="BF25" i="2"/>
  <c r="BE25" i="2"/>
  <c r="BD25" i="2"/>
  <c r="BC25" i="2"/>
  <c r="BB25" i="2"/>
  <c r="BA25" i="2"/>
  <c r="AZ25" i="2"/>
  <c r="AY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AJ25" i="2"/>
  <c r="O25" i="2"/>
  <c r="AG25" i="2" s="1"/>
  <c r="BO24" i="2"/>
  <c r="BN24" i="2"/>
  <c r="BM24" i="2"/>
  <c r="BL24" i="2"/>
  <c r="BK24" i="2"/>
  <c r="BJ24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BP24" i="2" s="1"/>
  <c r="AJ24" i="2"/>
  <c r="AG24" i="2"/>
  <c r="BO23" i="2"/>
  <c r="BN23" i="2"/>
  <c r="BM23" i="2"/>
  <c r="BM10" i="2" s="1"/>
  <c r="BK23" i="2"/>
  <c r="BJ23" i="2"/>
  <c r="BI23" i="2"/>
  <c r="BH23" i="2"/>
  <c r="BG23" i="2"/>
  <c r="BF23" i="2"/>
  <c r="BE23" i="2"/>
  <c r="BD23" i="2"/>
  <c r="BC23" i="2"/>
  <c r="BB23" i="2"/>
  <c r="BA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L23" i="2"/>
  <c r="AK23" i="2"/>
  <c r="AJ23" i="2"/>
  <c r="AF23" i="2"/>
  <c r="AC23" i="2"/>
  <c r="BL23" i="2" s="1"/>
  <c r="H23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BP22" i="2" s="1"/>
  <c r="AK22" i="2"/>
  <c r="AJ22" i="2"/>
  <c r="AG22" i="2"/>
  <c r="BO21" i="2"/>
  <c r="BN21" i="2"/>
  <c r="BM21" i="2"/>
  <c r="BL21" i="2"/>
  <c r="BK21" i="2"/>
  <c r="BJ21" i="2"/>
  <c r="BI21" i="2"/>
  <c r="BH21" i="2"/>
  <c r="BG21" i="2"/>
  <c r="BF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BP21" i="2" s="1"/>
  <c r="AK21" i="2"/>
  <c r="AJ21" i="2"/>
  <c r="V21" i="2"/>
  <c r="BE21" i="2" s="1"/>
  <c r="U21" i="2"/>
  <c r="AG21" i="2" s="1"/>
  <c r="BO20" i="2"/>
  <c r="BN20" i="2"/>
  <c r="BM20" i="2"/>
  <c r="BL20" i="2"/>
  <c r="BJ20" i="2"/>
  <c r="BI20" i="2"/>
  <c r="BH20" i="2"/>
  <c r="BG20" i="2"/>
  <c r="BF20" i="2"/>
  <c r="BE20" i="2"/>
  <c r="BD20" i="2"/>
  <c r="BC20" i="2"/>
  <c r="BB20" i="2"/>
  <c r="BA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AJ20" i="2"/>
  <c r="AB20" i="2"/>
  <c r="BO19" i="2"/>
  <c r="BN19" i="2"/>
  <c r="BM19" i="2"/>
  <c r="BJ19" i="2"/>
  <c r="BI19" i="2"/>
  <c r="BH19" i="2"/>
  <c r="BG19" i="2"/>
  <c r="BF19" i="2"/>
  <c r="BE19" i="2"/>
  <c r="BC19" i="2"/>
  <c r="BB19" i="2"/>
  <c r="BA19" i="2"/>
  <c r="BA10" i="2" s="1"/>
  <c r="BA95" i="2" s="1"/>
  <c r="BA93" i="2" s="1"/>
  <c r="BA96" i="2" s="1"/>
  <c r="AZ19" i="2"/>
  <c r="AY19" i="2"/>
  <c r="AX19" i="2"/>
  <c r="AW19" i="2"/>
  <c r="AV19" i="2"/>
  <c r="AU19" i="2"/>
  <c r="AU10" i="2" s="1"/>
  <c r="AU95" i="2" s="1"/>
  <c r="AU93" i="2" s="1"/>
  <c r="AU96" i="2" s="1"/>
  <c r="AT19" i="2"/>
  <c r="AS19" i="2"/>
  <c r="AR19" i="2"/>
  <c r="AQ19" i="2"/>
  <c r="AP19" i="2"/>
  <c r="AO19" i="2"/>
  <c r="AN19" i="2"/>
  <c r="AM19" i="2"/>
  <c r="AL19" i="2"/>
  <c r="AK19" i="2"/>
  <c r="AJ19" i="2"/>
  <c r="AC19" i="2"/>
  <c r="BL19" i="2" s="1"/>
  <c r="AB19" i="2"/>
  <c r="AG19" i="2" s="1"/>
  <c r="U19" i="2"/>
  <c r="BD19" i="2" s="1"/>
  <c r="BO18" i="2"/>
  <c r="BN18" i="2"/>
  <c r="BM18" i="2"/>
  <c r="BL18" i="2"/>
  <c r="BK18" i="2"/>
  <c r="BJ18" i="2"/>
  <c r="BI18" i="2"/>
  <c r="BH18" i="2"/>
  <c r="BG18" i="2"/>
  <c r="BF18" i="2"/>
  <c r="BE18" i="2"/>
  <c r="BD18" i="2"/>
  <c r="BC18" i="2"/>
  <c r="BB18" i="2"/>
  <c r="BA18" i="2"/>
  <c r="AZ18" i="2"/>
  <c r="AY18" i="2"/>
  <c r="AX18" i="2"/>
  <c r="AW18" i="2"/>
  <c r="AV18" i="2"/>
  <c r="AU18" i="2"/>
  <c r="AT18" i="2"/>
  <c r="AS18" i="2"/>
  <c r="AR18" i="2"/>
  <c r="AQ18" i="2"/>
  <c r="AP18" i="2"/>
  <c r="AO18" i="2"/>
  <c r="AN18" i="2"/>
  <c r="AM18" i="2"/>
  <c r="AL18" i="2"/>
  <c r="BP18" i="2" s="1"/>
  <c r="AK18" i="2"/>
  <c r="AJ18" i="2"/>
  <c r="AG18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BP17" i="2" s="1"/>
  <c r="AK17" i="2"/>
  <c r="AJ17" i="2"/>
  <c r="AG17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BP15" i="2" s="1"/>
  <c r="AK15" i="2"/>
  <c r="AJ15" i="2"/>
  <c r="AG15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BP14" i="2" s="1"/>
  <c r="AK14" i="2"/>
  <c r="AJ14" i="2"/>
  <c r="AG14" i="2"/>
  <c r="BN11" i="2"/>
  <c r="BL11" i="2"/>
  <c r="BL10" i="2" s="1"/>
  <c r="BL95" i="2" s="1"/>
  <c r="BL93" i="2" s="1"/>
  <c r="BL96" i="2" s="1"/>
  <c r="BJ11" i="2"/>
  <c r="BH11" i="2"/>
  <c r="BH10" i="2" s="1"/>
  <c r="BH95" i="2" s="1"/>
  <c r="BH93" i="2" s="1"/>
  <c r="BH96" i="2" s="1"/>
  <c r="BF11" i="2"/>
  <c r="BD11" i="2"/>
  <c r="BD10" i="2" s="1"/>
  <c r="BD95" i="2" s="1"/>
  <c r="BD93" i="2" s="1"/>
  <c r="BD96" i="2" s="1"/>
  <c r="BB11" i="2"/>
  <c r="AZ11" i="2"/>
  <c r="AZ10" i="2" s="1"/>
  <c r="AZ95" i="2" s="1"/>
  <c r="AZ93" i="2" s="1"/>
  <c r="AZ96" i="2" s="1"/>
  <c r="AX11" i="2"/>
  <c r="AV11" i="2"/>
  <c r="AT11" i="2"/>
  <c r="AR11" i="2"/>
  <c r="AP11" i="2"/>
  <c r="AN11" i="2"/>
  <c r="AL11" i="2"/>
  <c r="AJ11" i="2"/>
  <c r="AF11" i="2"/>
  <c r="BO11" i="2" s="1"/>
  <c r="AE11" i="2"/>
  <c r="AD11" i="2"/>
  <c r="BM11" i="2" s="1"/>
  <c r="AC11" i="2"/>
  <c r="AB11" i="2"/>
  <c r="BK11" i="2" s="1"/>
  <c r="AA11" i="2"/>
  <c r="Z11" i="2"/>
  <c r="BI11" i="2" s="1"/>
  <c r="Y11" i="2"/>
  <c r="X11" i="2"/>
  <c r="BG11" i="2" s="1"/>
  <c r="W11" i="2"/>
  <c r="V11" i="2"/>
  <c r="BE11" i="2" s="1"/>
  <c r="U11" i="2"/>
  <c r="T11" i="2"/>
  <c r="BC11" i="2" s="1"/>
  <c r="S11" i="2"/>
  <c r="R11" i="2"/>
  <c r="BA11" i="2" s="1"/>
  <c r="Q11" i="2"/>
  <c r="P11" i="2"/>
  <c r="AY11" i="2" s="1"/>
  <c r="O11" i="2"/>
  <c r="N11" i="2"/>
  <c r="AW11" i="2" s="1"/>
  <c r="M11" i="2"/>
  <c r="L11" i="2"/>
  <c r="AU11" i="2" s="1"/>
  <c r="K11" i="2"/>
  <c r="J11" i="2"/>
  <c r="AS11" i="2" s="1"/>
  <c r="I11" i="2"/>
  <c r="H11" i="2"/>
  <c r="AQ11" i="2" s="1"/>
  <c r="G11" i="2"/>
  <c r="F11" i="2"/>
  <c r="AO11" i="2" s="1"/>
  <c r="E11" i="2"/>
  <c r="D11" i="2"/>
  <c r="AM11" i="2" s="1"/>
  <c r="C11" i="2"/>
  <c r="B11" i="2"/>
  <c r="BO10" i="2"/>
  <c r="BG10" i="2"/>
  <c r="BG95" i="2" s="1"/>
  <c r="BG93" i="2" s="1"/>
  <c r="BG96" i="2" s="1"/>
  <c r="BC10" i="2"/>
  <c r="BC95" i="2" s="1"/>
  <c r="BC93" i="2" s="1"/>
  <c r="BC96" i="2" s="1"/>
  <c r="AY10" i="2"/>
  <c r="AY95" i="2" s="1"/>
  <c r="AY93" i="2" s="1"/>
  <c r="AY96" i="2" s="1"/>
  <c r="AV10" i="2"/>
  <c r="AV95" i="2" s="1"/>
  <c r="AV93" i="2" s="1"/>
  <c r="AV96" i="2" s="1"/>
  <c r="AT10" i="2"/>
  <c r="AT95" i="2" s="1"/>
  <c r="AT93" i="2" s="1"/>
  <c r="AT96" i="2" s="1"/>
  <c r="AR10" i="2"/>
  <c r="AR95" i="2" s="1"/>
  <c r="AR93" i="2" s="1"/>
  <c r="AR96" i="2" s="1"/>
  <c r="AP10" i="2"/>
  <c r="AP95" i="2" s="1"/>
  <c r="AP93" i="2" s="1"/>
  <c r="AP96" i="2" s="1"/>
  <c r="AN10" i="2"/>
  <c r="AN95" i="2" s="1"/>
  <c r="AN93" i="2" s="1"/>
  <c r="AN96" i="2" s="1"/>
  <c r="AL10" i="2"/>
  <c r="AL95" i="2" s="1"/>
  <c r="AL93" i="2" s="1"/>
  <c r="AL96" i="2" s="1"/>
  <c r="AF10" i="2"/>
  <c r="AE10" i="2"/>
  <c r="AD10" i="2"/>
  <c r="AC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AJ1" i="2"/>
  <c r="P378" i="1"/>
  <c r="O378" i="1"/>
  <c r="N378" i="1"/>
  <c r="M378" i="1"/>
  <c r="L378" i="1"/>
  <c r="K378" i="1"/>
  <c r="J378" i="1"/>
  <c r="I378" i="1"/>
  <c r="H378" i="1"/>
  <c r="G378" i="1"/>
  <c r="F378" i="1"/>
  <c r="Q376" i="1"/>
  <c r="Q375" i="1"/>
  <c r="Q374" i="1"/>
  <c r="Q373" i="1"/>
  <c r="Q372" i="1"/>
  <c r="Q371" i="1"/>
  <c r="Q370" i="1"/>
  <c r="Q369" i="1"/>
  <c r="Q368" i="1"/>
  <c r="Q367" i="1"/>
  <c r="Q366" i="1"/>
  <c r="Q365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52" i="1"/>
  <c r="Q351" i="1"/>
  <c r="Q350" i="1"/>
  <c r="Q349" i="1"/>
  <c r="Q348" i="1"/>
  <c r="Q347" i="1"/>
  <c r="Q378" i="1" s="1"/>
  <c r="P346" i="1"/>
  <c r="O346" i="1"/>
  <c r="N346" i="1"/>
  <c r="M346" i="1"/>
  <c r="L346" i="1"/>
  <c r="K346" i="1"/>
  <c r="J346" i="1"/>
  <c r="I346" i="1"/>
  <c r="H346" i="1"/>
  <c r="G346" i="1"/>
  <c r="F346" i="1"/>
  <c r="Q345" i="1"/>
  <c r="Q344" i="1"/>
  <c r="Q343" i="1"/>
  <c r="Q342" i="1"/>
  <c r="Q341" i="1"/>
  <c r="Q340" i="1"/>
  <c r="Q339" i="1"/>
  <c r="Q338" i="1"/>
  <c r="Q337" i="1"/>
  <c r="Q336" i="1"/>
  <c r="Q335" i="1"/>
  <c r="Q334" i="1"/>
  <c r="Q333" i="1"/>
  <c r="Q332" i="1"/>
  <c r="Q331" i="1"/>
  <c r="Q330" i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46" i="1" s="1"/>
  <c r="P315" i="1"/>
  <c r="O315" i="1"/>
  <c r="N315" i="1"/>
  <c r="M315" i="1"/>
  <c r="L315" i="1"/>
  <c r="K315" i="1"/>
  <c r="J315" i="1"/>
  <c r="I315" i="1"/>
  <c r="H315" i="1"/>
  <c r="G315" i="1"/>
  <c r="F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1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315" i="1" s="1"/>
  <c r="P283" i="1"/>
  <c r="O283" i="1"/>
  <c r="N283" i="1"/>
  <c r="M283" i="1"/>
  <c r="L283" i="1"/>
  <c r="K283" i="1"/>
  <c r="J283" i="1"/>
  <c r="I283" i="1"/>
  <c r="H283" i="1"/>
  <c r="G283" i="1"/>
  <c r="F283" i="1"/>
  <c r="Q282" i="1"/>
  <c r="Q281" i="1"/>
  <c r="Q280" i="1"/>
  <c r="Q279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62" i="1"/>
  <c r="Q261" i="1"/>
  <c r="Q260" i="1"/>
  <c r="Q259" i="1"/>
  <c r="Q258" i="1"/>
  <c r="Q257" i="1"/>
  <c r="Q256" i="1"/>
  <c r="Q255" i="1"/>
  <c r="Q254" i="1"/>
  <c r="Q283" i="1" s="1"/>
  <c r="Q253" i="1"/>
  <c r="P252" i="1"/>
  <c r="O252" i="1"/>
  <c r="N252" i="1"/>
  <c r="M252" i="1"/>
  <c r="L252" i="1"/>
  <c r="K252" i="1"/>
  <c r="J252" i="1"/>
  <c r="I252" i="1"/>
  <c r="H252" i="1"/>
  <c r="G252" i="1"/>
  <c r="F252" i="1"/>
  <c r="Q251" i="1"/>
  <c r="Q250" i="1"/>
  <c r="Q249" i="1"/>
  <c r="Q248" i="1"/>
  <c r="Q247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52" i="1" s="1"/>
  <c r="P220" i="1"/>
  <c r="O220" i="1"/>
  <c r="N220" i="1"/>
  <c r="M220" i="1"/>
  <c r="L220" i="1"/>
  <c r="K220" i="1"/>
  <c r="J220" i="1"/>
  <c r="I220" i="1"/>
  <c r="H220" i="1"/>
  <c r="G220" i="1"/>
  <c r="F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220" i="1" s="1"/>
  <c r="P188" i="1"/>
  <c r="O188" i="1"/>
  <c r="N188" i="1"/>
  <c r="M188" i="1"/>
  <c r="L188" i="1"/>
  <c r="K188" i="1"/>
  <c r="J188" i="1"/>
  <c r="I188" i="1"/>
  <c r="H188" i="1"/>
  <c r="G188" i="1"/>
  <c r="F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88" i="1" s="1"/>
  <c r="Q158" i="1"/>
  <c r="P157" i="1"/>
  <c r="O157" i="1"/>
  <c r="N157" i="1"/>
  <c r="M157" i="1"/>
  <c r="L157" i="1"/>
  <c r="K157" i="1"/>
  <c r="J157" i="1"/>
  <c r="I157" i="1"/>
  <c r="H157" i="1"/>
  <c r="G157" i="1"/>
  <c r="F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57" i="1" s="1"/>
  <c r="P125" i="1"/>
  <c r="O125" i="1"/>
  <c r="N125" i="1"/>
  <c r="M125" i="1"/>
  <c r="L125" i="1"/>
  <c r="K125" i="1"/>
  <c r="J125" i="1"/>
  <c r="I125" i="1"/>
  <c r="H125" i="1"/>
  <c r="G125" i="1"/>
  <c r="F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125" i="1" s="1"/>
  <c r="P94" i="1"/>
  <c r="P379" i="1" s="1"/>
  <c r="O94" i="1"/>
  <c r="N94" i="1"/>
  <c r="N379" i="1" s="1"/>
  <c r="M94" i="1"/>
  <c r="L94" i="1"/>
  <c r="L379" i="1" s="1"/>
  <c r="K94" i="1"/>
  <c r="J94" i="1"/>
  <c r="J379" i="1" s="1"/>
  <c r="I94" i="1"/>
  <c r="H94" i="1"/>
  <c r="H379" i="1" s="1"/>
  <c r="G94" i="1"/>
  <c r="F94" i="1"/>
  <c r="F379" i="1" s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94" i="1" s="1"/>
  <c r="P62" i="1"/>
  <c r="O62" i="1"/>
  <c r="N62" i="1"/>
  <c r="M62" i="1"/>
  <c r="L62" i="1"/>
  <c r="K62" i="1"/>
  <c r="J62" i="1"/>
  <c r="I62" i="1"/>
  <c r="H62" i="1"/>
  <c r="G62" i="1"/>
  <c r="F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62" i="1" s="1"/>
  <c r="Q34" i="1"/>
  <c r="P33" i="1"/>
  <c r="O33" i="1"/>
  <c r="O379" i="1" s="1"/>
  <c r="N33" i="1"/>
  <c r="M33" i="1"/>
  <c r="M379" i="1" s="1"/>
  <c r="L33" i="1"/>
  <c r="K33" i="1"/>
  <c r="K379" i="1" s="1"/>
  <c r="J33" i="1"/>
  <c r="I33" i="1"/>
  <c r="I379" i="1" s="1"/>
  <c r="H33" i="1"/>
  <c r="G33" i="1"/>
  <c r="G379" i="1" s="1"/>
  <c r="F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Q33" i="1" s="1"/>
  <c r="AM51" i="2" l="1"/>
  <c r="AO51" i="2"/>
  <c r="AQ51" i="2"/>
  <c r="AS51" i="2"/>
  <c r="AU51" i="2"/>
  <c r="AW51" i="2"/>
  <c r="BA51" i="2"/>
  <c r="BE51" i="2"/>
  <c r="BI51" i="2"/>
  <c r="BM51" i="2"/>
  <c r="AB10" i="2"/>
  <c r="AG10" i="2" s="1"/>
  <c r="AG51" i="2" s="1"/>
  <c r="AK11" i="2"/>
  <c r="AG11" i="2"/>
  <c r="BB10" i="2"/>
  <c r="BB95" i="2" s="1"/>
  <c r="BB93" i="2" s="1"/>
  <c r="BB96" i="2" s="1"/>
  <c r="BF10" i="2"/>
  <c r="BF95" i="2" s="1"/>
  <c r="BF93" i="2" s="1"/>
  <c r="BF96" i="2" s="1"/>
  <c r="BJ10" i="2"/>
  <c r="BJ95" i="2" s="1"/>
  <c r="BJ93" i="2" s="1"/>
  <c r="BJ96" i="2" s="1"/>
  <c r="BN10" i="2"/>
  <c r="BK19" i="2"/>
  <c r="BK10" i="2" s="1"/>
  <c r="BK95" i="2" s="1"/>
  <c r="BK93" i="2" s="1"/>
  <c r="BK96" i="2" s="1"/>
  <c r="BK20" i="2"/>
  <c r="BP20" i="2" s="1"/>
  <c r="AG20" i="2"/>
  <c r="AG23" i="2"/>
  <c r="BP23" i="2"/>
  <c r="AX25" i="2"/>
  <c r="BP25" i="2" s="1"/>
  <c r="BP26" i="2"/>
  <c r="AG27" i="2"/>
  <c r="AK32" i="2"/>
  <c r="BP32" i="2" s="1"/>
  <c r="AP51" i="2"/>
  <c r="AR51" i="2"/>
  <c r="AT51" i="2"/>
  <c r="AV51" i="2"/>
  <c r="AG48" i="2"/>
  <c r="BP48" i="2"/>
  <c r="AK49" i="2"/>
  <c r="H49" i="2"/>
  <c r="AQ49" i="2" s="1"/>
  <c r="J49" i="2"/>
  <c r="AS49" i="2" s="1"/>
  <c r="L49" i="2"/>
  <c r="AU49" i="2" s="1"/>
  <c r="N49" i="2"/>
  <c r="AW49" i="2" s="1"/>
  <c r="P49" i="2"/>
  <c r="AY49" i="2" s="1"/>
  <c r="R49" i="2"/>
  <c r="BA49" i="2" s="1"/>
  <c r="T49" i="2"/>
  <c r="BC49" i="2" s="1"/>
  <c r="V49" i="2"/>
  <c r="BE49" i="2" s="1"/>
  <c r="X49" i="2"/>
  <c r="BG49" i="2" s="1"/>
  <c r="Z49" i="2"/>
  <c r="BI49" i="2" s="1"/>
  <c r="AB49" i="2"/>
  <c r="BK49" i="2" s="1"/>
  <c r="AD49" i="2"/>
  <c r="BM49" i="2" s="1"/>
  <c r="AF49" i="2"/>
  <c r="BO49" i="2" s="1"/>
  <c r="AG50" i="2"/>
  <c r="BP53" i="2"/>
  <c r="BP19" i="2"/>
  <c r="C51" i="2"/>
  <c r="E51" i="2"/>
  <c r="G51" i="2"/>
  <c r="I51" i="2"/>
  <c r="K51" i="2"/>
  <c r="M51" i="2"/>
  <c r="O51" i="2"/>
  <c r="Q51" i="2"/>
  <c r="S51" i="2"/>
  <c r="U51" i="2"/>
  <c r="W51" i="2"/>
  <c r="Y51" i="2"/>
  <c r="AA51" i="2"/>
  <c r="AC51" i="2"/>
  <c r="AE51" i="2"/>
  <c r="BB51" i="2"/>
  <c r="BD51" i="2"/>
  <c r="BF51" i="2"/>
  <c r="BH51" i="2"/>
  <c r="BJ51" i="2"/>
  <c r="BL51" i="2"/>
  <c r="BN51" i="2"/>
  <c r="BP36" i="2"/>
  <c r="AZ51" i="2"/>
  <c r="AL50" i="2"/>
  <c r="AL51" i="2" s="1"/>
  <c r="C49" i="2"/>
  <c r="AL49" i="2" s="1"/>
  <c r="AN50" i="2"/>
  <c r="AN51" i="2" s="1"/>
  <c r="E49" i="2"/>
  <c r="AN49" i="2" s="1"/>
  <c r="AG53" i="2"/>
  <c r="AK52" i="2"/>
  <c r="AG69" i="2"/>
  <c r="AK77" i="2"/>
  <c r="BP77" i="2" s="1"/>
  <c r="BP78" i="2"/>
  <c r="AG78" i="2"/>
  <c r="AG90" i="2"/>
  <c r="Q379" i="1"/>
  <c r="AK94" i="2" l="1"/>
  <c r="BP52" i="2"/>
  <c r="BP94" i="2" s="1"/>
  <c r="BP50" i="2"/>
  <c r="BP49" i="2"/>
  <c r="AX10" i="2"/>
  <c r="BP11" i="2"/>
  <c r="AK10" i="2"/>
  <c r="AB51" i="2"/>
  <c r="AG49" i="2"/>
  <c r="BK51" i="2"/>
  <c r="AK51" i="2"/>
  <c r="AK95" i="2" l="1"/>
  <c r="AK93" i="2" s="1"/>
  <c r="AK96" i="2" s="1"/>
  <c r="BP10" i="2"/>
  <c r="AX95" i="2"/>
  <c r="AX93" i="2" s="1"/>
  <c r="AX96" i="2" s="1"/>
  <c r="AX51" i="2"/>
  <c r="BP95" i="2" l="1"/>
  <c r="BP93" i="2" s="1"/>
  <c r="BP96" i="2" s="1"/>
  <c r="BP51" i="2"/>
</calcChain>
</file>

<file path=xl/comments1.xml><?xml version="1.0" encoding="utf-8"?>
<comments xmlns="http://schemas.openxmlformats.org/spreadsheetml/2006/main">
  <authors>
    <author>Nom</author>
  </authors>
  <commentList>
    <comment ref="F1" authorId="0">
      <text>
        <r>
          <rPr>
            <b/>
            <sz val="8"/>
            <color indexed="81"/>
            <rFont val="Tahoma"/>
          </rPr>
          <t>Nom :remplie à partir du 1er mai</t>
        </r>
        <r>
          <rPr>
            <sz val="8"/>
            <color indexed="81"/>
            <rFont val="Tahoma"/>
          </rPr>
          <t xml:space="preserve">
</t>
        </r>
      </text>
    </comment>
    <comment ref="M1" authorId="0">
      <text>
        <r>
          <rPr>
            <b/>
            <sz val="8"/>
            <color indexed="81"/>
            <rFont val="Tahoma"/>
          </rPr>
          <t>Nom:remplie à partir du 1er mai</t>
        </r>
      </text>
    </comment>
    <comment ref="N1" authorId="0">
      <text>
        <r>
          <rPr>
            <b/>
            <sz val="8"/>
            <color indexed="81"/>
            <rFont val="Tahoma"/>
          </rPr>
          <t>Nom:remplie à partir du 1er mai</t>
        </r>
        <r>
          <rPr>
            <sz val="8"/>
            <color indexed="81"/>
            <rFont val="Tahoma"/>
          </rPr>
          <t xml:space="preserve">
</t>
        </r>
      </text>
    </comment>
    <comment ref="O1" authorId="0">
      <text>
        <r>
          <rPr>
            <b/>
            <sz val="8"/>
            <color indexed="81"/>
            <rFont val="Tahoma"/>
          </rPr>
          <t>Nom:remplie à partir du 1er mai</t>
        </r>
        <r>
          <rPr>
            <sz val="8"/>
            <color indexed="81"/>
            <rFont val="Tahoma"/>
          </rPr>
          <t xml:space="preserve">
</t>
        </r>
      </text>
    </comment>
    <comment ref="P1" authorId="0">
      <text>
        <r>
          <rPr>
            <b/>
            <sz val="8"/>
            <color indexed="81"/>
            <rFont val="Tahoma"/>
          </rPr>
          <t>Nom:remplie à partir du 1er mai</t>
        </r>
        <r>
          <rPr>
            <sz val="8"/>
            <color indexed="81"/>
            <rFont val="Tahoma"/>
          </rPr>
          <t xml:space="preserve">
</t>
        </r>
      </text>
    </comment>
    <comment ref="G297" authorId="0">
      <text>
        <r>
          <rPr>
            <b/>
            <sz val="8"/>
            <color indexed="81"/>
            <rFont val="Tahoma"/>
          </rPr>
          <t>Nom:</t>
        </r>
        <r>
          <rPr>
            <sz val="8"/>
            <color indexed="81"/>
            <rFont val="Tahoma"/>
          </rPr>
          <t xml:space="preserve">
GOLF ET  LUNCH</t>
        </r>
      </text>
    </comment>
    <comment ref="G298" authorId="0">
      <text>
        <r>
          <rPr>
            <b/>
            <sz val="8"/>
            <color indexed="81"/>
            <rFont val="Tahoma"/>
          </rPr>
          <t>Nom:</t>
        </r>
        <r>
          <rPr>
            <sz val="8"/>
            <color indexed="81"/>
            <rFont val="Tahoma"/>
          </rPr>
          <t xml:space="preserve">
GOLF ET LUNCH</t>
        </r>
      </text>
    </comment>
  </commentList>
</comments>
</file>

<file path=xl/comments2.xml><?xml version="1.0" encoding="utf-8"?>
<comments xmlns="http://schemas.openxmlformats.org/spreadsheetml/2006/main">
  <authors>
    <author>eostorero</author>
    <author>PNR</author>
    <author>Accueil_golf2</author>
  </authors>
  <commentList>
    <comment ref="C48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20% de 1100 pp 5hs*4</t>
        </r>
      </text>
    </comment>
    <comment ref="D48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4 pp hs 5 20% de 1100€</t>
        </r>
      </text>
    </comment>
    <comment ref="AC48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droit roulage + emplacement biarese</t>
        </r>
      </text>
    </comment>
    <comment ref="A49" authorId="1">
      <text>
        <r>
          <rPr>
            <b/>
            <sz val="8"/>
            <color indexed="81"/>
            <rFont val="Tahoma"/>
          </rPr>
          <t>PNR:
Calcul automatique, ne pas rentrer de chiffre.</t>
        </r>
        <r>
          <rPr>
            <sz val="8"/>
            <color indexed="81"/>
            <rFont val="Tahoma"/>
          </rPr>
          <t xml:space="preserve">
</t>
        </r>
      </text>
    </comment>
    <comment ref="A50" authorId="1">
      <text>
        <r>
          <rPr>
            <b/>
            <sz val="8"/>
            <color indexed="81"/>
            <rFont val="Tahoma"/>
          </rPr>
          <t>PNR:</t>
        </r>
        <r>
          <rPr>
            <sz val="8"/>
            <color indexed="81"/>
            <rFont val="Tahoma"/>
          </rPr>
          <t xml:space="preserve">
Rentrer les chiffres ici.</t>
        </r>
      </text>
    </comment>
    <comment ref="B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3 pp</t>
        </r>
      </text>
    </comment>
    <comment ref="C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2 pp</t>
        </r>
      </text>
    </comment>
    <comment ref="D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6pp</t>
        </r>
      </text>
    </comment>
    <comment ref="H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21 pp</t>
        </r>
      </text>
    </comment>
    <comment ref="I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4 pp</t>
        </r>
      </text>
    </comment>
    <comment ref="J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9 pp</t>
        </r>
      </text>
    </comment>
    <comment ref="L61" authorId="2">
      <text>
        <r>
          <rPr>
            <b/>
            <sz val="8"/>
            <color indexed="81"/>
            <rFont val="Tahoma"/>
            <charset val="1"/>
          </rPr>
          <t>Accueil_golf2:</t>
        </r>
        <r>
          <rPr>
            <sz val="8"/>
            <color indexed="81"/>
            <rFont val="Tahoma"/>
            <charset val="1"/>
          </rPr>
          <t xml:space="preserve">
13 pp</t>
        </r>
      </text>
    </comment>
    <comment ref="N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5 vouchers golf - cher gf découverte échange marchandise abo+8 pp</t>
        </r>
      </text>
    </comment>
    <comment ref="O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3 pp</t>
        </r>
      </text>
    </comment>
    <comment ref="P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5 pp</t>
        </r>
      </text>
    </comment>
    <comment ref="Q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3 pp</t>
        </r>
      </text>
    </comment>
    <comment ref="S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2 = 1 offre golf access</t>
        </r>
      </text>
    </comment>
    <comment ref="U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2= 1 offre golf access+2 pp</t>
        </r>
      </text>
    </comment>
    <comment ref="V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10 pp</t>
        </r>
      </text>
    </comment>
    <comment ref="W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1 offre duo golf -cher 98€</t>
        </r>
      </text>
    </comment>
    <comment ref="Y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1 offre golf access</t>
        </r>
      </text>
    </comment>
    <comment ref="AA61" authorId="2">
      <text>
        <r>
          <rPr>
            <b/>
            <sz val="8"/>
            <color indexed="81"/>
            <rFont val="Tahoma"/>
            <charset val="1"/>
          </rPr>
          <t>Accueil_golf2:</t>
        </r>
        <r>
          <rPr>
            <sz val="8"/>
            <color indexed="81"/>
            <rFont val="Tahoma"/>
            <charset val="1"/>
          </rPr>
          <t xml:space="preserve">
5 pp</t>
        </r>
      </text>
    </comment>
    <comment ref="AB61" authorId="2">
      <text>
        <r>
          <rPr>
            <b/>
            <sz val="8"/>
            <color indexed="81"/>
            <rFont val="Tahoma"/>
            <charset val="1"/>
          </rPr>
          <t>Accueil_golf2:</t>
        </r>
        <r>
          <rPr>
            <sz val="8"/>
            <color indexed="81"/>
            <rFont val="Tahoma"/>
            <charset val="1"/>
          </rPr>
          <t xml:space="preserve">
2 = 1 offre golf access+ 2 golf - cher</t>
        </r>
      </text>
    </comment>
    <comment ref="AC61" authorId="0">
      <text>
        <r>
          <rPr>
            <b/>
            <sz val="10"/>
            <color indexed="81"/>
            <rFont val="Tahoma"/>
          </rPr>
          <t>eostorero:</t>
        </r>
        <r>
          <rPr>
            <sz val="10"/>
            <color indexed="81"/>
            <rFont val="Tahoma"/>
          </rPr>
          <t xml:space="preserve">
4 golf moins cher 50€+4 pp</t>
        </r>
      </text>
    </comment>
    <comment ref="AD61" authorId="2">
      <text>
        <r>
          <rPr>
            <b/>
            <sz val="8"/>
            <color indexed="81"/>
            <rFont val="Tahoma"/>
            <charset val="1"/>
          </rPr>
          <t>Accueil_golf2:</t>
        </r>
        <r>
          <rPr>
            <sz val="8"/>
            <color indexed="81"/>
            <rFont val="Tahoma"/>
            <charset val="1"/>
          </rPr>
          <t xml:space="preserve">
2 PP</t>
        </r>
      </text>
    </comment>
    <comment ref="AF61" authorId="2">
      <text>
        <r>
          <rPr>
            <b/>
            <sz val="8"/>
            <color indexed="81"/>
            <rFont val="Tahoma"/>
            <charset val="1"/>
          </rPr>
          <t>Accueil_golf2:</t>
        </r>
        <r>
          <rPr>
            <sz val="8"/>
            <color indexed="81"/>
            <rFont val="Tahoma"/>
            <charset val="1"/>
          </rPr>
          <t xml:space="preserve">
2 = 1 OFFRE GOLF ACCESS+2 = 1 offre guide prestige</t>
        </r>
      </text>
    </comment>
  </commentList>
</comments>
</file>

<file path=xl/sharedStrings.xml><?xml version="1.0" encoding="utf-8"?>
<sst xmlns="http://schemas.openxmlformats.org/spreadsheetml/2006/main" count="1414" uniqueCount="313">
  <si>
    <t>Jour</t>
  </si>
  <si>
    <t>Date 2010</t>
  </si>
  <si>
    <t>FORESCAST 2010</t>
  </si>
  <si>
    <t>SEGMENT 2010</t>
  </si>
  <si>
    <t>TOURNEMENT 2010</t>
  </si>
  <si>
    <t>Membres 2010</t>
  </si>
  <si>
    <t>Package 2010</t>
  </si>
  <si>
    <t>18 Holes 2010</t>
  </si>
  <si>
    <t>9 Holes 2010</t>
  </si>
  <si>
    <t>10  GF 2010</t>
  </si>
  <si>
    <t>Twilight GF 2010</t>
  </si>
  <si>
    <t>GF Hôtel 2010</t>
  </si>
  <si>
    <t>GF Golfy 2010</t>
  </si>
  <si>
    <t>GF T.O. 2010</t>
  </si>
  <si>
    <t>GF Compet 2010</t>
  </si>
  <si>
    <t>GF OSD 2010</t>
  </si>
  <si>
    <t>TOTAL 2010</t>
  </si>
  <si>
    <t>Vendredi</t>
  </si>
  <si>
    <t>pluie</t>
  </si>
  <si>
    <t>semaine/vacance</t>
  </si>
  <si>
    <t>Samedi</t>
  </si>
  <si>
    <t>beau/ vent</t>
  </si>
  <si>
    <t>w-end/vacance</t>
  </si>
  <si>
    <t>duran keller</t>
  </si>
  <si>
    <t>Dimanche</t>
  </si>
  <si>
    <t>nuageux</t>
  </si>
  <si>
    <t>Lundi</t>
  </si>
  <si>
    <t>semaine</t>
  </si>
  <si>
    <t>hotel resto spa fermé 17/01</t>
  </si>
  <si>
    <t>Mardi</t>
  </si>
  <si>
    <t>nuagaux</t>
  </si>
  <si>
    <t>Mercredi</t>
  </si>
  <si>
    <t>beau</t>
  </si>
  <si>
    <t>Jeudi</t>
  </si>
  <si>
    <t>pluie/neige</t>
  </si>
  <si>
    <t>Pluie</t>
  </si>
  <si>
    <t>froid</t>
  </si>
  <si>
    <t>w-end</t>
  </si>
  <si>
    <t>neige</t>
  </si>
  <si>
    <t>neige 3cm parcours fermé jusqu'au 12/01</t>
  </si>
  <si>
    <t>gêle</t>
  </si>
  <si>
    <t>parcours fermé gel neige compet des rois annulée</t>
  </si>
  <si>
    <t>agaceca 42 pax</t>
  </si>
  <si>
    <t>coupe des rois</t>
  </si>
  <si>
    <t>rencontre ste / beauvallon</t>
  </si>
  <si>
    <t>Total du mois</t>
  </si>
  <si>
    <t>schobbens 15p</t>
  </si>
  <si>
    <t>rencontre ste/esterel</t>
  </si>
  <si>
    <t>nuageux/vent</t>
  </si>
  <si>
    <t>nuageux/vacance</t>
  </si>
  <si>
    <t>bromet</t>
  </si>
  <si>
    <t>nuageux/pluie/vent</t>
  </si>
  <si>
    <t>nuageux/neige</t>
  </si>
  <si>
    <t>grand froid-neige</t>
  </si>
  <si>
    <t>w-wend</t>
  </si>
  <si>
    <t>open senior chandeleur</t>
  </si>
  <si>
    <t>pluvieux</t>
  </si>
  <si>
    <t>pluie forte</t>
  </si>
  <si>
    <t>bromet/bassetti</t>
  </si>
  <si>
    <t>bromet/morris/moser/mettaz/schonberg</t>
  </si>
  <si>
    <t>pluie/vent</t>
  </si>
  <si>
    <t>bromet/moser/mettaz/schonberg</t>
  </si>
  <si>
    <t>bromet/morris</t>
  </si>
  <si>
    <t>moser/schonberg/biancino</t>
  </si>
  <si>
    <t>championnat var jeunes</t>
  </si>
  <si>
    <t>morris/schonberg</t>
  </si>
  <si>
    <t>equipe dames compet/morris/schonberg</t>
  </si>
  <si>
    <t>schonberg</t>
  </si>
  <si>
    <t>rencontre ste/ste maxime</t>
  </si>
  <si>
    <t>ceriani/morris</t>
  </si>
  <si>
    <t>open senior/pro tibor</t>
  </si>
  <si>
    <t>pro tibor</t>
  </si>
  <si>
    <t>mis/pro tibor/golf club danois</t>
  </si>
  <si>
    <t>pro tibor/mis</t>
  </si>
  <si>
    <t>vuile-transcontinental/baghino/havlicek</t>
  </si>
  <si>
    <t>baghino</t>
  </si>
  <si>
    <t>baghino/bassetti</t>
  </si>
  <si>
    <t>kubala</t>
  </si>
  <si>
    <t>breugem</t>
  </si>
  <si>
    <t>ter keur/sankala/mis</t>
  </si>
  <si>
    <t>mis</t>
  </si>
  <si>
    <t>beau/vent</t>
  </si>
  <si>
    <t>ipsen/glamour's club</t>
  </si>
  <si>
    <t>ipsen/brisse</t>
  </si>
  <si>
    <t>carrotage jusq 31/03</t>
  </si>
  <si>
    <t>pluie/orage</t>
  </si>
  <si>
    <t>carrotage jusq 05/04</t>
  </si>
  <si>
    <t>w-wend/vacances</t>
  </si>
  <si>
    <t>semaine/vacances</t>
  </si>
  <si>
    <t>cuq</t>
  </si>
  <si>
    <t>aki</t>
  </si>
  <si>
    <t>w-end/vacances</t>
  </si>
  <si>
    <t>aki/mis</t>
  </si>
  <si>
    <t>open senior/wallenhorst</t>
  </si>
  <si>
    <t>bergoz</t>
  </si>
  <si>
    <t>STE VICTOIRE/STE 24P</t>
  </si>
  <si>
    <t>seniors de neufchatel</t>
  </si>
  <si>
    <t>agaceca</t>
  </si>
  <si>
    <t>trophée barneau</t>
  </si>
  <si>
    <t>beau/nuageux</t>
  </si>
  <si>
    <t>hanifi 11p/mis 29p</t>
  </si>
  <si>
    <t>pluie apm</t>
  </si>
  <si>
    <t>agaceca/mis 26p</t>
  </si>
  <si>
    <t>verbier 14p</t>
  </si>
  <si>
    <t>rencontre valgarde/ste 68p</t>
  </si>
  <si>
    <t>verbier13p</t>
  </si>
  <si>
    <t>vistovin 18p/baillehache 10p</t>
  </si>
  <si>
    <t>vistovin 16p</t>
  </si>
  <si>
    <t>ladies trophy 77p</t>
  </si>
  <si>
    <t>nuageux instable</t>
  </si>
  <si>
    <t>vistovin 19p</t>
  </si>
  <si>
    <t>labo servier+vistovin 19p</t>
  </si>
  <si>
    <t>nuageux/orage</t>
  </si>
  <si>
    <t>bernard 16p</t>
  </si>
  <si>
    <t>bernard/reggs</t>
  </si>
  <si>
    <t>celestini/balay10p</t>
  </si>
  <si>
    <t>café richard 48p</t>
  </si>
  <si>
    <t>avf ste maxime</t>
  </si>
  <si>
    <t>trophée eaa/murray 12p</t>
  </si>
  <si>
    <t>groupe danois 25p</t>
  </si>
  <si>
    <t>faust</t>
  </si>
  <si>
    <t>beau vent</t>
  </si>
  <si>
    <t>France golf tours 16 pax</t>
  </si>
  <si>
    <t>defranoux 15p</t>
  </si>
  <si>
    <t>tempelaars 10p</t>
  </si>
  <si>
    <t>compet pellegrin 90p</t>
  </si>
  <si>
    <t>naugeux</t>
  </si>
  <si>
    <t>rencontre ste baume-ste</t>
  </si>
  <si>
    <t>groupe nord sud heuze</t>
  </si>
  <si>
    <t>unity golf academy</t>
  </si>
  <si>
    <t>alerte orange proshop ferme 16h</t>
  </si>
  <si>
    <t>parcours fermé innondations</t>
  </si>
  <si>
    <t>parcours ouvert mais GF offerts</t>
  </si>
  <si>
    <t>trophée des mélomanes annulé</t>
  </si>
  <si>
    <t>lions club</t>
  </si>
  <si>
    <t>trophée hollandais/bordier</t>
  </si>
  <si>
    <t>orageux</t>
  </si>
  <si>
    <t>Shot gun Erna Franse</t>
  </si>
  <si>
    <t>nuageux/beau</t>
  </si>
  <si>
    <t>tres orageux</t>
  </si>
  <si>
    <t>fermeture proshop 16h00</t>
  </si>
  <si>
    <t>pluie matin/ beau ap</t>
  </si>
  <si>
    <t>groupe M.beguin</t>
  </si>
  <si>
    <t>groupe regs dowling</t>
  </si>
  <si>
    <t>carottage</t>
  </si>
  <si>
    <t>compet as seniors</t>
  </si>
  <si>
    <t>nuageux/petites averses</t>
  </si>
  <si>
    <t>eaa+van joolen</t>
  </si>
  <si>
    <t>open cabriolet</t>
  </si>
  <si>
    <t xml:space="preserve">beau </t>
  </si>
  <si>
    <t>help la motte</t>
  </si>
  <si>
    <t>nuageux/possibilité averses</t>
  </si>
  <si>
    <t>AGACECA</t>
  </si>
  <si>
    <t>voilé</t>
  </si>
  <si>
    <t>grp lerda/eigken/ron de laat</t>
  </si>
  <si>
    <t>peu nuageux</t>
  </si>
  <si>
    <t>vent/pluie</t>
  </si>
  <si>
    <t>très nuageux/possibilité pluie</t>
  </si>
  <si>
    <t>nuageux/pluie fine</t>
  </si>
  <si>
    <t>Beau</t>
  </si>
  <si>
    <t>seniors dames de France 12p</t>
  </si>
  <si>
    <t>agaceca 46p</t>
  </si>
  <si>
    <t>guardian 47p</t>
  </si>
  <si>
    <t>beau/vent fort</t>
  </si>
  <si>
    <t>scms 13p</t>
  </si>
  <si>
    <t>championna du club 55p</t>
  </si>
  <si>
    <t>rencontre seniors/barbaroux</t>
  </si>
  <si>
    <t>ladeveze 9p</t>
  </si>
  <si>
    <t>agaceca 52p</t>
  </si>
  <si>
    <t>vent / nuageux</t>
  </si>
  <si>
    <t>open seniors 35p</t>
  </si>
  <si>
    <t>pluie/beau</t>
  </si>
  <si>
    <t>couvert</t>
  </si>
  <si>
    <t>orgeux/pluie</t>
  </si>
  <si>
    <t>nugeux</t>
  </si>
  <si>
    <t>variable</t>
  </si>
  <si>
    <t>ensoleillé</t>
  </si>
  <si>
    <t>st endreol/beauvallon 27 pax</t>
  </si>
  <si>
    <t>telethon 21 pax</t>
  </si>
  <si>
    <t>nuageux/pluie</t>
  </si>
  <si>
    <t>agaceca46 pax</t>
  </si>
  <si>
    <t>instable</t>
  </si>
  <si>
    <t xml:space="preserve">pluie </t>
  </si>
  <si>
    <t xml:space="preserve">couvert </t>
  </si>
  <si>
    <t>Total 2010</t>
  </si>
  <si>
    <t>nuageux/verbier13p</t>
  </si>
  <si>
    <t>nuageux/vistovin 18p+baillehache 10p</t>
  </si>
  <si>
    <t>pluie forte et vent/vistovin 16p</t>
  </si>
  <si>
    <t>nuageux/ladies trophy</t>
  </si>
  <si>
    <t>nuageux/vistovin19p+donck 13p</t>
  </si>
  <si>
    <t>nuageux /labo servier 5p+ vistovin 19p</t>
  </si>
  <si>
    <t>nuageux / vistovin 19p</t>
  </si>
  <si>
    <t>orage</t>
  </si>
  <si>
    <t>nuageux/ bernard 16p</t>
  </si>
  <si>
    <t>orage/bernard 16p+reggs 24p</t>
  </si>
  <si>
    <t>beau / célestini 20p+ balay 10p/groupe balay 10 pax</t>
  </si>
  <si>
    <t>beau / cafés richard 48p</t>
  </si>
  <si>
    <t>pluie/ avf 9p</t>
  </si>
  <si>
    <t>compet eaa beau temps</t>
  </si>
  <si>
    <t>lundi de pentecôte beau</t>
  </si>
  <si>
    <t xml:space="preserve">beau/groupe danois </t>
  </si>
  <si>
    <t>beau/mis</t>
  </si>
  <si>
    <t>pluie+faust 12p</t>
  </si>
  <si>
    <t>beau+mis</t>
  </si>
  <si>
    <t>France golf tours 6 pax/vent</t>
  </si>
  <si>
    <t>1</t>
  </si>
  <si>
    <t>2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</si>
  <si>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</si>
  <si>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</si>
  <si>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</si>
  <si>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</si>
  <si>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</si>
  <si>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</si>
  <si>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</si>
  <si>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</si>
  <si>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</si>
  <si>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</si>
  <si>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</si>
  <si>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</si>
  <si>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</si>
  <si>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</si>
  <si>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</si>
  <si>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</si>
  <si>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</si>
  <si>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</si>
  <si>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</si>
  <si>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</si>
  <si>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</si>
  <si>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</si>
  <si>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</si>
  <si>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</si>
  <si>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</si>
  <si>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</si>
  <si>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</si>
  <si>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</si>
  <si>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Total</t>
  </si>
  <si>
    <t>CA Green fees TTC</t>
  </si>
  <si>
    <t>CA Green fees HT</t>
  </si>
  <si>
    <t xml:space="preserve"> 18 Trous </t>
  </si>
  <si>
    <t>GF Duo</t>
  </si>
  <si>
    <t>GF membres PACA</t>
  </si>
  <si>
    <t>GF Competition</t>
  </si>
  <si>
    <t>Green  fee Hôtel</t>
  </si>
  <si>
    <t>Green fee Hôtel TO</t>
  </si>
  <si>
    <t>18 trous Journée spa</t>
  </si>
  <si>
    <t>18 trous Resort</t>
  </si>
  <si>
    <t>18 trous Offre spé</t>
  </si>
  <si>
    <t>18 trous Journée lunch</t>
  </si>
  <si>
    <t>9 trous fin de journée</t>
  </si>
  <si>
    <t xml:space="preserve">9 Trous </t>
  </si>
  <si>
    <t>TO</t>
  </si>
  <si>
    <t>OSD</t>
  </si>
  <si>
    <t>Golfy 30%</t>
  </si>
  <si>
    <t>Golfy 25%</t>
  </si>
  <si>
    <t>Groupe</t>
  </si>
  <si>
    <t>CA Abonnement TTC</t>
  </si>
  <si>
    <t>CA Abonnement HT</t>
  </si>
  <si>
    <t>Ventes de 10 Green fees</t>
  </si>
  <si>
    <t>Ventes Abonnements</t>
  </si>
  <si>
    <t>CA Location TTC</t>
  </si>
  <si>
    <t>CA Location HT</t>
  </si>
  <si>
    <t xml:space="preserve">Voiturettes </t>
  </si>
  <si>
    <t>Chariot Manuel</t>
  </si>
  <si>
    <t>Location de clubs</t>
  </si>
  <si>
    <t>CA Divers TTC</t>
  </si>
  <si>
    <t>CA Divers HT</t>
  </si>
  <si>
    <t>Seaux</t>
  </si>
  <si>
    <t>Commission Leçons</t>
  </si>
  <si>
    <t>Location emplacement voiture</t>
  </si>
  <si>
    <t>Droit de compét</t>
  </si>
  <si>
    <t>Duplicata FFG 10€</t>
  </si>
  <si>
    <t>Comm FFG jr et perso 1,55 €</t>
  </si>
  <si>
    <t>Comm FFG avec chgt 4,1 €</t>
  </si>
  <si>
    <t>Commission FFG ss chgt 3€</t>
  </si>
  <si>
    <t>Commission FFG créa 8€</t>
  </si>
  <si>
    <t>Commission FFG 3,55/1,53</t>
  </si>
  <si>
    <t>Droit de Roulage</t>
  </si>
  <si>
    <t>Divers</t>
  </si>
  <si>
    <t>Proshop (20% du CA)</t>
  </si>
  <si>
    <t xml:space="preserve">PROSHOP </t>
  </si>
  <si>
    <t>Proshop</t>
  </si>
  <si>
    <t>Total CA Net</t>
  </si>
  <si>
    <t>Total CA HT</t>
  </si>
  <si>
    <t>Statistiques green fee</t>
  </si>
  <si>
    <t>nb de green fees 18 Trous</t>
  </si>
  <si>
    <t>nb GF Duo</t>
  </si>
  <si>
    <t>nb GF Membres PACA</t>
  </si>
  <si>
    <t>nb de green fees Hôtel</t>
  </si>
  <si>
    <t>Nnb de green fees Hôtel TO</t>
  </si>
  <si>
    <t>nb de 18 trous Journée spa</t>
  </si>
  <si>
    <t>nb de 18 trous Resort</t>
  </si>
  <si>
    <t>nb de 18 trous Offre spé</t>
  </si>
  <si>
    <t>nd de 18 trous Offre spé</t>
  </si>
  <si>
    <t>nb de 18 trous Journée lunch</t>
  </si>
  <si>
    <t>nb de 9 trous fin de journée</t>
  </si>
  <si>
    <t>nb de green fees 9 Trous</t>
  </si>
  <si>
    <t>nb de parcours membres</t>
  </si>
  <si>
    <t>nb de passage 10 GF</t>
  </si>
  <si>
    <t>Statistiques location</t>
  </si>
  <si>
    <t>Voiturettes</t>
  </si>
  <si>
    <t>nb chariot manuel</t>
  </si>
  <si>
    <t>nb de location de clubs</t>
  </si>
  <si>
    <t>nb de chariot electrique</t>
  </si>
  <si>
    <t>Statistiques divers</t>
  </si>
  <si>
    <t>nb de seaux</t>
  </si>
  <si>
    <t>Commission leçons</t>
  </si>
  <si>
    <t>Commission FFG</t>
  </si>
  <si>
    <t>nb d'article PROSHOP</t>
  </si>
  <si>
    <t>Tarif public HR 18 trous</t>
  </si>
  <si>
    <t>Prix moyen 18 trous</t>
  </si>
  <si>
    <t>Statistiques</t>
  </si>
  <si>
    <t>CA HT</t>
  </si>
  <si>
    <t>écart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</si>
</sst>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-mmm"/>
    <numFmt numFmtId="165" formatCode="mmmm\-yy"/>
    <numFmt numFmtId="166" formatCode="[$-40C]d\-mmm;@"/>
    <numFmt numFmtId="167" formatCode="#,##0\ [$€-1]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1"/>
      <color theme="3"/>
      <name val="Arial"/>
      <family val="2"/>
    </font>
    <font>
      <sz val="10"/>
      <color theme="3"/>
      <name val="Arial"/>
      <family val="2"/>
    </font>
    <font>
      <sz val="8"/>
      <name val="Arial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5"/>
      <name val="Arial"/>
      <family val="2"/>
    </font>
    <font>
      <b/>
      <sz val="10"/>
      <name val="Arial"/>
      <family val="2"/>
    </font>
    <font>
      <b/>
      <sz val="10"/>
      <name val="Arial"/>
    </font>
    <font>
      <sz val="10"/>
      <color indexed="20"/>
      <name val="Arial"/>
      <family val="2"/>
    </font>
    <font>
      <sz val="10"/>
      <name val="Arial"/>
    </font>
    <font>
      <i/>
      <sz val="10"/>
      <name val="Arial"/>
    </font>
    <font>
      <b/>
      <sz val="12"/>
      <color indexed="10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i/>
      <sz val="10"/>
      <name val="Arial"/>
      <family val="2"/>
    </font>
    <font>
      <b/>
      <sz val="10"/>
      <color indexed="81"/>
      <name val="Tahoma"/>
    </font>
    <font>
      <sz val="10"/>
      <color indexed="81"/>
      <name val="Tahoma"/>
    </font>
    <font>
      <b/>
      <sz val="8"/>
      <color indexed="81"/>
      <name val="Tahoma"/>
      <charset val="1"/>
    </font>
    <font>
      <sz val="8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7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3" fillId="4" borderId="3" xfId="0" applyFont="1" applyFill="1" applyBorder="1" applyAlignment="1">
      <alignment horizontal="center"/>
    </xf>
    <xf numFmtId="164" fontId="3" fillId="4" borderId="3" xfId="0" applyNumberFormat="1" applyFont="1" applyFill="1" applyBorder="1" applyAlignment="1">
      <alignment horizontal="center"/>
    </xf>
    <xf numFmtId="3" fontId="3" fillId="4" borderId="3" xfId="0" applyNumberFormat="1" applyFont="1" applyFill="1" applyBorder="1" applyAlignment="1">
      <alignment horizontal="center"/>
    </xf>
    <xf numFmtId="3" fontId="3" fillId="4" borderId="4" xfId="0" applyNumberFormat="1" applyFont="1" applyFill="1" applyBorder="1" applyAlignment="1">
      <alignment horizontal="center"/>
    </xf>
    <xf numFmtId="3" fontId="0" fillId="3" borderId="3" xfId="0" applyNumberFormat="1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164" fontId="3" fillId="5" borderId="3" xfId="0" applyNumberFormat="1" applyFont="1" applyFill="1" applyBorder="1" applyAlignment="1">
      <alignment horizontal="center"/>
    </xf>
    <xf numFmtId="164" fontId="4" fillId="5" borderId="3" xfId="0" applyNumberFormat="1" applyFont="1" applyFill="1" applyBorder="1" applyAlignment="1">
      <alignment horizontal="center"/>
    </xf>
    <xf numFmtId="3" fontId="3" fillId="5" borderId="3" xfId="0" applyNumberFormat="1" applyFont="1" applyFill="1" applyBorder="1" applyAlignment="1">
      <alignment horizontal="center"/>
    </xf>
    <xf numFmtId="3" fontId="3" fillId="5" borderId="4" xfId="0" applyNumberFormat="1" applyFont="1" applyFill="1" applyBorder="1" applyAlignment="1">
      <alignment horizontal="center"/>
    </xf>
    <xf numFmtId="1" fontId="4" fillId="4" borderId="3" xfId="0" applyNumberFormat="1" applyFont="1" applyFill="1" applyBorder="1" applyAlignment="1">
      <alignment horizontal="center"/>
    </xf>
    <xf numFmtId="3" fontId="5" fillId="3" borderId="3" xfId="0" applyNumberFormat="1" applyFont="1" applyFill="1" applyBorder="1" applyAlignment="1">
      <alignment horizontal="center"/>
    </xf>
    <xf numFmtId="3" fontId="4" fillId="4" borderId="3" xfId="0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3" fontId="3" fillId="4" borderId="3" xfId="1" applyNumberFormat="1" applyFont="1" applyFill="1" applyBorder="1" applyAlignment="1">
      <alignment horizontal="center"/>
    </xf>
    <xf numFmtId="3" fontId="3" fillId="4" borderId="4" xfId="1" applyNumberFormat="1" applyFont="1" applyFill="1" applyBorder="1" applyAlignment="1">
      <alignment horizontal="center"/>
    </xf>
    <xf numFmtId="3" fontId="4" fillId="4" borderId="4" xfId="0" applyNumberFormat="1" applyFont="1" applyFill="1" applyBorder="1" applyAlignment="1">
      <alignment horizontal="center"/>
    </xf>
    <xf numFmtId="3" fontId="7" fillId="4" borderId="4" xfId="0" applyNumberFormat="1" applyFont="1" applyFill="1" applyBorder="1" applyAlignment="1">
      <alignment horizontal="center"/>
    </xf>
    <xf numFmtId="3" fontId="8" fillId="3" borderId="3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5" fontId="12" fillId="0" borderId="0" xfId="0" applyNumberFormat="1" applyFont="1" applyFill="1" applyBorder="1" applyProtection="1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3" fillId="0" borderId="0" xfId="0" applyFont="1" applyProtection="1"/>
    <xf numFmtId="0" fontId="0" fillId="0" borderId="0" xfId="0" applyNumberFormat="1" applyFill="1" applyProtection="1">
      <protection locked="0"/>
    </xf>
    <xf numFmtId="0" fontId="14" fillId="0" borderId="0" xfId="0" applyFont="1" applyAlignment="1" applyProtection="1">
      <alignment horizontal="center"/>
      <protection locked="0"/>
    </xf>
    <xf numFmtId="0" fontId="14" fillId="0" borderId="5" xfId="0" applyFont="1" applyBorder="1" applyProtection="1"/>
    <xf numFmtId="0" fontId="14" fillId="0" borderId="5" xfId="0" applyFont="1" applyBorder="1" applyProtection="1">
      <protection locked="0"/>
    </xf>
    <xf numFmtId="0" fontId="14" fillId="0" borderId="5" xfId="0" applyFont="1" applyFill="1" applyBorder="1" applyProtection="1">
      <protection locked="0"/>
    </xf>
    <xf numFmtId="0" fontId="14" fillId="0" borderId="0" xfId="0" applyFont="1" applyBorder="1" applyProtection="1"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Protection="1"/>
    <xf numFmtId="0" fontId="14" fillId="0" borderId="0" xfId="0" applyFont="1" applyFill="1" applyProtection="1">
      <protection locked="0"/>
    </xf>
    <xf numFmtId="0" fontId="14" fillId="0" borderId="0" xfId="0" applyFont="1" applyProtection="1"/>
    <xf numFmtId="0" fontId="0" fillId="0" borderId="0" xfId="0" applyProtection="1"/>
    <xf numFmtId="0" fontId="15" fillId="0" borderId="0" xfId="0" applyFont="1" applyProtection="1"/>
    <xf numFmtId="0" fontId="15" fillId="0" borderId="0" xfId="0" applyFont="1" applyProtection="1">
      <protection locked="0"/>
    </xf>
    <xf numFmtId="0" fontId="16" fillId="0" borderId="0" xfId="0" applyFont="1" applyFill="1" applyBorder="1" applyProtection="1"/>
    <xf numFmtId="0" fontId="13" fillId="0" borderId="0" xfId="0" applyFont="1" applyProtection="1">
      <protection locked="0"/>
    </xf>
    <xf numFmtId="1" fontId="14" fillId="4" borderId="6" xfId="0" applyNumberFormat="1" applyFont="1" applyFill="1" applyBorder="1" applyProtection="1"/>
    <xf numFmtId="0" fontId="14" fillId="4" borderId="7" xfId="0" quotePrefix="1" applyFont="1" applyFill="1" applyBorder="1" applyAlignment="1" applyProtection="1">
      <alignment horizontal="center"/>
    </xf>
    <xf numFmtId="0" fontId="14" fillId="4" borderId="7" xfId="0" applyFont="1" applyFill="1" applyBorder="1" applyAlignment="1" applyProtection="1">
      <alignment horizontal="center"/>
    </xf>
    <xf numFmtId="0" fontId="13" fillId="4" borderId="8" xfId="0" applyFont="1" applyFill="1" applyBorder="1" applyAlignment="1" applyProtection="1">
      <alignment horizontal="center"/>
    </xf>
    <xf numFmtId="1" fontId="14" fillId="6" borderId="6" xfId="0" applyNumberFormat="1" applyFont="1" applyFill="1" applyBorder="1" applyProtection="1"/>
    <xf numFmtId="166" fontId="14" fillId="6" borderId="7" xfId="0" quotePrefix="1" applyNumberFormat="1" applyFont="1" applyFill="1" applyBorder="1" applyAlignment="1" applyProtection="1">
      <alignment horizontal="center"/>
    </xf>
    <xf numFmtId="0" fontId="13" fillId="6" borderId="8" xfId="0" applyFont="1" applyFill="1" applyBorder="1" applyAlignment="1" applyProtection="1">
      <alignment horizontal="center"/>
    </xf>
    <xf numFmtId="0" fontId="14" fillId="4" borderId="9" xfId="0" applyFont="1" applyFill="1" applyBorder="1" applyProtection="1"/>
    <xf numFmtId="167" fontId="14" fillId="4" borderId="10" xfId="0" applyNumberFormat="1" applyFont="1" applyFill="1" applyBorder="1" applyProtection="1"/>
    <xf numFmtId="167" fontId="13" fillId="4" borderId="11" xfId="0" applyNumberFormat="1" applyFont="1" applyFill="1" applyBorder="1" applyProtection="1"/>
    <xf numFmtId="0" fontId="14" fillId="6" borderId="9" xfId="0" applyFont="1" applyFill="1" applyBorder="1" applyProtection="1"/>
    <xf numFmtId="167" fontId="14" fillId="6" borderId="10" xfId="0" applyNumberFormat="1" applyFont="1" applyFill="1" applyBorder="1" applyProtection="1"/>
    <xf numFmtId="167" fontId="13" fillId="6" borderId="11" xfId="0" applyNumberFormat="1" applyFont="1" applyFill="1" applyBorder="1" applyProtection="1"/>
    <xf numFmtId="0" fontId="17" fillId="4" borderId="9" xfId="0" applyFont="1" applyFill="1" applyBorder="1" applyAlignment="1" applyProtection="1">
      <alignment horizontal="right"/>
    </xf>
    <xf numFmtId="167" fontId="0" fillId="0" borderId="10" xfId="0" applyNumberFormat="1" applyBorder="1" applyProtection="1">
      <protection locked="0"/>
    </xf>
    <xf numFmtId="167" fontId="13" fillId="0" borderId="11" xfId="0" applyNumberFormat="1" applyFont="1" applyFill="1" applyBorder="1" applyProtection="1"/>
    <xf numFmtId="0" fontId="18" fillId="0" borderId="12" xfId="0" applyFont="1" applyBorder="1" applyAlignment="1" applyProtection="1">
      <alignment horizontal="left" vertical="top" wrapText="1"/>
      <protection locked="0"/>
    </xf>
    <xf numFmtId="0" fontId="13" fillId="0" borderId="13" xfId="0" applyFont="1" applyBorder="1" applyAlignment="1" applyProtection="1">
      <alignment horizontal="left" vertical="top"/>
      <protection locked="0"/>
    </xf>
    <xf numFmtId="0" fontId="17" fillId="6" borderId="9" xfId="0" applyFont="1" applyFill="1" applyBorder="1" applyAlignment="1" applyProtection="1">
      <alignment horizontal="right"/>
    </xf>
    <xf numFmtId="167" fontId="13" fillId="0" borderId="11" xfId="0" applyNumberFormat="1" applyFont="1" applyBorder="1" applyProtection="1"/>
    <xf numFmtId="0" fontId="17" fillId="4" borderId="14" xfId="0" applyFont="1" applyFill="1" applyBorder="1" applyAlignment="1" applyProtection="1">
      <alignment horizontal="right"/>
    </xf>
    <xf numFmtId="167" fontId="0" fillId="0" borderId="15" xfId="0" applyNumberFormat="1" applyBorder="1" applyProtection="1"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0" fillId="0" borderId="13" xfId="0" applyBorder="1" applyAlignment="1" applyProtection="1">
      <alignment vertical="top" wrapText="1"/>
      <protection locked="0"/>
    </xf>
    <xf numFmtId="0" fontId="13" fillId="0" borderId="12" xfId="0" applyFont="1" applyBorder="1" applyAlignment="1" applyProtection="1">
      <alignment horizontal="left" vertical="top"/>
      <protection locked="0"/>
    </xf>
    <xf numFmtId="0" fontId="0" fillId="0" borderId="12" xfId="0" applyBorder="1" applyAlignment="1" applyProtection="1">
      <alignment vertical="top"/>
      <protection locked="0"/>
    </xf>
    <xf numFmtId="0" fontId="0" fillId="0" borderId="13" xfId="0" applyBorder="1" applyAlignment="1" applyProtection="1">
      <alignment vertical="top"/>
      <protection locked="0"/>
    </xf>
    <xf numFmtId="0" fontId="0" fillId="0" borderId="12" xfId="0" applyBorder="1" applyAlignment="1" applyProtection="1">
      <alignment vertical="top"/>
    </xf>
    <xf numFmtId="0" fontId="0" fillId="0" borderId="13" xfId="0" applyBorder="1" applyAlignment="1" applyProtection="1">
      <alignment vertical="top"/>
    </xf>
    <xf numFmtId="0" fontId="15" fillId="0" borderId="0" xfId="0" applyFont="1" applyFill="1" applyBorder="1" applyProtection="1">
      <protection locked="0"/>
    </xf>
    <xf numFmtId="167" fontId="13" fillId="4" borderId="10" xfId="0" applyNumberFormat="1" applyFont="1" applyFill="1" applyBorder="1" applyProtection="1"/>
    <xf numFmtId="0" fontId="0" fillId="0" borderId="12" xfId="0" applyBorder="1" applyAlignment="1" applyProtection="1">
      <alignment vertical="top" wrapText="1"/>
    </xf>
    <xf numFmtId="0" fontId="0" fillId="0" borderId="13" xfId="0" applyBorder="1" applyAlignment="1" applyProtection="1">
      <alignment vertical="top" wrapText="1"/>
    </xf>
    <xf numFmtId="0" fontId="0" fillId="0" borderId="10" xfId="0" applyBorder="1" applyProtection="1">
      <protection locked="0"/>
    </xf>
    <xf numFmtId="0" fontId="0" fillId="0" borderId="5" xfId="0" applyBorder="1" applyProtection="1">
      <protection locked="0"/>
    </xf>
    <xf numFmtId="167" fontId="0" fillId="0" borderId="0" xfId="0" applyNumberFormat="1" applyBorder="1" applyProtection="1">
      <protection locked="0"/>
    </xf>
    <xf numFmtId="0" fontId="19" fillId="4" borderId="16" xfId="0" applyFont="1" applyFill="1" applyBorder="1" applyAlignment="1" applyProtection="1">
      <alignment horizontal="right"/>
    </xf>
    <xf numFmtId="167" fontId="0" fillId="0" borderId="17" xfId="0" applyNumberFormat="1" applyBorder="1" applyProtection="1"/>
    <xf numFmtId="0" fontId="19" fillId="6" borderId="14" xfId="0" applyFont="1" applyFill="1" applyBorder="1" applyAlignment="1" applyProtection="1">
      <alignment horizontal="right"/>
    </xf>
    <xf numFmtId="167" fontId="0" fillId="0" borderId="15" xfId="0" applyNumberFormat="1" applyBorder="1" applyProtection="1"/>
    <xf numFmtId="0" fontId="20" fillId="0" borderId="0" xfId="0" applyFont="1" applyFill="1" applyBorder="1" applyAlignment="1" applyProtection="1">
      <alignment horizontal="right"/>
    </xf>
    <xf numFmtId="167" fontId="20" fillId="0" borderId="0" xfId="0" applyNumberFormat="1" applyFont="1" applyBorder="1" applyProtection="1">
      <protection locked="0"/>
    </xf>
    <xf numFmtId="2" fontId="13" fillId="0" borderId="18" xfId="0" applyNumberFormat="1" applyFont="1" applyFill="1" applyBorder="1" applyProtection="1"/>
    <xf numFmtId="0" fontId="17" fillId="0" borderId="19" xfId="0" applyFont="1" applyFill="1" applyBorder="1" applyAlignment="1" applyProtection="1">
      <alignment horizontal="right"/>
    </xf>
    <xf numFmtId="167" fontId="0" fillId="0" borderId="20" xfId="0" applyNumberFormat="1" applyBorder="1" applyProtection="1">
      <protection locked="0"/>
    </xf>
    <xf numFmtId="167" fontId="20" fillId="0" borderId="0" xfId="0" applyNumberFormat="1" applyFont="1" applyBorder="1" applyProtection="1"/>
    <xf numFmtId="0" fontId="17" fillId="0" borderId="0" xfId="0" applyFont="1" applyFill="1" applyBorder="1" applyAlignment="1" applyProtection="1">
      <alignment horizontal="right"/>
    </xf>
    <xf numFmtId="1" fontId="13" fillId="4" borderId="6" xfId="0" applyNumberFormat="1" applyFont="1" applyFill="1" applyBorder="1" applyAlignment="1" applyProtection="1">
      <alignment horizontal="left"/>
    </xf>
    <xf numFmtId="1" fontId="13" fillId="4" borderId="7" xfId="0" applyNumberFormat="1" applyFont="1" applyFill="1" applyBorder="1" applyProtection="1"/>
    <xf numFmtId="1" fontId="13" fillId="4" borderId="8" xfId="0" applyNumberFormat="1" applyFont="1" applyFill="1" applyBorder="1" applyProtection="1"/>
    <xf numFmtId="1" fontId="13" fillId="6" borderId="6" xfId="0" applyNumberFormat="1" applyFont="1" applyFill="1" applyBorder="1" applyAlignment="1" applyProtection="1">
      <alignment horizontal="left"/>
    </xf>
    <xf numFmtId="1" fontId="13" fillId="6" borderId="7" xfId="0" applyNumberFormat="1" applyFont="1" applyFill="1" applyBorder="1" applyProtection="1"/>
    <xf numFmtId="1" fontId="13" fillId="6" borderId="8" xfId="0" applyNumberFormat="1" applyFont="1" applyFill="1" applyBorder="1" applyProtection="1"/>
    <xf numFmtId="1" fontId="0" fillId="0" borderId="10" xfId="0" applyNumberFormat="1" applyBorder="1" applyProtection="1">
      <protection locked="0"/>
    </xf>
    <xf numFmtId="1" fontId="13" fillId="0" borderId="11" xfId="0" applyNumberFormat="1" applyFont="1" applyBorder="1" applyProtection="1"/>
    <xf numFmtId="1" fontId="0" fillId="0" borderId="15" xfId="0" applyNumberFormat="1" applyBorder="1" applyProtection="1">
      <protection locked="0"/>
    </xf>
    <xf numFmtId="0" fontId="17" fillId="6" borderId="14" xfId="0" applyFont="1" applyFill="1" applyBorder="1" applyAlignment="1" applyProtection="1">
      <alignment horizontal="right"/>
    </xf>
    <xf numFmtId="0" fontId="13" fillId="4" borderId="9" xfId="0" applyFont="1" applyFill="1" applyBorder="1" applyAlignment="1" applyProtection="1">
      <alignment horizontal="left"/>
    </xf>
    <xf numFmtId="1" fontId="13" fillId="4" borderId="10" xfId="0" applyNumberFormat="1" applyFont="1" applyFill="1" applyBorder="1" applyProtection="1"/>
    <xf numFmtId="1" fontId="13" fillId="4" borderId="11" xfId="0" applyNumberFormat="1" applyFont="1" applyFill="1" applyBorder="1" applyProtection="1"/>
    <xf numFmtId="0" fontId="13" fillId="6" borderId="9" xfId="0" applyFont="1" applyFill="1" applyBorder="1" applyAlignment="1" applyProtection="1">
      <alignment horizontal="left"/>
    </xf>
    <xf numFmtId="1" fontId="13" fillId="6" borderId="10" xfId="0" applyNumberFormat="1" applyFont="1" applyFill="1" applyBorder="1" applyProtection="1"/>
    <xf numFmtId="1" fontId="13" fillId="6" borderId="11" xfId="0" applyNumberFormat="1" applyFont="1" applyFill="1" applyBorder="1" applyProtection="1"/>
    <xf numFmtId="1" fontId="0" fillId="0" borderId="5" xfId="0" applyNumberFormat="1" applyBorder="1" applyProtection="1">
      <protection locked="0"/>
    </xf>
    <xf numFmtId="1" fontId="13" fillId="0" borderId="21" xfId="0" applyNumberFormat="1" applyFont="1" applyFill="1" applyBorder="1" applyProtection="1"/>
    <xf numFmtId="1" fontId="0" fillId="0" borderId="0" xfId="0" applyNumberFormat="1" applyBorder="1" applyProtection="1">
      <protection locked="0"/>
    </xf>
    <xf numFmtId="0" fontId="17" fillId="4" borderId="16" xfId="0" applyFont="1" applyFill="1" applyBorder="1" applyAlignment="1" applyProtection="1">
      <alignment horizontal="right"/>
    </xf>
    <xf numFmtId="1" fontId="0" fillId="0" borderId="17" xfId="0" applyNumberFormat="1" applyBorder="1" applyProtection="1">
      <protection locked="0"/>
    </xf>
    <xf numFmtId="0" fontId="17" fillId="6" borderId="16" xfId="0" applyFont="1" applyFill="1" applyBorder="1" applyAlignment="1" applyProtection="1">
      <alignment horizontal="right"/>
    </xf>
    <xf numFmtId="1" fontId="0" fillId="0" borderId="0" xfId="0" applyNumberFormat="1" applyProtection="1">
      <protection locked="0"/>
    </xf>
    <xf numFmtId="0" fontId="16" fillId="0" borderId="0" xfId="0" applyFont="1" applyFill="1" applyBorder="1" applyAlignment="1" applyProtection="1">
      <alignment horizontal="right"/>
    </xf>
    <xf numFmtId="0" fontId="0" fillId="0" borderId="0" xfId="0" applyFill="1" applyProtection="1"/>
    <xf numFmtId="0" fontId="14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13" fillId="0" borderId="0" xfId="0" applyFont="1" applyAlignment="1" applyProtection="1">
      <alignment horizontal="center"/>
      <protection locked="0"/>
    </xf>
    <xf numFmtId="0" fontId="13" fillId="0" borderId="0" xfId="0" applyFont="1" applyFill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</xf>
    <xf numFmtId="165" fontId="13" fillId="0" borderId="3" xfId="0" applyNumberFormat="1" applyFont="1" applyFill="1" applyBorder="1" applyAlignment="1" applyProtection="1">
      <alignment horizontal="center"/>
    </xf>
    <xf numFmtId="0" fontId="13" fillId="0" borderId="3" xfId="0" applyFont="1" applyBorder="1" applyAlignment="1" applyProtection="1">
      <alignment horizontal="center"/>
    </xf>
    <xf numFmtId="4" fontId="16" fillId="0" borderId="0" xfId="0" applyNumberFormat="1" applyFont="1" applyFill="1" applyBorder="1" applyProtection="1"/>
    <xf numFmtId="4" fontId="0" fillId="0" borderId="0" xfId="0" applyNumberFormat="1" applyProtection="1">
      <protection locked="0"/>
    </xf>
    <xf numFmtId="4" fontId="0" fillId="0" borderId="0" xfId="0" applyNumberFormat="1" applyFill="1" applyProtection="1">
      <protection locked="0"/>
    </xf>
    <xf numFmtId="4" fontId="14" fillId="0" borderId="0" xfId="0" applyNumberFormat="1" applyFont="1" applyAlignment="1" applyProtection="1">
      <alignment horizontal="center"/>
      <protection locked="0"/>
    </xf>
    <xf numFmtId="4" fontId="0" fillId="0" borderId="0" xfId="0" applyNumberFormat="1" applyAlignment="1" applyProtection="1">
      <alignment horizontal="center"/>
      <protection locked="0"/>
    </xf>
    <xf numFmtId="4" fontId="0" fillId="0" borderId="0" xfId="0" applyNumberFormat="1" applyProtection="1"/>
    <xf numFmtId="4" fontId="21" fillId="6" borderId="3" xfId="0" applyNumberFormat="1" applyFont="1" applyFill="1" applyBorder="1" applyAlignment="1" applyProtection="1">
      <alignment horizontal="right"/>
    </xf>
    <xf numFmtId="4" fontId="0" fillId="0" borderId="3" xfId="0" applyNumberFormat="1" applyBorder="1" applyProtection="1"/>
    <xf numFmtId="0" fontId="21" fillId="0" borderId="3" xfId="0" applyFont="1" applyFill="1" applyBorder="1" applyAlignment="1" applyProtection="1">
      <alignment horizontal="right"/>
    </xf>
    <xf numFmtId="1" fontId="0" fillId="0" borderId="3" xfId="0" applyNumberFormat="1" applyBorder="1" applyProtection="1"/>
    <xf numFmtId="4" fontId="21" fillId="0" borderId="3" xfId="0" applyNumberFormat="1" applyFont="1" applyFill="1" applyBorder="1" applyAlignment="1" applyProtection="1">
      <alignment horizontal="righ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40"/>
  <sheetViews>
    <sheetView workbookViewId="0">
      <selection activeCell="E2" sqref="E2"/>
    </sheetView>
  </sheetViews>
  <sheetFormatPr baseColWidth="10" defaultRowHeight="15" x14ac:dyDescent="0.25"/>
  <cols>
    <col min="1" max="1" width="24" style="28" customWidth="1"/>
    <col min="2" max="3" width="16.28515625" style="31" customWidth="1"/>
    <col min="4" max="4" width="18.5703125" style="31" customWidth="1"/>
    <col min="5" max="5" width="48.85546875" style="31" customWidth="1"/>
    <col min="6" max="6" width="16.5703125" style="30" customWidth="1"/>
    <col min="7" max="7" width="10" style="30" customWidth="1"/>
    <col min="8" max="8" width="10.140625" style="30" customWidth="1"/>
    <col min="9" max="9" width="7.140625" style="30" customWidth="1"/>
    <col min="10" max="10" width="8.7109375" style="30" customWidth="1"/>
    <col min="11" max="11" width="13.42578125" style="30" customWidth="1"/>
    <col min="12" max="12" width="10" style="30" customWidth="1"/>
    <col min="13" max="16" width="13" style="30" customWidth="1"/>
    <col min="17" max="256" width="11.42578125" style="5"/>
    <col min="257" max="257" width="24" style="5" customWidth="1"/>
    <col min="258" max="259" width="16.28515625" style="5" customWidth="1"/>
    <col min="260" max="260" width="18.5703125" style="5" customWidth="1"/>
    <col min="261" max="261" width="48.85546875" style="5" customWidth="1"/>
    <col min="262" max="262" width="16.5703125" style="5" customWidth="1"/>
    <col min="263" max="263" width="10" style="5" customWidth="1"/>
    <col min="264" max="264" width="10.140625" style="5" customWidth="1"/>
    <col min="265" max="265" width="7.140625" style="5" customWidth="1"/>
    <col min="266" max="266" width="8.7109375" style="5" customWidth="1"/>
    <col min="267" max="267" width="13.42578125" style="5" customWidth="1"/>
    <col min="268" max="268" width="10" style="5" customWidth="1"/>
    <col min="269" max="272" width="13" style="5" customWidth="1"/>
    <col min="273" max="512" width="11.42578125" style="5"/>
    <col min="513" max="513" width="24" style="5" customWidth="1"/>
    <col min="514" max="515" width="16.28515625" style="5" customWidth="1"/>
    <col min="516" max="516" width="18.5703125" style="5" customWidth="1"/>
    <col min="517" max="517" width="48.85546875" style="5" customWidth="1"/>
    <col min="518" max="518" width="16.5703125" style="5" customWidth="1"/>
    <col min="519" max="519" width="10" style="5" customWidth="1"/>
    <col min="520" max="520" width="10.140625" style="5" customWidth="1"/>
    <col min="521" max="521" width="7.140625" style="5" customWidth="1"/>
    <col min="522" max="522" width="8.7109375" style="5" customWidth="1"/>
    <col min="523" max="523" width="13.42578125" style="5" customWidth="1"/>
    <col min="524" max="524" width="10" style="5" customWidth="1"/>
    <col min="525" max="528" width="13" style="5" customWidth="1"/>
    <col min="529" max="768" width="11.42578125" style="5"/>
    <col min="769" max="769" width="24" style="5" customWidth="1"/>
    <col min="770" max="771" width="16.28515625" style="5" customWidth="1"/>
    <col min="772" max="772" width="18.5703125" style="5" customWidth="1"/>
    <col min="773" max="773" width="48.85546875" style="5" customWidth="1"/>
    <col min="774" max="774" width="16.5703125" style="5" customWidth="1"/>
    <col min="775" max="775" width="10" style="5" customWidth="1"/>
    <col min="776" max="776" width="10.140625" style="5" customWidth="1"/>
    <col min="777" max="777" width="7.140625" style="5" customWidth="1"/>
    <col min="778" max="778" width="8.7109375" style="5" customWidth="1"/>
    <col min="779" max="779" width="13.42578125" style="5" customWidth="1"/>
    <col min="780" max="780" width="10" style="5" customWidth="1"/>
    <col min="781" max="784" width="13" style="5" customWidth="1"/>
    <col min="785" max="1024" width="11.42578125" style="5"/>
    <col min="1025" max="1025" width="24" style="5" customWidth="1"/>
    <col min="1026" max="1027" width="16.28515625" style="5" customWidth="1"/>
    <col min="1028" max="1028" width="18.5703125" style="5" customWidth="1"/>
    <col min="1029" max="1029" width="48.85546875" style="5" customWidth="1"/>
    <col min="1030" max="1030" width="16.5703125" style="5" customWidth="1"/>
    <col min="1031" max="1031" width="10" style="5" customWidth="1"/>
    <col min="1032" max="1032" width="10.140625" style="5" customWidth="1"/>
    <col min="1033" max="1033" width="7.140625" style="5" customWidth="1"/>
    <col min="1034" max="1034" width="8.7109375" style="5" customWidth="1"/>
    <col min="1035" max="1035" width="13.42578125" style="5" customWidth="1"/>
    <col min="1036" max="1036" width="10" style="5" customWidth="1"/>
    <col min="1037" max="1040" width="13" style="5" customWidth="1"/>
    <col min="1041" max="1280" width="11.42578125" style="5"/>
    <col min="1281" max="1281" width="24" style="5" customWidth="1"/>
    <col min="1282" max="1283" width="16.28515625" style="5" customWidth="1"/>
    <col min="1284" max="1284" width="18.5703125" style="5" customWidth="1"/>
    <col min="1285" max="1285" width="48.85546875" style="5" customWidth="1"/>
    <col min="1286" max="1286" width="16.5703125" style="5" customWidth="1"/>
    <col min="1287" max="1287" width="10" style="5" customWidth="1"/>
    <col min="1288" max="1288" width="10.140625" style="5" customWidth="1"/>
    <col min="1289" max="1289" width="7.140625" style="5" customWidth="1"/>
    <col min="1290" max="1290" width="8.7109375" style="5" customWidth="1"/>
    <col min="1291" max="1291" width="13.42578125" style="5" customWidth="1"/>
    <col min="1292" max="1292" width="10" style="5" customWidth="1"/>
    <col min="1293" max="1296" width="13" style="5" customWidth="1"/>
    <col min="1297" max="1536" width="11.42578125" style="5"/>
    <col min="1537" max="1537" width="24" style="5" customWidth="1"/>
    <col min="1538" max="1539" width="16.28515625" style="5" customWidth="1"/>
    <col min="1540" max="1540" width="18.5703125" style="5" customWidth="1"/>
    <col min="1541" max="1541" width="48.85546875" style="5" customWidth="1"/>
    <col min="1542" max="1542" width="16.5703125" style="5" customWidth="1"/>
    <col min="1543" max="1543" width="10" style="5" customWidth="1"/>
    <col min="1544" max="1544" width="10.140625" style="5" customWidth="1"/>
    <col min="1545" max="1545" width="7.140625" style="5" customWidth="1"/>
    <col min="1546" max="1546" width="8.7109375" style="5" customWidth="1"/>
    <col min="1547" max="1547" width="13.42578125" style="5" customWidth="1"/>
    <col min="1548" max="1548" width="10" style="5" customWidth="1"/>
    <col min="1549" max="1552" width="13" style="5" customWidth="1"/>
    <col min="1553" max="1792" width="11.42578125" style="5"/>
    <col min="1793" max="1793" width="24" style="5" customWidth="1"/>
    <col min="1794" max="1795" width="16.28515625" style="5" customWidth="1"/>
    <col min="1796" max="1796" width="18.5703125" style="5" customWidth="1"/>
    <col min="1797" max="1797" width="48.85546875" style="5" customWidth="1"/>
    <col min="1798" max="1798" width="16.5703125" style="5" customWidth="1"/>
    <col min="1799" max="1799" width="10" style="5" customWidth="1"/>
    <col min="1800" max="1800" width="10.140625" style="5" customWidth="1"/>
    <col min="1801" max="1801" width="7.140625" style="5" customWidth="1"/>
    <col min="1802" max="1802" width="8.7109375" style="5" customWidth="1"/>
    <col min="1803" max="1803" width="13.42578125" style="5" customWidth="1"/>
    <col min="1804" max="1804" width="10" style="5" customWidth="1"/>
    <col min="1805" max="1808" width="13" style="5" customWidth="1"/>
    <col min="1809" max="2048" width="11.42578125" style="5"/>
    <col min="2049" max="2049" width="24" style="5" customWidth="1"/>
    <col min="2050" max="2051" width="16.28515625" style="5" customWidth="1"/>
    <col min="2052" max="2052" width="18.5703125" style="5" customWidth="1"/>
    <col min="2053" max="2053" width="48.85546875" style="5" customWidth="1"/>
    <col min="2054" max="2054" width="16.5703125" style="5" customWidth="1"/>
    <col min="2055" max="2055" width="10" style="5" customWidth="1"/>
    <col min="2056" max="2056" width="10.140625" style="5" customWidth="1"/>
    <col min="2057" max="2057" width="7.140625" style="5" customWidth="1"/>
    <col min="2058" max="2058" width="8.7109375" style="5" customWidth="1"/>
    <col min="2059" max="2059" width="13.42578125" style="5" customWidth="1"/>
    <col min="2060" max="2060" width="10" style="5" customWidth="1"/>
    <col min="2061" max="2064" width="13" style="5" customWidth="1"/>
    <col min="2065" max="2304" width="11.42578125" style="5"/>
    <col min="2305" max="2305" width="24" style="5" customWidth="1"/>
    <col min="2306" max="2307" width="16.28515625" style="5" customWidth="1"/>
    <col min="2308" max="2308" width="18.5703125" style="5" customWidth="1"/>
    <col min="2309" max="2309" width="48.85546875" style="5" customWidth="1"/>
    <col min="2310" max="2310" width="16.5703125" style="5" customWidth="1"/>
    <col min="2311" max="2311" width="10" style="5" customWidth="1"/>
    <col min="2312" max="2312" width="10.140625" style="5" customWidth="1"/>
    <col min="2313" max="2313" width="7.140625" style="5" customWidth="1"/>
    <col min="2314" max="2314" width="8.7109375" style="5" customWidth="1"/>
    <col min="2315" max="2315" width="13.42578125" style="5" customWidth="1"/>
    <col min="2316" max="2316" width="10" style="5" customWidth="1"/>
    <col min="2317" max="2320" width="13" style="5" customWidth="1"/>
    <col min="2321" max="2560" width="11.42578125" style="5"/>
    <col min="2561" max="2561" width="24" style="5" customWidth="1"/>
    <col min="2562" max="2563" width="16.28515625" style="5" customWidth="1"/>
    <col min="2564" max="2564" width="18.5703125" style="5" customWidth="1"/>
    <col min="2565" max="2565" width="48.85546875" style="5" customWidth="1"/>
    <col min="2566" max="2566" width="16.5703125" style="5" customWidth="1"/>
    <col min="2567" max="2567" width="10" style="5" customWidth="1"/>
    <col min="2568" max="2568" width="10.140625" style="5" customWidth="1"/>
    <col min="2569" max="2569" width="7.140625" style="5" customWidth="1"/>
    <col min="2570" max="2570" width="8.7109375" style="5" customWidth="1"/>
    <col min="2571" max="2571" width="13.42578125" style="5" customWidth="1"/>
    <col min="2572" max="2572" width="10" style="5" customWidth="1"/>
    <col min="2573" max="2576" width="13" style="5" customWidth="1"/>
    <col min="2577" max="2816" width="11.42578125" style="5"/>
    <col min="2817" max="2817" width="24" style="5" customWidth="1"/>
    <col min="2818" max="2819" width="16.28515625" style="5" customWidth="1"/>
    <col min="2820" max="2820" width="18.5703125" style="5" customWidth="1"/>
    <col min="2821" max="2821" width="48.85546875" style="5" customWidth="1"/>
    <col min="2822" max="2822" width="16.5703125" style="5" customWidth="1"/>
    <col min="2823" max="2823" width="10" style="5" customWidth="1"/>
    <col min="2824" max="2824" width="10.140625" style="5" customWidth="1"/>
    <col min="2825" max="2825" width="7.140625" style="5" customWidth="1"/>
    <col min="2826" max="2826" width="8.7109375" style="5" customWidth="1"/>
    <col min="2827" max="2827" width="13.42578125" style="5" customWidth="1"/>
    <col min="2828" max="2828" width="10" style="5" customWidth="1"/>
    <col min="2829" max="2832" width="13" style="5" customWidth="1"/>
    <col min="2833" max="3072" width="11.42578125" style="5"/>
    <col min="3073" max="3073" width="24" style="5" customWidth="1"/>
    <col min="3074" max="3075" width="16.28515625" style="5" customWidth="1"/>
    <col min="3076" max="3076" width="18.5703125" style="5" customWidth="1"/>
    <col min="3077" max="3077" width="48.85546875" style="5" customWidth="1"/>
    <col min="3078" max="3078" width="16.5703125" style="5" customWidth="1"/>
    <col min="3079" max="3079" width="10" style="5" customWidth="1"/>
    <col min="3080" max="3080" width="10.140625" style="5" customWidth="1"/>
    <col min="3081" max="3081" width="7.140625" style="5" customWidth="1"/>
    <col min="3082" max="3082" width="8.7109375" style="5" customWidth="1"/>
    <col min="3083" max="3083" width="13.42578125" style="5" customWidth="1"/>
    <col min="3084" max="3084" width="10" style="5" customWidth="1"/>
    <col min="3085" max="3088" width="13" style="5" customWidth="1"/>
    <col min="3089" max="3328" width="11.42578125" style="5"/>
    <col min="3329" max="3329" width="24" style="5" customWidth="1"/>
    <col min="3330" max="3331" width="16.28515625" style="5" customWidth="1"/>
    <col min="3332" max="3332" width="18.5703125" style="5" customWidth="1"/>
    <col min="3333" max="3333" width="48.85546875" style="5" customWidth="1"/>
    <col min="3334" max="3334" width="16.5703125" style="5" customWidth="1"/>
    <col min="3335" max="3335" width="10" style="5" customWidth="1"/>
    <col min="3336" max="3336" width="10.140625" style="5" customWidth="1"/>
    <col min="3337" max="3337" width="7.140625" style="5" customWidth="1"/>
    <col min="3338" max="3338" width="8.7109375" style="5" customWidth="1"/>
    <col min="3339" max="3339" width="13.42578125" style="5" customWidth="1"/>
    <col min="3340" max="3340" width="10" style="5" customWidth="1"/>
    <col min="3341" max="3344" width="13" style="5" customWidth="1"/>
    <col min="3345" max="3584" width="11.42578125" style="5"/>
    <col min="3585" max="3585" width="24" style="5" customWidth="1"/>
    <col min="3586" max="3587" width="16.28515625" style="5" customWidth="1"/>
    <col min="3588" max="3588" width="18.5703125" style="5" customWidth="1"/>
    <col min="3589" max="3589" width="48.85546875" style="5" customWidth="1"/>
    <col min="3590" max="3590" width="16.5703125" style="5" customWidth="1"/>
    <col min="3591" max="3591" width="10" style="5" customWidth="1"/>
    <col min="3592" max="3592" width="10.140625" style="5" customWidth="1"/>
    <col min="3593" max="3593" width="7.140625" style="5" customWidth="1"/>
    <col min="3594" max="3594" width="8.7109375" style="5" customWidth="1"/>
    <col min="3595" max="3595" width="13.42578125" style="5" customWidth="1"/>
    <col min="3596" max="3596" width="10" style="5" customWidth="1"/>
    <col min="3597" max="3600" width="13" style="5" customWidth="1"/>
    <col min="3601" max="3840" width="11.42578125" style="5"/>
    <col min="3841" max="3841" width="24" style="5" customWidth="1"/>
    <col min="3842" max="3843" width="16.28515625" style="5" customWidth="1"/>
    <col min="3844" max="3844" width="18.5703125" style="5" customWidth="1"/>
    <col min="3845" max="3845" width="48.85546875" style="5" customWidth="1"/>
    <col min="3846" max="3846" width="16.5703125" style="5" customWidth="1"/>
    <col min="3847" max="3847" width="10" style="5" customWidth="1"/>
    <col min="3848" max="3848" width="10.140625" style="5" customWidth="1"/>
    <col min="3849" max="3849" width="7.140625" style="5" customWidth="1"/>
    <col min="3850" max="3850" width="8.7109375" style="5" customWidth="1"/>
    <col min="3851" max="3851" width="13.42578125" style="5" customWidth="1"/>
    <col min="3852" max="3852" width="10" style="5" customWidth="1"/>
    <col min="3853" max="3856" width="13" style="5" customWidth="1"/>
    <col min="3857" max="4096" width="11.42578125" style="5"/>
    <col min="4097" max="4097" width="24" style="5" customWidth="1"/>
    <col min="4098" max="4099" width="16.28515625" style="5" customWidth="1"/>
    <col min="4100" max="4100" width="18.5703125" style="5" customWidth="1"/>
    <col min="4101" max="4101" width="48.85546875" style="5" customWidth="1"/>
    <col min="4102" max="4102" width="16.5703125" style="5" customWidth="1"/>
    <col min="4103" max="4103" width="10" style="5" customWidth="1"/>
    <col min="4104" max="4104" width="10.140625" style="5" customWidth="1"/>
    <col min="4105" max="4105" width="7.140625" style="5" customWidth="1"/>
    <col min="4106" max="4106" width="8.7109375" style="5" customWidth="1"/>
    <col min="4107" max="4107" width="13.42578125" style="5" customWidth="1"/>
    <col min="4108" max="4108" width="10" style="5" customWidth="1"/>
    <col min="4109" max="4112" width="13" style="5" customWidth="1"/>
    <col min="4113" max="4352" width="11.42578125" style="5"/>
    <col min="4353" max="4353" width="24" style="5" customWidth="1"/>
    <col min="4354" max="4355" width="16.28515625" style="5" customWidth="1"/>
    <col min="4356" max="4356" width="18.5703125" style="5" customWidth="1"/>
    <col min="4357" max="4357" width="48.85546875" style="5" customWidth="1"/>
    <col min="4358" max="4358" width="16.5703125" style="5" customWidth="1"/>
    <col min="4359" max="4359" width="10" style="5" customWidth="1"/>
    <col min="4360" max="4360" width="10.140625" style="5" customWidth="1"/>
    <col min="4361" max="4361" width="7.140625" style="5" customWidth="1"/>
    <col min="4362" max="4362" width="8.7109375" style="5" customWidth="1"/>
    <col min="4363" max="4363" width="13.42578125" style="5" customWidth="1"/>
    <col min="4364" max="4364" width="10" style="5" customWidth="1"/>
    <col min="4365" max="4368" width="13" style="5" customWidth="1"/>
    <col min="4369" max="4608" width="11.42578125" style="5"/>
    <col min="4609" max="4609" width="24" style="5" customWidth="1"/>
    <col min="4610" max="4611" width="16.28515625" style="5" customWidth="1"/>
    <col min="4612" max="4612" width="18.5703125" style="5" customWidth="1"/>
    <col min="4613" max="4613" width="48.85546875" style="5" customWidth="1"/>
    <col min="4614" max="4614" width="16.5703125" style="5" customWidth="1"/>
    <col min="4615" max="4615" width="10" style="5" customWidth="1"/>
    <col min="4616" max="4616" width="10.140625" style="5" customWidth="1"/>
    <col min="4617" max="4617" width="7.140625" style="5" customWidth="1"/>
    <col min="4618" max="4618" width="8.7109375" style="5" customWidth="1"/>
    <col min="4619" max="4619" width="13.42578125" style="5" customWidth="1"/>
    <col min="4620" max="4620" width="10" style="5" customWidth="1"/>
    <col min="4621" max="4624" width="13" style="5" customWidth="1"/>
    <col min="4625" max="4864" width="11.42578125" style="5"/>
    <col min="4865" max="4865" width="24" style="5" customWidth="1"/>
    <col min="4866" max="4867" width="16.28515625" style="5" customWidth="1"/>
    <col min="4868" max="4868" width="18.5703125" style="5" customWidth="1"/>
    <col min="4869" max="4869" width="48.85546875" style="5" customWidth="1"/>
    <col min="4870" max="4870" width="16.5703125" style="5" customWidth="1"/>
    <col min="4871" max="4871" width="10" style="5" customWidth="1"/>
    <col min="4872" max="4872" width="10.140625" style="5" customWidth="1"/>
    <col min="4873" max="4873" width="7.140625" style="5" customWidth="1"/>
    <col min="4874" max="4874" width="8.7109375" style="5" customWidth="1"/>
    <col min="4875" max="4875" width="13.42578125" style="5" customWidth="1"/>
    <col min="4876" max="4876" width="10" style="5" customWidth="1"/>
    <col min="4877" max="4880" width="13" style="5" customWidth="1"/>
    <col min="4881" max="5120" width="11.42578125" style="5"/>
    <col min="5121" max="5121" width="24" style="5" customWidth="1"/>
    <col min="5122" max="5123" width="16.28515625" style="5" customWidth="1"/>
    <col min="5124" max="5124" width="18.5703125" style="5" customWidth="1"/>
    <col min="5125" max="5125" width="48.85546875" style="5" customWidth="1"/>
    <col min="5126" max="5126" width="16.5703125" style="5" customWidth="1"/>
    <col min="5127" max="5127" width="10" style="5" customWidth="1"/>
    <col min="5128" max="5128" width="10.140625" style="5" customWidth="1"/>
    <col min="5129" max="5129" width="7.140625" style="5" customWidth="1"/>
    <col min="5130" max="5130" width="8.7109375" style="5" customWidth="1"/>
    <col min="5131" max="5131" width="13.42578125" style="5" customWidth="1"/>
    <col min="5132" max="5132" width="10" style="5" customWidth="1"/>
    <col min="5133" max="5136" width="13" style="5" customWidth="1"/>
    <col min="5137" max="5376" width="11.42578125" style="5"/>
    <col min="5377" max="5377" width="24" style="5" customWidth="1"/>
    <col min="5378" max="5379" width="16.28515625" style="5" customWidth="1"/>
    <col min="5380" max="5380" width="18.5703125" style="5" customWidth="1"/>
    <col min="5381" max="5381" width="48.85546875" style="5" customWidth="1"/>
    <col min="5382" max="5382" width="16.5703125" style="5" customWidth="1"/>
    <col min="5383" max="5383" width="10" style="5" customWidth="1"/>
    <col min="5384" max="5384" width="10.140625" style="5" customWidth="1"/>
    <col min="5385" max="5385" width="7.140625" style="5" customWidth="1"/>
    <col min="5386" max="5386" width="8.7109375" style="5" customWidth="1"/>
    <col min="5387" max="5387" width="13.42578125" style="5" customWidth="1"/>
    <col min="5388" max="5388" width="10" style="5" customWidth="1"/>
    <col min="5389" max="5392" width="13" style="5" customWidth="1"/>
    <col min="5393" max="5632" width="11.42578125" style="5"/>
    <col min="5633" max="5633" width="24" style="5" customWidth="1"/>
    <col min="5634" max="5635" width="16.28515625" style="5" customWidth="1"/>
    <col min="5636" max="5636" width="18.5703125" style="5" customWidth="1"/>
    <col min="5637" max="5637" width="48.85546875" style="5" customWidth="1"/>
    <col min="5638" max="5638" width="16.5703125" style="5" customWidth="1"/>
    <col min="5639" max="5639" width="10" style="5" customWidth="1"/>
    <col min="5640" max="5640" width="10.140625" style="5" customWidth="1"/>
    <col min="5641" max="5641" width="7.140625" style="5" customWidth="1"/>
    <col min="5642" max="5642" width="8.7109375" style="5" customWidth="1"/>
    <col min="5643" max="5643" width="13.42578125" style="5" customWidth="1"/>
    <col min="5644" max="5644" width="10" style="5" customWidth="1"/>
    <col min="5645" max="5648" width="13" style="5" customWidth="1"/>
    <col min="5649" max="5888" width="11.42578125" style="5"/>
    <col min="5889" max="5889" width="24" style="5" customWidth="1"/>
    <col min="5890" max="5891" width="16.28515625" style="5" customWidth="1"/>
    <col min="5892" max="5892" width="18.5703125" style="5" customWidth="1"/>
    <col min="5893" max="5893" width="48.85546875" style="5" customWidth="1"/>
    <col min="5894" max="5894" width="16.5703125" style="5" customWidth="1"/>
    <col min="5895" max="5895" width="10" style="5" customWidth="1"/>
    <col min="5896" max="5896" width="10.140625" style="5" customWidth="1"/>
    <col min="5897" max="5897" width="7.140625" style="5" customWidth="1"/>
    <col min="5898" max="5898" width="8.7109375" style="5" customWidth="1"/>
    <col min="5899" max="5899" width="13.42578125" style="5" customWidth="1"/>
    <col min="5900" max="5900" width="10" style="5" customWidth="1"/>
    <col min="5901" max="5904" width="13" style="5" customWidth="1"/>
    <col min="5905" max="6144" width="11.42578125" style="5"/>
    <col min="6145" max="6145" width="24" style="5" customWidth="1"/>
    <col min="6146" max="6147" width="16.28515625" style="5" customWidth="1"/>
    <col min="6148" max="6148" width="18.5703125" style="5" customWidth="1"/>
    <col min="6149" max="6149" width="48.85546875" style="5" customWidth="1"/>
    <col min="6150" max="6150" width="16.5703125" style="5" customWidth="1"/>
    <col min="6151" max="6151" width="10" style="5" customWidth="1"/>
    <col min="6152" max="6152" width="10.140625" style="5" customWidth="1"/>
    <col min="6153" max="6153" width="7.140625" style="5" customWidth="1"/>
    <col min="6154" max="6154" width="8.7109375" style="5" customWidth="1"/>
    <col min="6155" max="6155" width="13.42578125" style="5" customWidth="1"/>
    <col min="6156" max="6156" width="10" style="5" customWidth="1"/>
    <col min="6157" max="6160" width="13" style="5" customWidth="1"/>
    <col min="6161" max="6400" width="11.42578125" style="5"/>
    <col min="6401" max="6401" width="24" style="5" customWidth="1"/>
    <col min="6402" max="6403" width="16.28515625" style="5" customWidth="1"/>
    <col min="6404" max="6404" width="18.5703125" style="5" customWidth="1"/>
    <col min="6405" max="6405" width="48.85546875" style="5" customWidth="1"/>
    <col min="6406" max="6406" width="16.5703125" style="5" customWidth="1"/>
    <col min="6407" max="6407" width="10" style="5" customWidth="1"/>
    <col min="6408" max="6408" width="10.140625" style="5" customWidth="1"/>
    <col min="6409" max="6409" width="7.140625" style="5" customWidth="1"/>
    <col min="6410" max="6410" width="8.7109375" style="5" customWidth="1"/>
    <col min="6411" max="6411" width="13.42578125" style="5" customWidth="1"/>
    <col min="6412" max="6412" width="10" style="5" customWidth="1"/>
    <col min="6413" max="6416" width="13" style="5" customWidth="1"/>
    <col min="6417" max="6656" width="11.42578125" style="5"/>
    <col min="6657" max="6657" width="24" style="5" customWidth="1"/>
    <col min="6658" max="6659" width="16.28515625" style="5" customWidth="1"/>
    <col min="6660" max="6660" width="18.5703125" style="5" customWidth="1"/>
    <col min="6661" max="6661" width="48.85546875" style="5" customWidth="1"/>
    <col min="6662" max="6662" width="16.5703125" style="5" customWidth="1"/>
    <col min="6663" max="6663" width="10" style="5" customWidth="1"/>
    <col min="6664" max="6664" width="10.140625" style="5" customWidth="1"/>
    <col min="6665" max="6665" width="7.140625" style="5" customWidth="1"/>
    <col min="6666" max="6666" width="8.7109375" style="5" customWidth="1"/>
    <col min="6667" max="6667" width="13.42578125" style="5" customWidth="1"/>
    <col min="6668" max="6668" width="10" style="5" customWidth="1"/>
    <col min="6669" max="6672" width="13" style="5" customWidth="1"/>
    <col min="6673" max="6912" width="11.42578125" style="5"/>
    <col min="6913" max="6913" width="24" style="5" customWidth="1"/>
    <col min="6914" max="6915" width="16.28515625" style="5" customWidth="1"/>
    <col min="6916" max="6916" width="18.5703125" style="5" customWidth="1"/>
    <col min="6917" max="6917" width="48.85546875" style="5" customWidth="1"/>
    <col min="6918" max="6918" width="16.5703125" style="5" customWidth="1"/>
    <col min="6919" max="6919" width="10" style="5" customWidth="1"/>
    <col min="6920" max="6920" width="10.140625" style="5" customWidth="1"/>
    <col min="6921" max="6921" width="7.140625" style="5" customWidth="1"/>
    <col min="6922" max="6922" width="8.7109375" style="5" customWidth="1"/>
    <col min="6923" max="6923" width="13.42578125" style="5" customWidth="1"/>
    <col min="6924" max="6924" width="10" style="5" customWidth="1"/>
    <col min="6925" max="6928" width="13" style="5" customWidth="1"/>
    <col min="6929" max="7168" width="11.42578125" style="5"/>
    <col min="7169" max="7169" width="24" style="5" customWidth="1"/>
    <col min="7170" max="7171" width="16.28515625" style="5" customWidth="1"/>
    <col min="7172" max="7172" width="18.5703125" style="5" customWidth="1"/>
    <col min="7173" max="7173" width="48.85546875" style="5" customWidth="1"/>
    <col min="7174" max="7174" width="16.5703125" style="5" customWidth="1"/>
    <col min="7175" max="7175" width="10" style="5" customWidth="1"/>
    <col min="7176" max="7176" width="10.140625" style="5" customWidth="1"/>
    <col min="7177" max="7177" width="7.140625" style="5" customWidth="1"/>
    <col min="7178" max="7178" width="8.7109375" style="5" customWidth="1"/>
    <col min="7179" max="7179" width="13.42578125" style="5" customWidth="1"/>
    <col min="7180" max="7180" width="10" style="5" customWidth="1"/>
    <col min="7181" max="7184" width="13" style="5" customWidth="1"/>
    <col min="7185" max="7424" width="11.42578125" style="5"/>
    <col min="7425" max="7425" width="24" style="5" customWidth="1"/>
    <col min="7426" max="7427" width="16.28515625" style="5" customWidth="1"/>
    <col min="7428" max="7428" width="18.5703125" style="5" customWidth="1"/>
    <col min="7429" max="7429" width="48.85546875" style="5" customWidth="1"/>
    <col min="7430" max="7430" width="16.5703125" style="5" customWidth="1"/>
    <col min="7431" max="7431" width="10" style="5" customWidth="1"/>
    <col min="7432" max="7432" width="10.140625" style="5" customWidth="1"/>
    <col min="7433" max="7433" width="7.140625" style="5" customWidth="1"/>
    <col min="7434" max="7434" width="8.7109375" style="5" customWidth="1"/>
    <col min="7435" max="7435" width="13.42578125" style="5" customWidth="1"/>
    <col min="7436" max="7436" width="10" style="5" customWidth="1"/>
    <col min="7437" max="7440" width="13" style="5" customWidth="1"/>
    <col min="7441" max="7680" width="11.42578125" style="5"/>
    <col min="7681" max="7681" width="24" style="5" customWidth="1"/>
    <col min="7682" max="7683" width="16.28515625" style="5" customWidth="1"/>
    <col min="7684" max="7684" width="18.5703125" style="5" customWidth="1"/>
    <col min="7685" max="7685" width="48.85546875" style="5" customWidth="1"/>
    <col min="7686" max="7686" width="16.5703125" style="5" customWidth="1"/>
    <col min="7687" max="7687" width="10" style="5" customWidth="1"/>
    <col min="7688" max="7688" width="10.140625" style="5" customWidth="1"/>
    <col min="7689" max="7689" width="7.140625" style="5" customWidth="1"/>
    <col min="7690" max="7690" width="8.7109375" style="5" customWidth="1"/>
    <col min="7691" max="7691" width="13.42578125" style="5" customWidth="1"/>
    <col min="7692" max="7692" width="10" style="5" customWidth="1"/>
    <col min="7693" max="7696" width="13" style="5" customWidth="1"/>
    <col min="7697" max="7936" width="11.42578125" style="5"/>
    <col min="7937" max="7937" width="24" style="5" customWidth="1"/>
    <col min="7938" max="7939" width="16.28515625" style="5" customWidth="1"/>
    <col min="7940" max="7940" width="18.5703125" style="5" customWidth="1"/>
    <col min="7941" max="7941" width="48.85546875" style="5" customWidth="1"/>
    <col min="7942" max="7942" width="16.5703125" style="5" customWidth="1"/>
    <col min="7943" max="7943" width="10" style="5" customWidth="1"/>
    <col min="7944" max="7944" width="10.140625" style="5" customWidth="1"/>
    <col min="7945" max="7945" width="7.140625" style="5" customWidth="1"/>
    <col min="7946" max="7946" width="8.7109375" style="5" customWidth="1"/>
    <col min="7947" max="7947" width="13.42578125" style="5" customWidth="1"/>
    <col min="7948" max="7948" width="10" style="5" customWidth="1"/>
    <col min="7949" max="7952" width="13" style="5" customWidth="1"/>
    <col min="7953" max="8192" width="11.42578125" style="5"/>
    <col min="8193" max="8193" width="24" style="5" customWidth="1"/>
    <col min="8194" max="8195" width="16.28515625" style="5" customWidth="1"/>
    <col min="8196" max="8196" width="18.5703125" style="5" customWidth="1"/>
    <col min="8197" max="8197" width="48.85546875" style="5" customWidth="1"/>
    <col min="8198" max="8198" width="16.5703125" style="5" customWidth="1"/>
    <col min="8199" max="8199" width="10" style="5" customWidth="1"/>
    <col min="8200" max="8200" width="10.140625" style="5" customWidth="1"/>
    <col min="8201" max="8201" width="7.140625" style="5" customWidth="1"/>
    <col min="8202" max="8202" width="8.7109375" style="5" customWidth="1"/>
    <col min="8203" max="8203" width="13.42578125" style="5" customWidth="1"/>
    <col min="8204" max="8204" width="10" style="5" customWidth="1"/>
    <col min="8205" max="8208" width="13" style="5" customWidth="1"/>
    <col min="8209" max="8448" width="11.42578125" style="5"/>
    <col min="8449" max="8449" width="24" style="5" customWidth="1"/>
    <col min="8450" max="8451" width="16.28515625" style="5" customWidth="1"/>
    <col min="8452" max="8452" width="18.5703125" style="5" customWidth="1"/>
    <col min="8453" max="8453" width="48.85546875" style="5" customWidth="1"/>
    <col min="8454" max="8454" width="16.5703125" style="5" customWidth="1"/>
    <col min="8455" max="8455" width="10" style="5" customWidth="1"/>
    <col min="8456" max="8456" width="10.140625" style="5" customWidth="1"/>
    <col min="8457" max="8457" width="7.140625" style="5" customWidth="1"/>
    <col min="8458" max="8458" width="8.7109375" style="5" customWidth="1"/>
    <col min="8459" max="8459" width="13.42578125" style="5" customWidth="1"/>
    <col min="8460" max="8460" width="10" style="5" customWidth="1"/>
    <col min="8461" max="8464" width="13" style="5" customWidth="1"/>
    <col min="8465" max="8704" width="11.42578125" style="5"/>
    <col min="8705" max="8705" width="24" style="5" customWidth="1"/>
    <col min="8706" max="8707" width="16.28515625" style="5" customWidth="1"/>
    <col min="8708" max="8708" width="18.5703125" style="5" customWidth="1"/>
    <col min="8709" max="8709" width="48.85546875" style="5" customWidth="1"/>
    <col min="8710" max="8710" width="16.5703125" style="5" customWidth="1"/>
    <col min="8711" max="8711" width="10" style="5" customWidth="1"/>
    <col min="8712" max="8712" width="10.140625" style="5" customWidth="1"/>
    <col min="8713" max="8713" width="7.140625" style="5" customWidth="1"/>
    <col min="8714" max="8714" width="8.7109375" style="5" customWidth="1"/>
    <col min="8715" max="8715" width="13.42578125" style="5" customWidth="1"/>
    <col min="8716" max="8716" width="10" style="5" customWidth="1"/>
    <col min="8717" max="8720" width="13" style="5" customWidth="1"/>
    <col min="8721" max="8960" width="11.42578125" style="5"/>
    <col min="8961" max="8961" width="24" style="5" customWidth="1"/>
    <col min="8962" max="8963" width="16.28515625" style="5" customWidth="1"/>
    <col min="8964" max="8964" width="18.5703125" style="5" customWidth="1"/>
    <col min="8965" max="8965" width="48.85546875" style="5" customWidth="1"/>
    <col min="8966" max="8966" width="16.5703125" style="5" customWidth="1"/>
    <col min="8967" max="8967" width="10" style="5" customWidth="1"/>
    <col min="8968" max="8968" width="10.140625" style="5" customWidth="1"/>
    <col min="8969" max="8969" width="7.140625" style="5" customWidth="1"/>
    <col min="8970" max="8970" width="8.7109375" style="5" customWidth="1"/>
    <col min="8971" max="8971" width="13.42578125" style="5" customWidth="1"/>
    <col min="8972" max="8972" width="10" style="5" customWidth="1"/>
    <col min="8973" max="8976" width="13" style="5" customWidth="1"/>
    <col min="8977" max="9216" width="11.42578125" style="5"/>
    <col min="9217" max="9217" width="24" style="5" customWidth="1"/>
    <col min="9218" max="9219" width="16.28515625" style="5" customWidth="1"/>
    <col min="9220" max="9220" width="18.5703125" style="5" customWidth="1"/>
    <col min="9221" max="9221" width="48.85546875" style="5" customWidth="1"/>
    <col min="9222" max="9222" width="16.5703125" style="5" customWidth="1"/>
    <col min="9223" max="9223" width="10" style="5" customWidth="1"/>
    <col min="9224" max="9224" width="10.140625" style="5" customWidth="1"/>
    <col min="9225" max="9225" width="7.140625" style="5" customWidth="1"/>
    <col min="9226" max="9226" width="8.7109375" style="5" customWidth="1"/>
    <col min="9227" max="9227" width="13.42578125" style="5" customWidth="1"/>
    <col min="9228" max="9228" width="10" style="5" customWidth="1"/>
    <col min="9229" max="9232" width="13" style="5" customWidth="1"/>
    <col min="9233" max="9472" width="11.42578125" style="5"/>
    <col min="9473" max="9473" width="24" style="5" customWidth="1"/>
    <col min="9474" max="9475" width="16.28515625" style="5" customWidth="1"/>
    <col min="9476" max="9476" width="18.5703125" style="5" customWidth="1"/>
    <col min="9477" max="9477" width="48.85546875" style="5" customWidth="1"/>
    <col min="9478" max="9478" width="16.5703125" style="5" customWidth="1"/>
    <col min="9479" max="9479" width="10" style="5" customWidth="1"/>
    <col min="9480" max="9480" width="10.140625" style="5" customWidth="1"/>
    <col min="9481" max="9481" width="7.140625" style="5" customWidth="1"/>
    <col min="9482" max="9482" width="8.7109375" style="5" customWidth="1"/>
    <col min="9483" max="9483" width="13.42578125" style="5" customWidth="1"/>
    <col min="9484" max="9484" width="10" style="5" customWidth="1"/>
    <col min="9485" max="9488" width="13" style="5" customWidth="1"/>
    <col min="9489" max="9728" width="11.42578125" style="5"/>
    <col min="9729" max="9729" width="24" style="5" customWidth="1"/>
    <col min="9730" max="9731" width="16.28515625" style="5" customWidth="1"/>
    <col min="9732" max="9732" width="18.5703125" style="5" customWidth="1"/>
    <col min="9733" max="9733" width="48.85546875" style="5" customWidth="1"/>
    <col min="9734" max="9734" width="16.5703125" style="5" customWidth="1"/>
    <col min="9735" max="9735" width="10" style="5" customWidth="1"/>
    <col min="9736" max="9736" width="10.140625" style="5" customWidth="1"/>
    <col min="9737" max="9737" width="7.140625" style="5" customWidth="1"/>
    <col min="9738" max="9738" width="8.7109375" style="5" customWidth="1"/>
    <col min="9739" max="9739" width="13.42578125" style="5" customWidth="1"/>
    <col min="9740" max="9740" width="10" style="5" customWidth="1"/>
    <col min="9741" max="9744" width="13" style="5" customWidth="1"/>
    <col min="9745" max="9984" width="11.42578125" style="5"/>
    <col min="9985" max="9985" width="24" style="5" customWidth="1"/>
    <col min="9986" max="9987" width="16.28515625" style="5" customWidth="1"/>
    <col min="9988" max="9988" width="18.5703125" style="5" customWidth="1"/>
    <col min="9989" max="9989" width="48.85546875" style="5" customWidth="1"/>
    <col min="9990" max="9990" width="16.5703125" style="5" customWidth="1"/>
    <col min="9991" max="9991" width="10" style="5" customWidth="1"/>
    <col min="9992" max="9992" width="10.140625" style="5" customWidth="1"/>
    <col min="9993" max="9993" width="7.140625" style="5" customWidth="1"/>
    <col min="9994" max="9994" width="8.7109375" style="5" customWidth="1"/>
    <col min="9995" max="9995" width="13.42578125" style="5" customWidth="1"/>
    <col min="9996" max="9996" width="10" style="5" customWidth="1"/>
    <col min="9997" max="10000" width="13" style="5" customWidth="1"/>
    <col min="10001" max="10240" width="11.42578125" style="5"/>
    <col min="10241" max="10241" width="24" style="5" customWidth="1"/>
    <col min="10242" max="10243" width="16.28515625" style="5" customWidth="1"/>
    <col min="10244" max="10244" width="18.5703125" style="5" customWidth="1"/>
    <col min="10245" max="10245" width="48.85546875" style="5" customWidth="1"/>
    <col min="10246" max="10246" width="16.5703125" style="5" customWidth="1"/>
    <col min="10247" max="10247" width="10" style="5" customWidth="1"/>
    <col min="10248" max="10248" width="10.140625" style="5" customWidth="1"/>
    <col min="10249" max="10249" width="7.140625" style="5" customWidth="1"/>
    <col min="10250" max="10250" width="8.7109375" style="5" customWidth="1"/>
    <col min="10251" max="10251" width="13.42578125" style="5" customWidth="1"/>
    <col min="10252" max="10252" width="10" style="5" customWidth="1"/>
    <col min="10253" max="10256" width="13" style="5" customWidth="1"/>
    <col min="10257" max="10496" width="11.42578125" style="5"/>
    <col min="10497" max="10497" width="24" style="5" customWidth="1"/>
    <col min="10498" max="10499" width="16.28515625" style="5" customWidth="1"/>
    <col min="10500" max="10500" width="18.5703125" style="5" customWidth="1"/>
    <col min="10501" max="10501" width="48.85546875" style="5" customWidth="1"/>
    <col min="10502" max="10502" width="16.5703125" style="5" customWidth="1"/>
    <col min="10503" max="10503" width="10" style="5" customWidth="1"/>
    <col min="10504" max="10504" width="10.140625" style="5" customWidth="1"/>
    <col min="10505" max="10505" width="7.140625" style="5" customWidth="1"/>
    <col min="10506" max="10506" width="8.7109375" style="5" customWidth="1"/>
    <col min="10507" max="10507" width="13.42578125" style="5" customWidth="1"/>
    <col min="10508" max="10508" width="10" style="5" customWidth="1"/>
    <col min="10509" max="10512" width="13" style="5" customWidth="1"/>
    <col min="10513" max="10752" width="11.42578125" style="5"/>
    <col min="10753" max="10753" width="24" style="5" customWidth="1"/>
    <col min="10754" max="10755" width="16.28515625" style="5" customWidth="1"/>
    <col min="10756" max="10756" width="18.5703125" style="5" customWidth="1"/>
    <col min="10757" max="10757" width="48.85546875" style="5" customWidth="1"/>
    <col min="10758" max="10758" width="16.5703125" style="5" customWidth="1"/>
    <col min="10759" max="10759" width="10" style="5" customWidth="1"/>
    <col min="10760" max="10760" width="10.140625" style="5" customWidth="1"/>
    <col min="10761" max="10761" width="7.140625" style="5" customWidth="1"/>
    <col min="10762" max="10762" width="8.7109375" style="5" customWidth="1"/>
    <col min="10763" max="10763" width="13.42578125" style="5" customWidth="1"/>
    <col min="10764" max="10764" width="10" style="5" customWidth="1"/>
    <col min="10765" max="10768" width="13" style="5" customWidth="1"/>
    <col min="10769" max="11008" width="11.42578125" style="5"/>
    <col min="11009" max="11009" width="24" style="5" customWidth="1"/>
    <col min="11010" max="11011" width="16.28515625" style="5" customWidth="1"/>
    <col min="11012" max="11012" width="18.5703125" style="5" customWidth="1"/>
    <col min="11013" max="11013" width="48.85546875" style="5" customWidth="1"/>
    <col min="11014" max="11014" width="16.5703125" style="5" customWidth="1"/>
    <col min="11015" max="11015" width="10" style="5" customWidth="1"/>
    <col min="11016" max="11016" width="10.140625" style="5" customWidth="1"/>
    <col min="11017" max="11017" width="7.140625" style="5" customWidth="1"/>
    <col min="11018" max="11018" width="8.7109375" style="5" customWidth="1"/>
    <col min="11019" max="11019" width="13.42578125" style="5" customWidth="1"/>
    <col min="11020" max="11020" width="10" style="5" customWidth="1"/>
    <col min="11021" max="11024" width="13" style="5" customWidth="1"/>
    <col min="11025" max="11264" width="11.42578125" style="5"/>
    <col min="11265" max="11265" width="24" style="5" customWidth="1"/>
    <col min="11266" max="11267" width="16.28515625" style="5" customWidth="1"/>
    <col min="11268" max="11268" width="18.5703125" style="5" customWidth="1"/>
    <col min="11269" max="11269" width="48.85546875" style="5" customWidth="1"/>
    <col min="11270" max="11270" width="16.5703125" style="5" customWidth="1"/>
    <col min="11271" max="11271" width="10" style="5" customWidth="1"/>
    <col min="11272" max="11272" width="10.140625" style="5" customWidth="1"/>
    <col min="11273" max="11273" width="7.140625" style="5" customWidth="1"/>
    <col min="11274" max="11274" width="8.7109375" style="5" customWidth="1"/>
    <col min="11275" max="11275" width="13.42578125" style="5" customWidth="1"/>
    <col min="11276" max="11276" width="10" style="5" customWidth="1"/>
    <col min="11277" max="11280" width="13" style="5" customWidth="1"/>
    <col min="11281" max="11520" width="11.42578125" style="5"/>
    <col min="11521" max="11521" width="24" style="5" customWidth="1"/>
    <col min="11522" max="11523" width="16.28515625" style="5" customWidth="1"/>
    <col min="11524" max="11524" width="18.5703125" style="5" customWidth="1"/>
    <col min="11525" max="11525" width="48.85546875" style="5" customWidth="1"/>
    <col min="11526" max="11526" width="16.5703125" style="5" customWidth="1"/>
    <col min="11527" max="11527" width="10" style="5" customWidth="1"/>
    <col min="11528" max="11528" width="10.140625" style="5" customWidth="1"/>
    <col min="11529" max="11529" width="7.140625" style="5" customWidth="1"/>
    <col min="11530" max="11530" width="8.7109375" style="5" customWidth="1"/>
    <col min="11531" max="11531" width="13.42578125" style="5" customWidth="1"/>
    <col min="11532" max="11532" width="10" style="5" customWidth="1"/>
    <col min="11533" max="11536" width="13" style="5" customWidth="1"/>
    <col min="11537" max="11776" width="11.42578125" style="5"/>
    <col min="11777" max="11777" width="24" style="5" customWidth="1"/>
    <col min="11778" max="11779" width="16.28515625" style="5" customWidth="1"/>
    <col min="11780" max="11780" width="18.5703125" style="5" customWidth="1"/>
    <col min="11781" max="11781" width="48.85546875" style="5" customWidth="1"/>
    <col min="11782" max="11782" width="16.5703125" style="5" customWidth="1"/>
    <col min="11783" max="11783" width="10" style="5" customWidth="1"/>
    <col min="11784" max="11784" width="10.140625" style="5" customWidth="1"/>
    <col min="11785" max="11785" width="7.140625" style="5" customWidth="1"/>
    <col min="11786" max="11786" width="8.7109375" style="5" customWidth="1"/>
    <col min="11787" max="11787" width="13.42578125" style="5" customWidth="1"/>
    <col min="11788" max="11788" width="10" style="5" customWidth="1"/>
    <col min="11789" max="11792" width="13" style="5" customWidth="1"/>
    <col min="11793" max="12032" width="11.42578125" style="5"/>
    <col min="12033" max="12033" width="24" style="5" customWidth="1"/>
    <col min="12034" max="12035" width="16.28515625" style="5" customWidth="1"/>
    <col min="12036" max="12036" width="18.5703125" style="5" customWidth="1"/>
    <col min="12037" max="12037" width="48.85546875" style="5" customWidth="1"/>
    <col min="12038" max="12038" width="16.5703125" style="5" customWidth="1"/>
    <col min="12039" max="12039" width="10" style="5" customWidth="1"/>
    <col min="12040" max="12040" width="10.140625" style="5" customWidth="1"/>
    <col min="12041" max="12041" width="7.140625" style="5" customWidth="1"/>
    <col min="12042" max="12042" width="8.7109375" style="5" customWidth="1"/>
    <col min="12043" max="12043" width="13.42578125" style="5" customWidth="1"/>
    <col min="12044" max="12044" width="10" style="5" customWidth="1"/>
    <col min="12045" max="12048" width="13" style="5" customWidth="1"/>
    <col min="12049" max="12288" width="11.42578125" style="5"/>
    <col min="12289" max="12289" width="24" style="5" customWidth="1"/>
    <col min="12290" max="12291" width="16.28515625" style="5" customWidth="1"/>
    <col min="12292" max="12292" width="18.5703125" style="5" customWidth="1"/>
    <col min="12293" max="12293" width="48.85546875" style="5" customWidth="1"/>
    <col min="12294" max="12294" width="16.5703125" style="5" customWidth="1"/>
    <col min="12295" max="12295" width="10" style="5" customWidth="1"/>
    <col min="12296" max="12296" width="10.140625" style="5" customWidth="1"/>
    <col min="12297" max="12297" width="7.140625" style="5" customWidth="1"/>
    <col min="12298" max="12298" width="8.7109375" style="5" customWidth="1"/>
    <col min="12299" max="12299" width="13.42578125" style="5" customWidth="1"/>
    <col min="12300" max="12300" width="10" style="5" customWidth="1"/>
    <col min="12301" max="12304" width="13" style="5" customWidth="1"/>
    <col min="12305" max="12544" width="11.42578125" style="5"/>
    <col min="12545" max="12545" width="24" style="5" customWidth="1"/>
    <col min="12546" max="12547" width="16.28515625" style="5" customWidth="1"/>
    <col min="12548" max="12548" width="18.5703125" style="5" customWidth="1"/>
    <col min="12549" max="12549" width="48.85546875" style="5" customWidth="1"/>
    <col min="12550" max="12550" width="16.5703125" style="5" customWidth="1"/>
    <col min="12551" max="12551" width="10" style="5" customWidth="1"/>
    <col min="12552" max="12552" width="10.140625" style="5" customWidth="1"/>
    <col min="12553" max="12553" width="7.140625" style="5" customWidth="1"/>
    <col min="12554" max="12554" width="8.7109375" style="5" customWidth="1"/>
    <col min="12555" max="12555" width="13.42578125" style="5" customWidth="1"/>
    <col min="12556" max="12556" width="10" style="5" customWidth="1"/>
    <col min="12557" max="12560" width="13" style="5" customWidth="1"/>
    <col min="12561" max="12800" width="11.42578125" style="5"/>
    <col min="12801" max="12801" width="24" style="5" customWidth="1"/>
    <col min="12802" max="12803" width="16.28515625" style="5" customWidth="1"/>
    <col min="12804" max="12804" width="18.5703125" style="5" customWidth="1"/>
    <col min="12805" max="12805" width="48.85546875" style="5" customWidth="1"/>
    <col min="12806" max="12806" width="16.5703125" style="5" customWidth="1"/>
    <col min="12807" max="12807" width="10" style="5" customWidth="1"/>
    <col min="12808" max="12808" width="10.140625" style="5" customWidth="1"/>
    <col min="12809" max="12809" width="7.140625" style="5" customWidth="1"/>
    <col min="12810" max="12810" width="8.7109375" style="5" customWidth="1"/>
    <col min="12811" max="12811" width="13.42578125" style="5" customWidth="1"/>
    <col min="12812" max="12812" width="10" style="5" customWidth="1"/>
    <col min="12813" max="12816" width="13" style="5" customWidth="1"/>
    <col min="12817" max="13056" width="11.42578125" style="5"/>
    <col min="13057" max="13057" width="24" style="5" customWidth="1"/>
    <col min="13058" max="13059" width="16.28515625" style="5" customWidth="1"/>
    <col min="13060" max="13060" width="18.5703125" style="5" customWidth="1"/>
    <col min="13061" max="13061" width="48.85546875" style="5" customWidth="1"/>
    <col min="13062" max="13062" width="16.5703125" style="5" customWidth="1"/>
    <col min="13063" max="13063" width="10" style="5" customWidth="1"/>
    <col min="13064" max="13064" width="10.140625" style="5" customWidth="1"/>
    <col min="13065" max="13065" width="7.140625" style="5" customWidth="1"/>
    <col min="13066" max="13066" width="8.7109375" style="5" customWidth="1"/>
    <col min="13067" max="13067" width="13.42578125" style="5" customWidth="1"/>
    <col min="13068" max="13068" width="10" style="5" customWidth="1"/>
    <col min="13069" max="13072" width="13" style="5" customWidth="1"/>
    <col min="13073" max="13312" width="11.42578125" style="5"/>
    <col min="13313" max="13313" width="24" style="5" customWidth="1"/>
    <col min="13314" max="13315" width="16.28515625" style="5" customWidth="1"/>
    <col min="13316" max="13316" width="18.5703125" style="5" customWidth="1"/>
    <col min="13317" max="13317" width="48.85546875" style="5" customWidth="1"/>
    <col min="13318" max="13318" width="16.5703125" style="5" customWidth="1"/>
    <col min="13319" max="13319" width="10" style="5" customWidth="1"/>
    <col min="13320" max="13320" width="10.140625" style="5" customWidth="1"/>
    <col min="13321" max="13321" width="7.140625" style="5" customWidth="1"/>
    <col min="13322" max="13322" width="8.7109375" style="5" customWidth="1"/>
    <col min="13323" max="13323" width="13.42578125" style="5" customWidth="1"/>
    <col min="13324" max="13324" width="10" style="5" customWidth="1"/>
    <col min="13325" max="13328" width="13" style="5" customWidth="1"/>
    <col min="13329" max="13568" width="11.42578125" style="5"/>
    <col min="13569" max="13569" width="24" style="5" customWidth="1"/>
    <col min="13570" max="13571" width="16.28515625" style="5" customWidth="1"/>
    <col min="13572" max="13572" width="18.5703125" style="5" customWidth="1"/>
    <col min="13573" max="13573" width="48.85546875" style="5" customWidth="1"/>
    <col min="13574" max="13574" width="16.5703125" style="5" customWidth="1"/>
    <col min="13575" max="13575" width="10" style="5" customWidth="1"/>
    <col min="13576" max="13576" width="10.140625" style="5" customWidth="1"/>
    <col min="13577" max="13577" width="7.140625" style="5" customWidth="1"/>
    <col min="13578" max="13578" width="8.7109375" style="5" customWidth="1"/>
    <col min="13579" max="13579" width="13.42578125" style="5" customWidth="1"/>
    <col min="13580" max="13580" width="10" style="5" customWidth="1"/>
    <col min="13581" max="13584" width="13" style="5" customWidth="1"/>
    <col min="13585" max="13824" width="11.42578125" style="5"/>
    <col min="13825" max="13825" width="24" style="5" customWidth="1"/>
    <col min="13826" max="13827" width="16.28515625" style="5" customWidth="1"/>
    <col min="13828" max="13828" width="18.5703125" style="5" customWidth="1"/>
    <col min="13829" max="13829" width="48.85546875" style="5" customWidth="1"/>
    <col min="13830" max="13830" width="16.5703125" style="5" customWidth="1"/>
    <col min="13831" max="13831" width="10" style="5" customWidth="1"/>
    <col min="13832" max="13832" width="10.140625" style="5" customWidth="1"/>
    <col min="13833" max="13833" width="7.140625" style="5" customWidth="1"/>
    <col min="13834" max="13834" width="8.7109375" style="5" customWidth="1"/>
    <col min="13835" max="13835" width="13.42578125" style="5" customWidth="1"/>
    <col min="13836" max="13836" width="10" style="5" customWidth="1"/>
    <col min="13837" max="13840" width="13" style="5" customWidth="1"/>
    <col min="13841" max="14080" width="11.42578125" style="5"/>
    <col min="14081" max="14081" width="24" style="5" customWidth="1"/>
    <col min="14082" max="14083" width="16.28515625" style="5" customWidth="1"/>
    <col min="14084" max="14084" width="18.5703125" style="5" customWidth="1"/>
    <col min="14085" max="14085" width="48.85546875" style="5" customWidth="1"/>
    <col min="14086" max="14086" width="16.5703125" style="5" customWidth="1"/>
    <col min="14087" max="14087" width="10" style="5" customWidth="1"/>
    <col min="14088" max="14088" width="10.140625" style="5" customWidth="1"/>
    <col min="14089" max="14089" width="7.140625" style="5" customWidth="1"/>
    <col min="14090" max="14090" width="8.7109375" style="5" customWidth="1"/>
    <col min="14091" max="14091" width="13.42578125" style="5" customWidth="1"/>
    <col min="14092" max="14092" width="10" style="5" customWidth="1"/>
    <col min="14093" max="14096" width="13" style="5" customWidth="1"/>
    <col min="14097" max="14336" width="11.42578125" style="5"/>
    <col min="14337" max="14337" width="24" style="5" customWidth="1"/>
    <col min="14338" max="14339" width="16.28515625" style="5" customWidth="1"/>
    <col min="14340" max="14340" width="18.5703125" style="5" customWidth="1"/>
    <col min="14341" max="14341" width="48.85546875" style="5" customWidth="1"/>
    <col min="14342" max="14342" width="16.5703125" style="5" customWidth="1"/>
    <col min="14343" max="14343" width="10" style="5" customWidth="1"/>
    <col min="14344" max="14344" width="10.140625" style="5" customWidth="1"/>
    <col min="14345" max="14345" width="7.140625" style="5" customWidth="1"/>
    <col min="14346" max="14346" width="8.7109375" style="5" customWidth="1"/>
    <col min="14347" max="14347" width="13.42578125" style="5" customWidth="1"/>
    <col min="14348" max="14348" width="10" style="5" customWidth="1"/>
    <col min="14349" max="14352" width="13" style="5" customWidth="1"/>
    <col min="14353" max="14592" width="11.42578125" style="5"/>
    <col min="14593" max="14593" width="24" style="5" customWidth="1"/>
    <col min="14594" max="14595" width="16.28515625" style="5" customWidth="1"/>
    <col min="14596" max="14596" width="18.5703125" style="5" customWidth="1"/>
    <col min="14597" max="14597" width="48.85546875" style="5" customWidth="1"/>
    <col min="14598" max="14598" width="16.5703125" style="5" customWidth="1"/>
    <col min="14599" max="14599" width="10" style="5" customWidth="1"/>
    <col min="14600" max="14600" width="10.140625" style="5" customWidth="1"/>
    <col min="14601" max="14601" width="7.140625" style="5" customWidth="1"/>
    <col min="14602" max="14602" width="8.7109375" style="5" customWidth="1"/>
    <col min="14603" max="14603" width="13.42578125" style="5" customWidth="1"/>
    <col min="14604" max="14604" width="10" style="5" customWidth="1"/>
    <col min="14605" max="14608" width="13" style="5" customWidth="1"/>
    <col min="14609" max="14848" width="11.42578125" style="5"/>
    <col min="14849" max="14849" width="24" style="5" customWidth="1"/>
    <col min="14850" max="14851" width="16.28515625" style="5" customWidth="1"/>
    <col min="14852" max="14852" width="18.5703125" style="5" customWidth="1"/>
    <col min="14853" max="14853" width="48.85546875" style="5" customWidth="1"/>
    <col min="14854" max="14854" width="16.5703125" style="5" customWidth="1"/>
    <col min="14855" max="14855" width="10" style="5" customWidth="1"/>
    <col min="14856" max="14856" width="10.140625" style="5" customWidth="1"/>
    <col min="14857" max="14857" width="7.140625" style="5" customWidth="1"/>
    <col min="14858" max="14858" width="8.7109375" style="5" customWidth="1"/>
    <col min="14859" max="14859" width="13.42578125" style="5" customWidth="1"/>
    <col min="14860" max="14860" width="10" style="5" customWidth="1"/>
    <col min="14861" max="14864" width="13" style="5" customWidth="1"/>
    <col min="14865" max="15104" width="11.42578125" style="5"/>
    <col min="15105" max="15105" width="24" style="5" customWidth="1"/>
    <col min="15106" max="15107" width="16.28515625" style="5" customWidth="1"/>
    <col min="15108" max="15108" width="18.5703125" style="5" customWidth="1"/>
    <col min="15109" max="15109" width="48.85546875" style="5" customWidth="1"/>
    <col min="15110" max="15110" width="16.5703125" style="5" customWidth="1"/>
    <col min="15111" max="15111" width="10" style="5" customWidth="1"/>
    <col min="15112" max="15112" width="10.140625" style="5" customWidth="1"/>
    <col min="15113" max="15113" width="7.140625" style="5" customWidth="1"/>
    <col min="15114" max="15114" width="8.7109375" style="5" customWidth="1"/>
    <col min="15115" max="15115" width="13.42578125" style="5" customWidth="1"/>
    <col min="15116" max="15116" width="10" style="5" customWidth="1"/>
    <col min="15117" max="15120" width="13" style="5" customWidth="1"/>
    <col min="15121" max="15360" width="11.42578125" style="5"/>
    <col min="15361" max="15361" width="24" style="5" customWidth="1"/>
    <col min="15362" max="15363" width="16.28515625" style="5" customWidth="1"/>
    <col min="15364" max="15364" width="18.5703125" style="5" customWidth="1"/>
    <col min="15365" max="15365" width="48.85546875" style="5" customWidth="1"/>
    <col min="15366" max="15366" width="16.5703125" style="5" customWidth="1"/>
    <col min="15367" max="15367" width="10" style="5" customWidth="1"/>
    <col min="15368" max="15368" width="10.140625" style="5" customWidth="1"/>
    <col min="15369" max="15369" width="7.140625" style="5" customWidth="1"/>
    <col min="15370" max="15370" width="8.7109375" style="5" customWidth="1"/>
    <col min="15371" max="15371" width="13.42578125" style="5" customWidth="1"/>
    <col min="15372" max="15372" width="10" style="5" customWidth="1"/>
    <col min="15373" max="15376" width="13" style="5" customWidth="1"/>
    <col min="15377" max="15616" width="11.42578125" style="5"/>
    <col min="15617" max="15617" width="24" style="5" customWidth="1"/>
    <col min="15618" max="15619" width="16.28515625" style="5" customWidth="1"/>
    <col min="15620" max="15620" width="18.5703125" style="5" customWidth="1"/>
    <col min="15621" max="15621" width="48.85546875" style="5" customWidth="1"/>
    <col min="15622" max="15622" width="16.5703125" style="5" customWidth="1"/>
    <col min="15623" max="15623" width="10" style="5" customWidth="1"/>
    <col min="15624" max="15624" width="10.140625" style="5" customWidth="1"/>
    <col min="15625" max="15625" width="7.140625" style="5" customWidth="1"/>
    <col min="15626" max="15626" width="8.7109375" style="5" customWidth="1"/>
    <col min="15627" max="15627" width="13.42578125" style="5" customWidth="1"/>
    <col min="15628" max="15628" width="10" style="5" customWidth="1"/>
    <col min="15629" max="15632" width="13" style="5" customWidth="1"/>
    <col min="15633" max="15872" width="11.42578125" style="5"/>
    <col min="15873" max="15873" width="24" style="5" customWidth="1"/>
    <col min="15874" max="15875" width="16.28515625" style="5" customWidth="1"/>
    <col min="15876" max="15876" width="18.5703125" style="5" customWidth="1"/>
    <col min="15877" max="15877" width="48.85546875" style="5" customWidth="1"/>
    <col min="15878" max="15878" width="16.5703125" style="5" customWidth="1"/>
    <col min="15879" max="15879" width="10" style="5" customWidth="1"/>
    <col min="15880" max="15880" width="10.140625" style="5" customWidth="1"/>
    <col min="15881" max="15881" width="7.140625" style="5" customWidth="1"/>
    <col min="15882" max="15882" width="8.7109375" style="5" customWidth="1"/>
    <col min="15883" max="15883" width="13.42578125" style="5" customWidth="1"/>
    <col min="15884" max="15884" width="10" style="5" customWidth="1"/>
    <col min="15885" max="15888" width="13" style="5" customWidth="1"/>
    <col min="15889" max="16128" width="11.42578125" style="5"/>
    <col min="16129" max="16129" width="24" style="5" customWidth="1"/>
    <col min="16130" max="16131" width="16.28515625" style="5" customWidth="1"/>
    <col min="16132" max="16132" width="18.5703125" style="5" customWidth="1"/>
    <col min="16133" max="16133" width="48.85546875" style="5" customWidth="1"/>
    <col min="16134" max="16134" width="16.5703125" style="5" customWidth="1"/>
    <col min="16135" max="16135" width="10" style="5" customWidth="1"/>
    <col min="16136" max="16136" width="10.140625" style="5" customWidth="1"/>
    <col min="16137" max="16137" width="7.140625" style="5" customWidth="1"/>
    <col min="16138" max="16138" width="8.7109375" style="5" customWidth="1"/>
    <col min="16139" max="16139" width="13.42578125" style="5" customWidth="1"/>
    <col min="16140" max="16140" width="10" style="5" customWidth="1"/>
    <col min="16141" max="16144" width="13" style="5" customWidth="1"/>
    <col min="16145" max="16384" width="11.42578125" style="5"/>
  </cols>
  <sheetData>
    <row r="1" spans="1:17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4" t="s">
        <v>16</v>
      </c>
    </row>
    <row r="2" spans="1:17" x14ac:dyDescent="0.25">
      <c r="A2" s="6" t="s">
        <v>17</v>
      </c>
      <c r="B2" s="7">
        <v>39814</v>
      </c>
      <c r="C2" s="7" t="s">
        <v>18</v>
      </c>
      <c r="D2" s="7" t="s">
        <v>19</v>
      </c>
      <c r="E2" s="7"/>
      <c r="F2" s="8"/>
      <c r="G2" s="8"/>
      <c r="H2" s="8">
        <v>14</v>
      </c>
      <c r="I2" s="8">
        <v>3</v>
      </c>
      <c r="J2" s="8">
        <v>2</v>
      </c>
      <c r="K2" s="8">
        <v>16</v>
      </c>
      <c r="L2" s="8">
        <v>9</v>
      </c>
      <c r="M2" s="8"/>
      <c r="N2" s="8"/>
      <c r="O2" s="8"/>
      <c r="P2" s="9"/>
      <c r="Q2" s="10">
        <f>SUM(F2:P2)</f>
        <v>44</v>
      </c>
    </row>
    <row r="3" spans="1:17" x14ac:dyDescent="0.25">
      <c r="A3" s="11" t="s">
        <v>20</v>
      </c>
      <c r="B3" s="12">
        <v>39815</v>
      </c>
      <c r="C3" s="12" t="s">
        <v>21</v>
      </c>
      <c r="D3" s="13" t="s">
        <v>22</v>
      </c>
      <c r="E3" s="12" t="s">
        <v>23</v>
      </c>
      <c r="F3" s="14">
        <v>25</v>
      </c>
      <c r="G3" s="14"/>
      <c r="H3" s="14">
        <v>40</v>
      </c>
      <c r="I3" s="14">
        <v>2</v>
      </c>
      <c r="J3" s="14">
        <v>3</v>
      </c>
      <c r="K3" s="14">
        <v>12</v>
      </c>
      <c r="L3" s="14">
        <v>10</v>
      </c>
      <c r="M3" s="14">
        <v>15</v>
      </c>
      <c r="N3" s="14"/>
      <c r="O3" s="14"/>
      <c r="P3" s="15"/>
      <c r="Q3" s="10">
        <f t="shared" ref="Q3:Q68" si="0">SUM(F3:P3)</f>
        <v>107</v>
      </c>
    </row>
    <row r="4" spans="1:17" x14ac:dyDescent="0.25">
      <c r="A4" s="11" t="s">
        <v>24</v>
      </c>
      <c r="B4" s="12">
        <v>39816</v>
      </c>
      <c r="C4" s="12" t="s">
        <v>25</v>
      </c>
      <c r="D4" s="13" t="s">
        <v>22</v>
      </c>
      <c r="E4" s="12"/>
      <c r="F4" s="14">
        <v>20</v>
      </c>
      <c r="G4" s="14"/>
      <c r="H4" s="14">
        <v>35</v>
      </c>
      <c r="I4" s="14">
        <v>1</v>
      </c>
      <c r="J4" s="14"/>
      <c r="K4" s="14">
        <v>3</v>
      </c>
      <c r="L4" s="14">
        <v>8</v>
      </c>
      <c r="M4" s="14"/>
      <c r="N4" s="14"/>
      <c r="O4" s="14"/>
      <c r="P4" s="15"/>
      <c r="Q4" s="10">
        <f t="shared" si="0"/>
        <v>67</v>
      </c>
    </row>
    <row r="5" spans="1:17" x14ac:dyDescent="0.25">
      <c r="A5" s="6" t="s">
        <v>26</v>
      </c>
      <c r="B5" s="7">
        <v>39817</v>
      </c>
      <c r="C5" s="7" t="s">
        <v>18</v>
      </c>
      <c r="D5" s="7" t="s">
        <v>27</v>
      </c>
      <c r="E5" s="7" t="s">
        <v>28</v>
      </c>
      <c r="F5" s="8">
        <v>11</v>
      </c>
      <c r="G5" s="8"/>
      <c r="H5" s="8">
        <v>10</v>
      </c>
      <c r="I5" s="8"/>
      <c r="J5" s="8"/>
      <c r="K5" s="8">
        <v>4</v>
      </c>
      <c r="L5" s="8"/>
      <c r="M5" s="8"/>
      <c r="N5" s="8"/>
      <c r="O5" s="8"/>
      <c r="P5" s="9"/>
      <c r="Q5" s="10">
        <f t="shared" si="0"/>
        <v>25</v>
      </c>
    </row>
    <row r="6" spans="1:17" x14ac:dyDescent="0.25">
      <c r="A6" s="6" t="s">
        <v>29</v>
      </c>
      <c r="B6" s="7">
        <v>39818</v>
      </c>
      <c r="C6" s="7" t="s">
        <v>30</v>
      </c>
      <c r="D6" s="7" t="s">
        <v>27</v>
      </c>
      <c r="E6" s="7"/>
      <c r="F6" s="8">
        <v>16</v>
      </c>
      <c r="G6" s="8"/>
      <c r="H6" s="8">
        <v>5</v>
      </c>
      <c r="I6" s="8"/>
      <c r="J6" s="8"/>
      <c r="K6" s="8">
        <v>1</v>
      </c>
      <c r="L6" s="8"/>
      <c r="M6" s="8"/>
      <c r="N6" s="8"/>
      <c r="O6" s="8"/>
      <c r="P6" s="9"/>
      <c r="Q6" s="10">
        <f t="shared" si="0"/>
        <v>22</v>
      </c>
    </row>
    <row r="7" spans="1:17" x14ac:dyDescent="0.25">
      <c r="A7" s="6" t="s">
        <v>31</v>
      </c>
      <c r="B7" s="7">
        <v>39819</v>
      </c>
      <c r="C7" s="7" t="s">
        <v>32</v>
      </c>
      <c r="D7" s="7" t="s">
        <v>27</v>
      </c>
      <c r="E7" s="7"/>
      <c r="F7" s="8">
        <v>19</v>
      </c>
      <c r="G7" s="8"/>
      <c r="H7" s="8">
        <v>22</v>
      </c>
      <c r="I7" s="8"/>
      <c r="J7" s="8"/>
      <c r="K7" s="8"/>
      <c r="L7" s="8"/>
      <c r="M7" s="8"/>
      <c r="N7" s="8"/>
      <c r="O7" s="8"/>
      <c r="P7" s="9"/>
      <c r="Q7" s="10">
        <f t="shared" si="0"/>
        <v>41</v>
      </c>
    </row>
    <row r="8" spans="1:17" x14ac:dyDescent="0.25">
      <c r="A8" s="6" t="s">
        <v>33</v>
      </c>
      <c r="B8" s="7">
        <v>39820</v>
      </c>
      <c r="C8" s="7" t="s">
        <v>34</v>
      </c>
      <c r="D8" s="7" t="s">
        <v>27</v>
      </c>
      <c r="E8" s="7"/>
      <c r="F8" s="8">
        <v>18</v>
      </c>
      <c r="G8" s="8"/>
      <c r="H8" s="8">
        <v>6</v>
      </c>
      <c r="I8" s="8"/>
      <c r="J8" s="8"/>
      <c r="K8" s="8"/>
      <c r="L8" s="8"/>
      <c r="M8" s="8"/>
      <c r="N8" s="8"/>
      <c r="O8" s="8"/>
      <c r="P8" s="9"/>
      <c r="Q8" s="10">
        <f t="shared" si="0"/>
        <v>24</v>
      </c>
    </row>
    <row r="9" spans="1:17" x14ac:dyDescent="0.25">
      <c r="A9" s="6" t="s">
        <v>17</v>
      </c>
      <c r="B9" s="7">
        <v>39821</v>
      </c>
      <c r="C9" s="7" t="s">
        <v>35</v>
      </c>
      <c r="D9" s="7" t="s">
        <v>27</v>
      </c>
      <c r="E9" s="7"/>
      <c r="F9" s="8"/>
      <c r="G9" s="8"/>
      <c r="H9" s="8"/>
      <c r="I9" s="8"/>
      <c r="J9" s="8"/>
      <c r="K9" s="8">
        <v>1</v>
      </c>
      <c r="L9" s="8"/>
      <c r="M9" s="8"/>
      <c r="N9" s="8"/>
      <c r="O9" s="8"/>
      <c r="P9" s="9"/>
      <c r="Q9" s="10">
        <f t="shared" si="0"/>
        <v>1</v>
      </c>
    </row>
    <row r="10" spans="1:17" x14ac:dyDescent="0.25">
      <c r="A10" s="11" t="s">
        <v>20</v>
      </c>
      <c r="B10" s="12">
        <v>39822</v>
      </c>
      <c r="C10" s="12" t="s">
        <v>36</v>
      </c>
      <c r="D10" s="13" t="s">
        <v>37</v>
      </c>
      <c r="E10" s="12"/>
      <c r="F10" s="14">
        <v>2</v>
      </c>
      <c r="G10" s="14"/>
      <c r="H10" s="14"/>
      <c r="I10" s="14"/>
      <c r="J10" s="14"/>
      <c r="K10" s="14"/>
      <c r="L10" s="14"/>
      <c r="M10" s="14"/>
      <c r="N10" s="14"/>
      <c r="O10" s="14"/>
      <c r="P10" s="15"/>
      <c r="Q10" s="10">
        <f t="shared" si="0"/>
        <v>2</v>
      </c>
    </row>
    <row r="11" spans="1:17" x14ac:dyDescent="0.25">
      <c r="A11" s="11" t="s">
        <v>24</v>
      </c>
      <c r="B11" s="12">
        <v>39823</v>
      </c>
      <c r="C11" s="12" t="s">
        <v>38</v>
      </c>
      <c r="D11" s="13" t="s">
        <v>37</v>
      </c>
      <c r="E11" s="12" t="s">
        <v>39</v>
      </c>
      <c r="F11" s="14">
        <v>5</v>
      </c>
      <c r="G11" s="14"/>
      <c r="H11" s="14">
        <v>2</v>
      </c>
      <c r="I11" s="14"/>
      <c r="J11" s="14"/>
      <c r="K11" s="14">
        <v>1</v>
      </c>
      <c r="L11" s="14"/>
      <c r="M11" s="14"/>
      <c r="N11" s="14"/>
      <c r="O11" s="14"/>
      <c r="P11" s="15"/>
      <c r="Q11" s="10">
        <f t="shared" si="0"/>
        <v>8</v>
      </c>
    </row>
    <row r="12" spans="1:17" x14ac:dyDescent="0.25">
      <c r="A12" s="6" t="s">
        <v>26</v>
      </c>
      <c r="B12" s="7">
        <v>39824</v>
      </c>
      <c r="C12" s="7" t="s">
        <v>40</v>
      </c>
      <c r="D12" s="7" t="s">
        <v>27</v>
      </c>
      <c r="E12" s="7" t="s">
        <v>41</v>
      </c>
      <c r="F12" s="8"/>
      <c r="G12" s="8"/>
      <c r="H12" s="6"/>
      <c r="I12" s="8"/>
      <c r="J12" s="8"/>
      <c r="K12" s="8"/>
      <c r="L12" s="8"/>
      <c r="M12" s="8"/>
      <c r="N12" s="8"/>
      <c r="O12" s="8"/>
      <c r="P12" s="9"/>
      <c r="Q12" s="10">
        <f t="shared" si="0"/>
        <v>0</v>
      </c>
    </row>
    <row r="13" spans="1:17" x14ac:dyDescent="0.25">
      <c r="A13" s="6" t="s">
        <v>29</v>
      </c>
      <c r="B13" s="7">
        <v>39825</v>
      </c>
      <c r="C13" s="7" t="s">
        <v>32</v>
      </c>
      <c r="D13" s="7" t="s">
        <v>27</v>
      </c>
      <c r="E13" s="7"/>
      <c r="F13" s="8">
        <v>28</v>
      </c>
      <c r="G13" s="8"/>
      <c r="H13" s="8">
        <v>2</v>
      </c>
      <c r="I13" s="8">
        <v>1</v>
      </c>
      <c r="J13" s="8"/>
      <c r="K13" s="8"/>
      <c r="L13" s="8"/>
      <c r="M13" s="8"/>
      <c r="N13" s="8"/>
      <c r="O13" s="8"/>
      <c r="P13" s="9"/>
      <c r="Q13" s="10">
        <f t="shared" si="0"/>
        <v>31</v>
      </c>
    </row>
    <row r="14" spans="1:17" x14ac:dyDescent="0.25">
      <c r="A14" s="6" t="s">
        <v>31</v>
      </c>
      <c r="B14" s="7">
        <v>39826</v>
      </c>
      <c r="C14" s="7" t="s">
        <v>18</v>
      </c>
      <c r="D14" s="7" t="s">
        <v>27</v>
      </c>
      <c r="E14" s="7"/>
      <c r="F14" s="8">
        <v>2</v>
      </c>
      <c r="G14" s="8"/>
      <c r="H14" s="8"/>
      <c r="I14" s="8"/>
      <c r="J14" s="8"/>
      <c r="K14" s="8"/>
      <c r="L14" s="8"/>
      <c r="M14" s="8"/>
      <c r="N14" s="8"/>
      <c r="O14" s="8"/>
      <c r="P14" s="9"/>
      <c r="Q14" s="10">
        <f t="shared" si="0"/>
        <v>2</v>
      </c>
    </row>
    <row r="15" spans="1:17" x14ac:dyDescent="0.25">
      <c r="A15" s="6" t="s">
        <v>33</v>
      </c>
      <c r="B15" s="7">
        <v>39827</v>
      </c>
      <c r="C15" s="7" t="s">
        <v>18</v>
      </c>
      <c r="D15" s="7" t="s">
        <v>27</v>
      </c>
      <c r="E15" s="7"/>
      <c r="F15" s="8">
        <v>3</v>
      </c>
      <c r="G15" s="8"/>
      <c r="H15" s="8">
        <v>1</v>
      </c>
      <c r="I15" s="8"/>
      <c r="J15" s="8"/>
      <c r="K15" s="8"/>
      <c r="L15" s="8"/>
      <c r="M15" s="8"/>
      <c r="N15" s="8"/>
      <c r="O15" s="8"/>
      <c r="P15" s="9"/>
      <c r="Q15" s="10">
        <f t="shared" si="0"/>
        <v>4</v>
      </c>
    </row>
    <row r="16" spans="1:17" x14ac:dyDescent="0.25">
      <c r="A16" s="6" t="s">
        <v>17</v>
      </c>
      <c r="B16" s="7">
        <v>39828</v>
      </c>
      <c r="C16" s="7" t="s">
        <v>25</v>
      </c>
      <c r="D16" s="7" t="s">
        <v>27</v>
      </c>
      <c r="E16" s="7"/>
      <c r="F16" s="8">
        <v>27</v>
      </c>
      <c r="G16" s="8"/>
      <c r="H16" s="8">
        <v>2</v>
      </c>
      <c r="I16" s="8"/>
      <c r="J16" s="8"/>
      <c r="K16" s="8">
        <v>1</v>
      </c>
      <c r="L16" s="8"/>
      <c r="M16" s="8"/>
      <c r="N16" s="8"/>
      <c r="O16" s="8"/>
      <c r="P16" s="9"/>
      <c r="Q16" s="10">
        <f t="shared" si="0"/>
        <v>30</v>
      </c>
    </row>
    <row r="17" spans="1:17" x14ac:dyDescent="0.25">
      <c r="A17" s="11" t="s">
        <v>20</v>
      </c>
      <c r="B17" s="12">
        <v>39829</v>
      </c>
      <c r="C17" s="12" t="s">
        <v>25</v>
      </c>
      <c r="D17" s="13" t="s">
        <v>37</v>
      </c>
      <c r="E17" s="12" t="s">
        <v>42</v>
      </c>
      <c r="F17" s="14">
        <v>17</v>
      </c>
      <c r="G17" s="14"/>
      <c r="H17" s="14">
        <v>3</v>
      </c>
      <c r="I17" s="14"/>
      <c r="J17" s="14">
        <v>42</v>
      </c>
      <c r="K17" s="14"/>
      <c r="L17" s="14"/>
      <c r="M17" s="14"/>
      <c r="N17" s="14"/>
      <c r="O17" s="14"/>
      <c r="P17" s="15"/>
      <c r="Q17" s="10">
        <f t="shared" si="0"/>
        <v>62</v>
      </c>
    </row>
    <row r="18" spans="1:17" x14ac:dyDescent="0.25">
      <c r="A18" s="11" t="s">
        <v>24</v>
      </c>
      <c r="B18" s="12">
        <v>39830</v>
      </c>
      <c r="C18" s="12" t="s">
        <v>25</v>
      </c>
      <c r="D18" s="13" t="s">
        <v>37</v>
      </c>
      <c r="E18" s="12"/>
      <c r="F18" s="14">
        <v>11</v>
      </c>
      <c r="G18" s="14"/>
      <c r="H18" s="14">
        <v>3</v>
      </c>
      <c r="I18" s="14"/>
      <c r="J18" s="14"/>
      <c r="K18" s="14">
        <v>2</v>
      </c>
      <c r="L18" s="14"/>
      <c r="M18" s="14"/>
      <c r="N18" s="14"/>
      <c r="O18" s="14"/>
      <c r="P18" s="15"/>
      <c r="Q18" s="10">
        <f t="shared" si="0"/>
        <v>16</v>
      </c>
    </row>
    <row r="19" spans="1:17" x14ac:dyDescent="0.25">
      <c r="A19" s="6" t="s">
        <v>26</v>
      </c>
      <c r="B19" s="7">
        <v>39831</v>
      </c>
      <c r="C19" s="7" t="s">
        <v>32</v>
      </c>
      <c r="D19" s="7" t="s">
        <v>27</v>
      </c>
      <c r="E19" s="7" t="s">
        <v>43</v>
      </c>
      <c r="F19" s="8">
        <v>12</v>
      </c>
      <c r="G19" s="8"/>
      <c r="H19" s="8">
        <v>5</v>
      </c>
      <c r="I19" s="8"/>
      <c r="J19" s="8"/>
      <c r="K19" s="8">
        <v>2</v>
      </c>
      <c r="L19" s="8"/>
      <c r="M19" s="8"/>
      <c r="N19" s="8"/>
      <c r="O19" s="8"/>
      <c r="P19" s="9"/>
      <c r="Q19" s="10">
        <f t="shared" si="0"/>
        <v>19</v>
      </c>
    </row>
    <row r="20" spans="1:17" x14ac:dyDescent="0.25">
      <c r="A20" s="6" t="s">
        <v>29</v>
      </c>
      <c r="B20" s="7">
        <v>39832</v>
      </c>
      <c r="C20" s="7" t="s">
        <v>32</v>
      </c>
      <c r="D20" s="7" t="s">
        <v>27</v>
      </c>
      <c r="E20" s="7" t="s">
        <v>44</v>
      </c>
      <c r="F20" s="8">
        <v>37</v>
      </c>
      <c r="G20" s="8"/>
      <c r="H20" s="8">
        <v>29</v>
      </c>
      <c r="I20" s="8"/>
      <c r="J20" s="8"/>
      <c r="K20" s="8"/>
      <c r="L20" s="8"/>
      <c r="M20" s="8"/>
      <c r="N20" s="8"/>
      <c r="O20" s="8"/>
      <c r="P20" s="9"/>
      <c r="Q20" s="10">
        <f t="shared" si="0"/>
        <v>66</v>
      </c>
    </row>
    <row r="21" spans="1:17" x14ac:dyDescent="0.25">
      <c r="A21" s="6" t="s">
        <v>31</v>
      </c>
      <c r="B21" s="7">
        <v>39833</v>
      </c>
      <c r="C21" s="7" t="s">
        <v>18</v>
      </c>
      <c r="D21" s="7" t="s">
        <v>27</v>
      </c>
      <c r="E21" s="7" t="s">
        <v>18</v>
      </c>
      <c r="F21" s="8">
        <v>13</v>
      </c>
      <c r="G21" s="8"/>
      <c r="H21" s="8">
        <v>1</v>
      </c>
      <c r="I21" s="8">
        <v>2</v>
      </c>
      <c r="J21" s="8"/>
      <c r="K21" s="8"/>
      <c r="L21" s="8"/>
      <c r="M21" s="8"/>
      <c r="N21" s="8"/>
      <c r="O21" s="8"/>
      <c r="P21" s="9"/>
      <c r="Q21" s="10">
        <f t="shared" si="0"/>
        <v>16</v>
      </c>
    </row>
    <row r="22" spans="1:17" x14ac:dyDescent="0.25">
      <c r="A22" s="6" t="s">
        <v>33</v>
      </c>
      <c r="B22" s="7">
        <v>39834</v>
      </c>
      <c r="C22" s="7" t="s">
        <v>32</v>
      </c>
      <c r="D22" s="7" t="s">
        <v>27</v>
      </c>
      <c r="E22" s="7"/>
      <c r="F22" s="8">
        <v>14</v>
      </c>
      <c r="G22" s="8"/>
      <c r="H22" s="8">
        <v>15</v>
      </c>
      <c r="I22" s="8"/>
      <c r="J22" s="8"/>
      <c r="K22" s="8">
        <v>3</v>
      </c>
      <c r="L22" s="8"/>
      <c r="M22" s="8"/>
      <c r="N22" s="8"/>
      <c r="O22" s="8"/>
      <c r="P22" s="9"/>
      <c r="Q22" s="10">
        <f t="shared" si="0"/>
        <v>32</v>
      </c>
    </row>
    <row r="23" spans="1:17" x14ac:dyDescent="0.25">
      <c r="A23" s="6" t="s">
        <v>17</v>
      </c>
      <c r="B23" s="7">
        <v>39835</v>
      </c>
      <c r="C23" s="7" t="s">
        <v>32</v>
      </c>
      <c r="D23" s="7" t="s">
        <v>27</v>
      </c>
      <c r="E23" s="7"/>
      <c r="F23" s="8">
        <v>36</v>
      </c>
      <c r="G23" s="8"/>
      <c r="H23" s="8">
        <v>15</v>
      </c>
      <c r="I23" s="8">
        <v>2</v>
      </c>
      <c r="J23" s="8"/>
      <c r="K23" s="8">
        <v>3</v>
      </c>
      <c r="L23" s="8"/>
      <c r="M23" s="8"/>
      <c r="N23" s="8"/>
      <c r="O23" s="8"/>
      <c r="P23" s="9"/>
      <c r="Q23" s="10">
        <f t="shared" si="0"/>
        <v>56</v>
      </c>
    </row>
    <row r="24" spans="1:17" x14ac:dyDescent="0.25">
      <c r="A24" s="11" t="s">
        <v>20</v>
      </c>
      <c r="B24" s="12">
        <v>39836</v>
      </c>
      <c r="C24" s="12" t="s">
        <v>25</v>
      </c>
      <c r="D24" s="13" t="s">
        <v>37</v>
      </c>
      <c r="E24" s="12"/>
      <c r="F24" s="14">
        <v>19</v>
      </c>
      <c r="G24" s="14">
        <v>0</v>
      </c>
      <c r="H24" s="14">
        <v>5</v>
      </c>
      <c r="I24" s="14">
        <v>2</v>
      </c>
      <c r="J24" s="14">
        <v>0</v>
      </c>
      <c r="K24" s="14">
        <v>2</v>
      </c>
      <c r="L24" s="14">
        <v>0</v>
      </c>
      <c r="M24" s="14"/>
      <c r="N24" s="14"/>
      <c r="O24" s="14"/>
      <c r="P24" s="15"/>
      <c r="Q24" s="10">
        <f t="shared" si="0"/>
        <v>28</v>
      </c>
    </row>
    <row r="25" spans="1:17" x14ac:dyDescent="0.25">
      <c r="A25" s="11" t="s">
        <v>24</v>
      </c>
      <c r="B25" s="12">
        <v>39837</v>
      </c>
      <c r="C25" s="12" t="s">
        <v>25</v>
      </c>
      <c r="D25" s="13" t="s">
        <v>37</v>
      </c>
      <c r="E25" s="12"/>
      <c r="F25" s="14">
        <v>20</v>
      </c>
      <c r="G25" s="14">
        <v>4</v>
      </c>
      <c r="H25" s="14">
        <v>23</v>
      </c>
      <c r="I25" s="14">
        <v>0</v>
      </c>
      <c r="J25" s="14">
        <v>1</v>
      </c>
      <c r="K25" s="14">
        <v>2</v>
      </c>
      <c r="L25" s="14">
        <v>0</v>
      </c>
      <c r="M25" s="14"/>
      <c r="N25" s="14"/>
      <c r="O25" s="14"/>
      <c r="P25" s="15"/>
      <c r="Q25" s="10">
        <f t="shared" si="0"/>
        <v>50</v>
      </c>
    </row>
    <row r="26" spans="1:17" x14ac:dyDescent="0.25">
      <c r="A26" s="6" t="s">
        <v>26</v>
      </c>
      <c r="B26" s="7">
        <v>39838</v>
      </c>
      <c r="C26" s="7" t="s">
        <v>18</v>
      </c>
      <c r="D26" s="7" t="s">
        <v>27</v>
      </c>
      <c r="E26" s="7" t="s">
        <v>18</v>
      </c>
      <c r="F26" s="8">
        <v>1</v>
      </c>
      <c r="G26" s="8"/>
      <c r="H26" s="8">
        <v>1</v>
      </c>
      <c r="I26" s="8"/>
      <c r="J26" s="8"/>
      <c r="K26" s="8"/>
      <c r="L26" s="8"/>
      <c r="M26" s="8"/>
      <c r="N26" s="8"/>
      <c r="O26" s="8"/>
      <c r="P26" s="9"/>
      <c r="Q26" s="10">
        <f t="shared" si="0"/>
        <v>2</v>
      </c>
    </row>
    <row r="27" spans="1:17" x14ac:dyDescent="0.25">
      <c r="A27" s="6" t="s">
        <v>29</v>
      </c>
      <c r="B27" s="7">
        <v>39839</v>
      </c>
      <c r="C27" s="7" t="s">
        <v>32</v>
      </c>
      <c r="D27" s="7" t="s">
        <v>27</v>
      </c>
      <c r="E27" s="7"/>
      <c r="F27" s="8">
        <v>35</v>
      </c>
      <c r="G27" s="8">
        <v>4</v>
      </c>
      <c r="H27" s="8">
        <v>7</v>
      </c>
      <c r="I27" s="8"/>
      <c r="J27" s="8"/>
      <c r="K27" s="8"/>
      <c r="L27" s="8"/>
      <c r="M27" s="8"/>
      <c r="N27" s="8"/>
      <c r="O27" s="8"/>
      <c r="P27" s="9"/>
      <c r="Q27" s="10">
        <f t="shared" si="0"/>
        <v>46</v>
      </c>
    </row>
    <row r="28" spans="1:17" x14ac:dyDescent="0.25">
      <c r="A28" s="6" t="s">
        <v>31</v>
      </c>
      <c r="B28" s="7">
        <v>39840</v>
      </c>
      <c r="C28" s="7" t="s">
        <v>32</v>
      </c>
      <c r="D28" s="7" t="s">
        <v>27</v>
      </c>
      <c r="E28" s="7"/>
      <c r="F28" s="8">
        <v>34</v>
      </c>
      <c r="G28" s="8">
        <v>2</v>
      </c>
      <c r="H28" s="8">
        <v>7</v>
      </c>
      <c r="I28" s="8">
        <v>0</v>
      </c>
      <c r="J28" s="8">
        <v>0</v>
      </c>
      <c r="K28" s="8">
        <v>0</v>
      </c>
      <c r="L28" s="8">
        <v>0</v>
      </c>
      <c r="M28" s="8"/>
      <c r="N28" s="8"/>
      <c r="O28" s="8"/>
      <c r="P28" s="9"/>
      <c r="Q28" s="10">
        <f t="shared" si="0"/>
        <v>43</v>
      </c>
    </row>
    <row r="29" spans="1:17" x14ac:dyDescent="0.25">
      <c r="A29" s="6" t="s">
        <v>33</v>
      </c>
      <c r="B29" s="7">
        <v>39841</v>
      </c>
      <c r="C29" s="7" t="s">
        <v>25</v>
      </c>
      <c r="D29" s="7" t="s">
        <v>27</v>
      </c>
      <c r="E29" s="7"/>
      <c r="F29" s="8">
        <v>32</v>
      </c>
      <c r="G29" s="8">
        <v>0</v>
      </c>
      <c r="H29" s="8">
        <v>17</v>
      </c>
      <c r="I29" s="8">
        <v>0</v>
      </c>
      <c r="J29" s="8">
        <v>1</v>
      </c>
      <c r="K29" s="8">
        <v>0</v>
      </c>
      <c r="L29" s="8">
        <v>0</v>
      </c>
      <c r="M29" s="8"/>
      <c r="N29" s="8"/>
      <c r="O29" s="8"/>
      <c r="P29" s="9"/>
      <c r="Q29" s="10">
        <f t="shared" si="0"/>
        <v>50</v>
      </c>
    </row>
    <row r="30" spans="1:17" x14ac:dyDescent="0.25">
      <c r="A30" s="6" t="s">
        <v>17</v>
      </c>
      <c r="B30" s="7">
        <v>39842</v>
      </c>
      <c r="C30" s="7" t="s">
        <v>25</v>
      </c>
      <c r="D30" s="7" t="s">
        <v>27</v>
      </c>
      <c r="E30" s="7"/>
      <c r="F30" s="8">
        <v>45</v>
      </c>
      <c r="G30" s="8">
        <v>0</v>
      </c>
      <c r="H30" s="8">
        <v>18</v>
      </c>
      <c r="I30" s="8">
        <v>2</v>
      </c>
      <c r="J30" s="8">
        <v>0</v>
      </c>
      <c r="K30" s="8">
        <v>2</v>
      </c>
      <c r="L30" s="8">
        <v>0</v>
      </c>
      <c r="M30" s="8"/>
      <c r="N30" s="8"/>
      <c r="O30" s="8"/>
      <c r="P30" s="9"/>
      <c r="Q30" s="10">
        <f t="shared" si="0"/>
        <v>67</v>
      </c>
    </row>
    <row r="31" spans="1:17" x14ac:dyDescent="0.25">
      <c r="A31" s="11" t="s">
        <v>20</v>
      </c>
      <c r="B31" s="12">
        <v>39843</v>
      </c>
      <c r="C31" s="12" t="s">
        <v>32</v>
      </c>
      <c r="D31" s="13" t="s">
        <v>37</v>
      </c>
      <c r="E31" s="12"/>
      <c r="F31" s="14">
        <v>21</v>
      </c>
      <c r="G31" s="14"/>
      <c r="H31" s="14">
        <v>13</v>
      </c>
      <c r="I31" s="14">
        <v>1</v>
      </c>
      <c r="J31" s="14">
        <v>4</v>
      </c>
      <c r="K31" s="14">
        <v>0</v>
      </c>
      <c r="L31" s="14">
        <v>0</v>
      </c>
      <c r="M31" s="14"/>
      <c r="N31" s="14"/>
      <c r="O31" s="14"/>
      <c r="P31" s="15"/>
      <c r="Q31" s="10">
        <f t="shared" si="0"/>
        <v>39</v>
      </c>
    </row>
    <row r="32" spans="1:17" x14ac:dyDescent="0.25">
      <c r="A32" s="11" t="s">
        <v>24</v>
      </c>
      <c r="B32" s="12">
        <v>39844</v>
      </c>
      <c r="C32" s="12" t="s">
        <v>32</v>
      </c>
      <c r="D32" s="13" t="s">
        <v>37</v>
      </c>
      <c r="E32" s="12"/>
      <c r="F32" s="14">
        <v>24</v>
      </c>
      <c r="G32" s="14">
        <v>0</v>
      </c>
      <c r="H32" s="14">
        <v>8</v>
      </c>
      <c r="I32" s="14">
        <v>0</v>
      </c>
      <c r="J32" s="14">
        <v>2</v>
      </c>
      <c r="K32" s="14">
        <v>5</v>
      </c>
      <c r="L32" s="14">
        <v>0</v>
      </c>
      <c r="M32" s="14"/>
      <c r="N32" s="14"/>
      <c r="O32" s="14"/>
      <c r="P32" s="15"/>
      <c r="Q32" s="10">
        <f t="shared" si="0"/>
        <v>39</v>
      </c>
    </row>
    <row r="33" spans="1:17" x14ac:dyDescent="0.25">
      <c r="A33" s="7" t="s">
        <v>45</v>
      </c>
      <c r="B33" s="7"/>
      <c r="C33" s="7"/>
      <c r="D33" s="7"/>
      <c r="E33" s="7"/>
      <c r="F33" s="16">
        <f>SUM(F2:F32)</f>
        <v>547</v>
      </c>
      <c r="G33" s="16">
        <f t="shared" ref="G33:P33" si="1">SUM(G2:G32)</f>
        <v>10</v>
      </c>
      <c r="H33" s="16">
        <f t="shared" si="1"/>
        <v>309</v>
      </c>
      <c r="I33" s="16">
        <f t="shared" si="1"/>
        <v>16</v>
      </c>
      <c r="J33" s="16">
        <f t="shared" si="1"/>
        <v>55</v>
      </c>
      <c r="K33" s="16">
        <f t="shared" si="1"/>
        <v>60</v>
      </c>
      <c r="L33" s="16">
        <f t="shared" si="1"/>
        <v>27</v>
      </c>
      <c r="M33" s="16">
        <f t="shared" si="1"/>
        <v>15</v>
      </c>
      <c r="N33" s="16">
        <f t="shared" si="1"/>
        <v>0</v>
      </c>
      <c r="O33" s="16">
        <f t="shared" si="1"/>
        <v>0</v>
      </c>
      <c r="P33" s="16">
        <f t="shared" si="1"/>
        <v>0</v>
      </c>
      <c r="Q33" s="17">
        <f>SUM(Q2:Q32)</f>
        <v>1039</v>
      </c>
    </row>
    <row r="34" spans="1:17" x14ac:dyDescent="0.25">
      <c r="A34" s="6" t="s">
        <v>26</v>
      </c>
      <c r="B34" s="7">
        <v>39845</v>
      </c>
      <c r="C34" s="7" t="s">
        <v>32</v>
      </c>
      <c r="D34" s="7" t="s">
        <v>27</v>
      </c>
      <c r="E34" s="7"/>
      <c r="F34" s="8">
        <v>24</v>
      </c>
      <c r="G34" s="8"/>
      <c r="H34" s="8">
        <v>8</v>
      </c>
      <c r="I34" s="8"/>
      <c r="J34" s="8"/>
      <c r="K34" s="8">
        <v>1</v>
      </c>
      <c r="L34" s="8"/>
      <c r="M34" s="8"/>
      <c r="N34" s="8"/>
      <c r="O34" s="8"/>
      <c r="P34" s="9"/>
      <c r="Q34" s="10">
        <f t="shared" si="0"/>
        <v>33</v>
      </c>
    </row>
    <row r="35" spans="1:17" x14ac:dyDescent="0.25">
      <c r="A35" s="6" t="s">
        <v>29</v>
      </c>
      <c r="B35" s="7">
        <v>39846</v>
      </c>
      <c r="C35" s="7" t="s">
        <v>32</v>
      </c>
      <c r="D35" s="7" t="s">
        <v>27</v>
      </c>
      <c r="E35" s="7" t="s">
        <v>46</v>
      </c>
      <c r="F35" s="8">
        <v>35</v>
      </c>
      <c r="G35" s="8"/>
      <c r="H35" s="8">
        <v>30</v>
      </c>
      <c r="I35" s="8"/>
      <c r="J35" s="8">
        <v>2</v>
      </c>
      <c r="K35" s="8"/>
      <c r="L35" s="8">
        <v>1</v>
      </c>
      <c r="M35" s="8"/>
      <c r="N35" s="8"/>
      <c r="O35" s="8"/>
      <c r="P35" s="9"/>
      <c r="Q35" s="10">
        <f t="shared" si="0"/>
        <v>68</v>
      </c>
    </row>
    <row r="36" spans="1:17" x14ac:dyDescent="0.25">
      <c r="A36" s="6" t="s">
        <v>31</v>
      </c>
      <c r="B36" s="7">
        <v>39847</v>
      </c>
      <c r="C36" s="7" t="s">
        <v>32</v>
      </c>
      <c r="D36" s="7" t="s">
        <v>27</v>
      </c>
      <c r="E36" s="7"/>
      <c r="F36" s="8">
        <v>26</v>
      </c>
      <c r="G36" s="8"/>
      <c r="H36" s="8">
        <v>18</v>
      </c>
      <c r="I36" s="8"/>
      <c r="J36" s="8"/>
      <c r="K36" s="8">
        <v>3</v>
      </c>
      <c r="L36" s="8">
        <v>-1</v>
      </c>
      <c r="M36" s="8"/>
      <c r="N36" s="8"/>
      <c r="O36" s="8"/>
      <c r="P36" s="9"/>
      <c r="Q36" s="10">
        <f t="shared" si="0"/>
        <v>46</v>
      </c>
    </row>
    <row r="37" spans="1:17" x14ac:dyDescent="0.25">
      <c r="A37" s="6" t="s">
        <v>33</v>
      </c>
      <c r="B37" s="7">
        <v>39848</v>
      </c>
      <c r="C37" s="7" t="s">
        <v>25</v>
      </c>
      <c r="D37" s="7" t="s">
        <v>27</v>
      </c>
      <c r="E37" s="7" t="s">
        <v>47</v>
      </c>
      <c r="F37" s="8">
        <v>38</v>
      </c>
      <c r="G37" s="8"/>
      <c r="H37" s="8">
        <v>27</v>
      </c>
      <c r="I37" s="8">
        <v>3</v>
      </c>
      <c r="J37" s="8"/>
      <c r="K37" s="8"/>
      <c r="L37" s="8"/>
      <c r="M37" s="8"/>
      <c r="N37" s="8"/>
      <c r="O37" s="8"/>
      <c r="P37" s="9"/>
      <c r="Q37" s="10">
        <f t="shared" si="0"/>
        <v>68</v>
      </c>
    </row>
    <row r="38" spans="1:17" x14ac:dyDescent="0.25">
      <c r="A38" s="6" t="s">
        <v>17</v>
      </c>
      <c r="B38" s="7">
        <v>39849</v>
      </c>
      <c r="C38" s="7" t="s">
        <v>18</v>
      </c>
      <c r="D38" s="7" t="s">
        <v>27</v>
      </c>
      <c r="E38" s="7" t="s">
        <v>18</v>
      </c>
      <c r="F38" s="8"/>
      <c r="G38" s="8"/>
      <c r="H38" s="8"/>
      <c r="I38" s="8"/>
      <c r="J38" s="8"/>
      <c r="K38" s="8">
        <v>4</v>
      </c>
      <c r="L38" s="8"/>
      <c r="M38" s="8"/>
      <c r="N38" s="8"/>
      <c r="O38" s="8"/>
      <c r="P38" s="9"/>
      <c r="Q38" s="10">
        <f t="shared" si="0"/>
        <v>4</v>
      </c>
    </row>
    <row r="39" spans="1:17" x14ac:dyDescent="0.25">
      <c r="A39" s="11" t="s">
        <v>20</v>
      </c>
      <c r="B39" s="12">
        <v>39850</v>
      </c>
      <c r="C39" s="12" t="s">
        <v>48</v>
      </c>
      <c r="D39" s="13" t="s">
        <v>37</v>
      </c>
      <c r="E39" s="12"/>
      <c r="F39" s="14">
        <v>15</v>
      </c>
      <c r="G39" s="14"/>
      <c r="H39" s="14">
        <v>9</v>
      </c>
      <c r="I39" s="14"/>
      <c r="J39" s="14"/>
      <c r="K39" s="14"/>
      <c r="L39" s="14"/>
      <c r="M39" s="14"/>
      <c r="N39" s="14"/>
      <c r="O39" s="14"/>
      <c r="P39" s="15"/>
      <c r="Q39" s="10">
        <f t="shared" si="0"/>
        <v>24</v>
      </c>
    </row>
    <row r="40" spans="1:17" x14ac:dyDescent="0.25">
      <c r="A40" s="11" t="s">
        <v>24</v>
      </c>
      <c r="B40" s="12">
        <v>39851</v>
      </c>
      <c r="C40" s="12" t="s">
        <v>25</v>
      </c>
      <c r="D40" s="13" t="s">
        <v>37</v>
      </c>
      <c r="E40" s="12"/>
      <c r="F40" s="14">
        <v>25</v>
      </c>
      <c r="G40" s="14"/>
      <c r="H40" s="14">
        <v>27</v>
      </c>
      <c r="I40" s="14">
        <v>2</v>
      </c>
      <c r="J40" s="14">
        <v>3</v>
      </c>
      <c r="K40" s="14">
        <v>3</v>
      </c>
      <c r="L40" s="14"/>
      <c r="M40" s="14"/>
      <c r="N40" s="14"/>
      <c r="O40" s="14"/>
      <c r="P40" s="15"/>
      <c r="Q40" s="10">
        <f t="shared" si="0"/>
        <v>60</v>
      </c>
    </row>
    <row r="41" spans="1:17" x14ac:dyDescent="0.25">
      <c r="A41" s="6" t="s">
        <v>26</v>
      </c>
      <c r="B41" s="7">
        <v>39852</v>
      </c>
      <c r="C41" s="7" t="s">
        <v>49</v>
      </c>
      <c r="D41" s="7" t="s">
        <v>27</v>
      </c>
      <c r="E41" s="7" t="s">
        <v>50</v>
      </c>
      <c r="F41" s="8">
        <v>31</v>
      </c>
      <c r="G41" s="8"/>
      <c r="H41" s="8">
        <v>15</v>
      </c>
      <c r="I41" s="8"/>
      <c r="J41" s="8"/>
      <c r="K41" s="8"/>
      <c r="L41" s="8">
        <v>10</v>
      </c>
      <c r="M41" s="8"/>
      <c r="N41" s="8"/>
      <c r="O41" s="8"/>
      <c r="P41" s="9"/>
      <c r="Q41" s="10">
        <f t="shared" si="0"/>
        <v>56</v>
      </c>
    </row>
    <row r="42" spans="1:17" x14ac:dyDescent="0.25">
      <c r="A42" s="6" t="s">
        <v>29</v>
      </c>
      <c r="B42" s="7">
        <v>39853</v>
      </c>
      <c r="C42" s="7" t="s">
        <v>51</v>
      </c>
      <c r="D42" s="7" t="s">
        <v>27</v>
      </c>
      <c r="E42" s="7" t="s">
        <v>50</v>
      </c>
      <c r="F42" s="8">
        <v>41</v>
      </c>
      <c r="G42" s="8"/>
      <c r="H42" s="8">
        <v>9</v>
      </c>
      <c r="I42" s="8"/>
      <c r="J42" s="8"/>
      <c r="K42" s="8"/>
      <c r="L42" s="8">
        <v>8</v>
      </c>
      <c r="M42" s="8"/>
      <c r="N42" s="8"/>
      <c r="O42" s="8"/>
      <c r="P42" s="9"/>
      <c r="Q42" s="10">
        <f t="shared" si="0"/>
        <v>58</v>
      </c>
    </row>
    <row r="43" spans="1:17" x14ac:dyDescent="0.25">
      <c r="A43" s="6" t="s">
        <v>31</v>
      </c>
      <c r="B43" s="7">
        <v>39854</v>
      </c>
      <c r="C43" s="7" t="s">
        <v>25</v>
      </c>
      <c r="D43" s="7" t="s">
        <v>27</v>
      </c>
      <c r="E43" s="7"/>
      <c r="F43" s="8">
        <v>36</v>
      </c>
      <c r="G43" s="8"/>
      <c r="H43" s="8">
        <v>16</v>
      </c>
      <c r="I43" s="8"/>
      <c r="J43" s="8">
        <v>2</v>
      </c>
      <c r="K43" s="8">
        <v>5</v>
      </c>
      <c r="L43" s="8"/>
      <c r="M43" s="8"/>
      <c r="N43" s="8"/>
      <c r="O43" s="8"/>
      <c r="P43" s="9"/>
      <c r="Q43" s="10">
        <f t="shared" si="0"/>
        <v>59</v>
      </c>
    </row>
    <row r="44" spans="1:17" x14ac:dyDescent="0.25">
      <c r="A44" s="6" t="s">
        <v>33</v>
      </c>
      <c r="B44" s="7">
        <v>39855</v>
      </c>
      <c r="C44" s="7" t="s">
        <v>52</v>
      </c>
      <c r="D44" s="7" t="s">
        <v>27</v>
      </c>
      <c r="E44" s="7" t="s">
        <v>53</v>
      </c>
      <c r="F44" s="8">
        <v>6</v>
      </c>
      <c r="G44" s="8"/>
      <c r="H44" s="8">
        <v>5</v>
      </c>
      <c r="I44" s="8"/>
      <c r="J44" s="8"/>
      <c r="K44" s="8"/>
      <c r="L44" s="8">
        <v>7</v>
      </c>
      <c r="M44" s="8"/>
      <c r="N44" s="8"/>
      <c r="O44" s="8"/>
      <c r="P44" s="9"/>
      <c r="Q44" s="10">
        <f t="shared" si="0"/>
        <v>18</v>
      </c>
    </row>
    <row r="45" spans="1:17" x14ac:dyDescent="0.25">
      <c r="A45" s="6" t="s">
        <v>17</v>
      </c>
      <c r="B45" s="7">
        <v>39856</v>
      </c>
      <c r="C45" s="7" t="s">
        <v>25</v>
      </c>
      <c r="D45" s="7" t="s">
        <v>27</v>
      </c>
      <c r="E45" s="7" t="s">
        <v>50</v>
      </c>
      <c r="F45" s="8">
        <v>24</v>
      </c>
      <c r="G45" s="8"/>
      <c r="H45" s="8">
        <v>12</v>
      </c>
      <c r="I45" s="8"/>
      <c r="J45" s="8"/>
      <c r="K45" s="8">
        <v>4</v>
      </c>
      <c r="L45" s="8">
        <v>5</v>
      </c>
      <c r="M45" s="8"/>
      <c r="N45" s="8"/>
      <c r="O45" s="8"/>
      <c r="P45" s="9"/>
      <c r="Q45" s="10">
        <f t="shared" si="0"/>
        <v>45</v>
      </c>
    </row>
    <row r="46" spans="1:17" x14ac:dyDescent="0.25">
      <c r="A46" s="11" t="s">
        <v>20</v>
      </c>
      <c r="B46" s="12">
        <v>39857</v>
      </c>
      <c r="C46" s="12" t="s">
        <v>25</v>
      </c>
      <c r="D46" s="13" t="s">
        <v>54</v>
      </c>
      <c r="E46" s="12"/>
      <c r="F46" s="14">
        <v>20</v>
      </c>
      <c r="G46" s="14"/>
      <c r="H46" s="14">
        <v>23</v>
      </c>
      <c r="I46" s="14"/>
      <c r="J46" s="14">
        <v>5</v>
      </c>
      <c r="K46" s="14">
        <v>4</v>
      </c>
      <c r="L46" s="14">
        <v>2</v>
      </c>
      <c r="M46" s="14"/>
      <c r="N46" s="14"/>
      <c r="O46" s="14"/>
      <c r="P46" s="15"/>
      <c r="Q46" s="10">
        <f t="shared" si="0"/>
        <v>54</v>
      </c>
    </row>
    <row r="47" spans="1:17" x14ac:dyDescent="0.25">
      <c r="A47" s="11" t="s">
        <v>24</v>
      </c>
      <c r="B47" s="12">
        <v>39858</v>
      </c>
      <c r="C47" s="12" t="s">
        <v>25</v>
      </c>
      <c r="D47" s="13" t="s">
        <v>37</v>
      </c>
      <c r="E47" s="12"/>
      <c r="F47" s="14">
        <v>17</v>
      </c>
      <c r="G47" s="14"/>
      <c r="H47" s="14">
        <v>10</v>
      </c>
      <c r="I47" s="14">
        <v>1</v>
      </c>
      <c r="J47" s="14">
        <v>4</v>
      </c>
      <c r="K47" s="14"/>
      <c r="L47" s="14">
        <v>7</v>
      </c>
      <c r="M47" s="14"/>
      <c r="N47" s="14"/>
      <c r="O47" s="14"/>
      <c r="P47" s="15"/>
      <c r="Q47" s="10">
        <f t="shared" si="0"/>
        <v>39</v>
      </c>
    </row>
    <row r="48" spans="1:17" x14ac:dyDescent="0.25">
      <c r="A48" s="6" t="s">
        <v>26</v>
      </c>
      <c r="B48" s="7">
        <v>39859</v>
      </c>
      <c r="C48" s="7" t="s">
        <v>25</v>
      </c>
      <c r="D48" s="7" t="s">
        <v>27</v>
      </c>
      <c r="E48" s="7" t="s">
        <v>55</v>
      </c>
      <c r="F48" s="8">
        <v>37</v>
      </c>
      <c r="G48" s="8"/>
      <c r="H48" s="8">
        <v>14</v>
      </c>
      <c r="I48" s="8"/>
      <c r="J48" s="8"/>
      <c r="K48" s="8">
        <v>4</v>
      </c>
      <c r="L48" s="8">
        <v>1</v>
      </c>
      <c r="M48" s="8"/>
      <c r="N48" s="8"/>
      <c r="O48" s="8"/>
      <c r="P48" s="9"/>
      <c r="Q48" s="10">
        <f t="shared" si="0"/>
        <v>56</v>
      </c>
    </row>
    <row r="49" spans="1:17" x14ac:dyDescent="0.25">
      <c r="A49" s="6" t="s">
        <v>29</v>
      </c>
      <c r="B49" s="7">
        <v>39860</v>
      </c>
      <c r="C49" s="7" t="s">
        <v>56</v>
      </c>
      <c r="D49" s="7" t="s">
        <v>27</v>
      </c>
      <c r="E49" s="7"/>
      <c r="F49" s="8">
        <v>22</v>
      </c>
      <c r="G49" s="8"/>
      <c r="H49" s="8">
        <v>25</v>
      </c>
      <c r="I49" s="8"/>
      <c r="J49" s="8"/>
      <c r="K49" s="8">
        <v>3</v>
      </c>
      <c r="L49" s="8"/>
      <c r="M49" s="8"/>
      <c r="N49" s="8"/>
      <c r="O49" s="8"/>
      <c r="P49" s="9"/>
      <c r="Q49" s="10">
        <f t="shared" si="0"/>
        <v>50</v>
      </c>
    </row>
    <row r="50" spans="1:17" x14ac:dyDescent="0.25">
      <c r="A50" s="6" t="s">
        <v>31</v>
      </c>
      <c r="B50" s="7">
        <v>39861</v>
      </c>
      <c r="C50" s="7" t="s">
        <v>18</v>
      </c>
      <c r="D50" s="7" t="s">
        <v>27</v>
      </c>
      <c r="E50" s="7"/>
      <c r="F50" s="8"/>
      <c r="G50" s="8"/>
      <c r="H50" s="8">
        <v>7</v>
      </c>
      <c r="I50" s="8"/>
      <c r="J50" s="8"/>
      <c r="K50" s="8"/>
      <c r="L50" s="8"/>
      <c r="M50" s="8"/>
      <c r="N50" s="8"/>
      <c r="O50" s="8"/>
      <c r="P50" s="9"/>
      <c r="Q50" s="10">
        <f t="shared" si="0"/>
        <v>7</v>
      </c>
    </row>
    <row r="51" spans="1:17" x14ac:dyDescent="0.25">
      <c r="A51" s="6" t="s">
        <v>33</v>
      </c>
      <c r="B51" s="7">
        <v>39862</v>
      </c>
      <c r="C51" s="7" t="s">
        <v>25</v>
      </c>
      <c r="D51" s="7" t="s">
        <v>27</v>
      </c>
      <c r="E51" s="7"/>
      <c r="F51" s="8">
        <v>23</v>
      </c>
      <c r="G51" s="8"/>
      <c r="H51" s="8">
        <v>14</v>
      </c>
      <c r="I51" s="8"/>
      <c r="J51" s="8"/>
      <c r="K51" s="8">
        <v>3</v>
      </c>
      <c r="L51" s="8"/>
      <c r="M51" s="8"/>
      <c r="N51" s="8"/>
      <c r="O51" s="8"/>
      <c r="P51" s="9"/>
      <c r="Q51" s="10">
        <f t="shared" si="0"/>
        <v>40</v>
      </c>
    </row>
    <row r="52" spans="1:17" x14ac:dyDescent="0.25">
      <c r="A52" s="6" t="s">
        <v>17</v>
      </c>
      <c r="B52" s="7">
        <v>39863</v>
      </c>
      <c r="C52" s="7" t="s">
        <v>18</v>
      </c>
      <c r="D52" s="7" t="s">
        <v>27</v>
      </c>
      <c r="E52" s="7" t="s">
        <v>57</v>
      </c>
      <c r="F52" s="8"/>
      <c r="G52" s="8"/>
      <c r="H52" s="8">
        <v>5</v>
      </c>
      <c r="I52" s="8"/>
      <c r="J52" s="8"/>
      <c r="K52" s="8">
        <v>3</v>
      </c>
      <c r="L52" s="8">
        <v>9</v>
      </c>
      <c r="M52" s="8"/>
      <c r="N52" s="8"/>
      <c r="O52" s="8"/>
      <c r="P52" s="9"/>
      <c r="Q52" s="10">
        <f t="shared" si="0"/>
        <v>17</v>
      </c>
    </row>
    <row r="53" spans="1:17" x14ac:dyDescent="0.25">
      <c r="A53" s="11" t="s">
        <v>20</v>
      </c>
      <c r="B53" s="12">
        <v>39864</v>
      </c>
      <c r="C53" s="12" t="s">
        <v>48</v>
      </c>
      <c r="D53" s="13" t="s">
        <v>37</v>
      </c>
      <c r="E53" s="12"/>
      <c r="F53" s="14">
        <v>16</v>
      </c>
      <c r="G53" s="14"/>
      <c r="H53" s="14">
        <v>52</v>
      </c>
      <c r="I53" s="14"/>
      <c r="J53" s="14">
        <v>2</v>
      </c>
      <c r="K53" s="14">
        <v>1</v>
      </c>
      <c r="L53" s="14"/>
      <c r="M53" s="14"/>
      <c r="N53" s="14"/>
      <c r="O53" s="14"/>
      <c r="P53" s="15"/>
      <c r="Q53" s="10">
        <f t="shared" si="0"/>
        <v>71</v>
      </c>
    </row>
    <row r="54" spans="1:17" x14ac:dyDescent="0.25">
      <c r="A54" s="11" t="s">
        <v>24</v>
      </c>
      <c r="B54" s="12">
        <v>39865</v>
      </c>
      <c r="C54" s="12" t="s">
        <v>25</v>
      </c>
      <c r="D54" s="13" t="s">
        <v>37</v>
      </c>
      <c r="E54" s="12"/>
      <c r="F54" s="14">
        <v>23</v>
      </c>
      <c r="G54" s="14"/>
      <c r="H54" s="14">
        <v>22</v>
      </c>
      <c r="I54" s="14">
        <v>1</v>
      </c>
      <c r="J54" s="14"/>
      <c r="K54" s="14">
        <v>5</v>
      </c>
      <c r="L54" s="14">
        <v>4</v>
      </c>
      <c r="M54" s="14"/>
      <c r="N54" s="14"/>
      <c r="O54" s="14"/>
      <c r="P54" s="15"/>
      <c r="Q54" s="10">
        <f t="shared" si="0"/>
        <v>55</v>
      </c>
    </row>
    <row r="55" spans="1:17" x14ac:dyDescent="0.25">
      <c r="A55" s="7" t="s">
        <v>26</v>
      </c>
      <c r="B55" s="7">
        <v>39866</v>
      </c>
      <c r="C55" s="7" t="s">
        <v>18</v>
      </c>
      <c r="D55" s="7" t="s">
        <v>27</v>
      </c>
      <c r="E55" s="7" t="s">
        <v>50</v>
      </c>
      <c r="F55" s="8">
        <v>12</v>
      </c>
      <c r="G55" s="8"/>
      <c r="H55" s="8">
        <v>10</v>
      </c>
      <c r="I55" s="8"/>
      <c r="J55" s="8"/>
      <c r="K55" s="8"/>
      <c r="L55" s="8">
        <v>8</v>
      </c>
      <c r="M55" s="8"/>
      <c r="N55" s="8"/>
      <c r="O55" s="8"/>
      <c r="P55" s="9"/>
      <c r="Q55" s="10">
        <f t="shared" si="0"/>
        <v>30</v>
      </c>
    </row>
    <row r="56" spans="1:17" x14ac:dyDescent="0.25">
      <c r="A56" s="6" t="s">
        <v>29</v>
      </c>
      <c r="B56" s="7">
        <v>39867</v>
      </c>
      <c r="C56" s="7" t="s">
        <v>25</v>
      </c>
      <c r="D56" s="7" t="s">
        <v>27</v>
      </c>
      <c r="E56" s="7" t="s">
        <v>58</v>
      </c>
      <c r="F56" s="8">
        <v>45</v>
      </c>
      <c r="G56" s="8"/>
      <c r="H56" s="8">
        <v>24</v>
      </c>
      <c r="I56" s="8"/>
      <c r="J56" s="8"/>
      <c r="K56" s="8">
        <v>6</v>
      </c>
      <c r="L56" s="8">
        <v>8</v>
      </c>
      <c r="M56" s="8"/>
      <c r="N56" s="8"/>
      <c r="O56" s="8"/>
      <c r="P56" s="9"/>
      <c r="Q56" s="10">
        <f t="shared" si="0"/>
        <v>83</v>
      </c>
    </row>
    <row r="57" spans="1:17" x14ac:dyDescent="0.25">
      <c r="A57" s="6" t="s">
        <v>31</v>
      </c>
      <c r="B57" s="7">
        <v>39868</v>
      </c>
      <c r="C57" s="7" t="s">
        <v>25</v>
      </c>
      <c r="D57" s="7" t="s">
        <v>27</v>
      </c>
      <c r="E57" s="7" t="s">
        <v>50</v>
      </c>
      <c r="F57" s="8">
        <v>28</v>
      </c>
      <c r="G57" s="8"/>
      <c r="H57" s="8">
        <v>24</v>
      </c>
      <c r="I57" s="8">
        <v>1</v>
      </c>
      <c r="J57" s="8"/>
      <c r="K57" s="8"/>
      <c r="L57" s="8">
        <v>8</v>
      </c>
      <c r="M57" s="8"/>
      <c r="N57" s="8"/>
      <c r="O57" s="8"/>
      <c r="P57" s="9"/>
      <c r="Q57" s="10">
        <f t="shared" si="0"/>
        <v>61</v>
      </c>
    </row>
    <row r="58" spans="1:17" x14ac:dyDescent="0.25">
      <c r="A58" s="6" t="s">
        <v>33</v>
      </c>
      <c r="B58" s="7">
        <v>39869</v>
      </c>
      <c r="C58" s="7" t="s">
        <v>25</v>
      </c>
      <c r="D58" s="7" t="s">
        <v>27</v>
      </c>
      <c r="E58" s="7" t="s">
        <v>50</v>
      </c>
      <c r="F58" s="8">
        <v>35</v>
      </c>
      <c r="G58" s="8"/>
      <c r="H58" s="8">
        <v>30</v>
      </c>
      <c r="I58" s="8"/>
      <c r="J58" s="8"/>
      <c r="K58" s="8">
        <v>4</v>
      </c>
      <c r="L58" s="8">
        <v>8</v>
      </c>
      <c r="M58" s="8"/>
      <c r="N58" s="8"/>
      <c r="O58" s="8"/>
      <c r="P58" s="9"/>
      <c r="Q58" s="10">
        <f t="shared" si="0"/>
        <v>77</v>
      </c>
    </row>
    <row r="59" spans="1:17" x14ac:dyDescent="0.25">
      <c r="A59" s="6" t="s">
        <v>17</v>
      </c>
      <c r="B59" s="7">
        <v>39870</v>
      </c>
      <c r="C59" s="7" t="s">
        <v>25</v>
      </c>
      <c r="D59" s="7" t="s">
        <v>27</v>
      </c>
      <c r="E59" s="7" t="s">
        <v>50</v>
      </c>
      <c r="F59" s="8">
        <v>30</v>
      </c>
      <c r="G59" s="8"/>
      <c r="H59" s="8">
        <v>33</v>
      </c>
      <c r="I59" s="8"/>
      <c r="J59" s="8"/>
      <c r="K59" s="8">
        <v>1</v>
      </c>
      <c r="L59" s="8">
        <v>9</v>
      </c>
      <c r="M59" s="8"/>
      <c r="N59" s="8"/>
      <c r="O59" s="8"/>
      <c r="P59" s="9"/>
      <c r="Q59" s="10">
        <f t="shared" si="0"/>
        <v>73</v>
      </c>
    </row>
    <row r="60" spans="1:17" x14ac:dyDescent="0.25">
      <c r="A60" s="11" t="s">
        <v>20</v>
      </c>
      <c r="B60" s="12">
        <v>39871</v>
      </c>
      <c r="C60" s="12" t="s">
        <v>25</v>
      </c>
      <c r="D60" s="13" t="s">
        <v>37</v>
      </c>
      <c r="E60" s="12"/>
      <c r="F60" s="14">
        <v>28</v>
      </c>
      <c r="G60" s="14"/>
      <c r="H60" s="14">
        <v>30</v>
      </c>
      <c r="I60" s="14"/>
      <c r="J60" s="14"/>
      <c r="K60" s="14"/>
      <c r="L60" s="14">
        <v>1</v>
      </c>
      <c r="M60" s="14"/>
      <c r="N60" s="14"/>
      <c r="O60" s="14"/>
      <c r="P60" s="15"/>
      <c r="Q60" s="10">
        <f t="shared" si="0"/>
        <v>59</v>
      </c>
    </row>
    <row r="61" spans="1:17" x14ac:dyDescent="0.25">
      <c r="A61" s="11" t="s">
        <v>24</v>
      </c>
      <c r="B61" s="12">
        <v>39872</v>
      </c>
      <c r="C61" s="12" t="s">
        <v>25</v>
      </c>
      <c r="D61" s="13" t="s">
        <v>37</v>
      </c>
      <c r="E61" s="12"/>
      <c r="F61" s="14">
        <v>19</v>
      </c>
      <c r="G61" s="14"/>
      <c r="H61" s="14">
        <v>10</v>
      </c>
      <c r="I61" s="14">
        <v>1</v>
      </c>
      <c r="J61" s="14">
        <v>2</v>
      </c>
      <c r="K61" s="14">
        <v>1</v>
      </c>
      <c r="L61" s="14">
        <v>8</v>
      </c>
      <c r="M61" s="14"/>
      <c r="N61" s="14"/>
      <c r="O61" s="14"/>
      <c r="P61" s="15"/>
      <c r="Q61" s="10">
        <f t="shared" si="0"/>
        <v>41</v>
      </c>
    </row>
    <row r="62" spans="1:17" x14ac:dyDescent="0.25">
      <c r="A62" s="7" t="s">
        <v>45</v>
      </c>
      <c r="B62" s="8"/>
      <c r="C62" s="8"/>
      <c r="D62" s="8"/>
      <c r="E62" s="8"/>
      <c r="F62" s="18">
        <f>SUM(F34:F61)</f>
        <v>656</v>
      </c>
      <c r="G62" s="18">
        <f t="shared" ref="G62:M62" si="2">SUM(G34:G61)</f>
        <v>0</v>
      </c>
      <c r="H62" s="18">
        <f t="shared" si="2"/>
        <v>509</v>
      </c>
      <c r="I62" s="18">
        <f t="shared" si="2"/>
        <v>9</v>
      </c>
      <c r="J62" s="18">
        <f t="shared" si="2"/>
        <v>20</v>
      </c>
      <c r="K62" s="18">
        <f t="shared" si="2"/>
        <v>55</v>
      </c>
      <c r="L62" s="18">
        <f t="shared" si="2"/>
        <v>103</v>
      </c>
      <c r="M62" s="18">
        <f t="shared" si="2"/>
        <v>0</v>
      </c>
      <c r="N62" s="18">
        <f>SUM(N34:N61)</f>
        <v>0</v>
      </c>
      <c r="O62" s="18">
        <f>SUM(O34:O61)</f>
        <v>0</v>
      </c>
      <c r="P62" s="18">
        <f>SUM(P34:P61)</f>
        <v>0</v>
      </c>
      <c r="Q62" s="17">
        <f>SUM(Q34:Q61)</f>
        <v>1352</v>
      </c>
    </row>
    <row r="63" spans="1:17" x14ac:dyDescent="0.25">
      <c r="A63" s="6" t="s">
        <v>26</v>
      </c>
      <c r="B63" s="7">
        <v>39873</v>
      </c>
      <c r="C63" s="7" t="s">
        <v>25</v>
      </c>
      <c r="D63" s="7" t="s">
        <v>27</v>
      </c>
      <c r="E63" s="7" t="s">
        <v>59</v>
      </c>
      <c r="F63" s="8">
        <v>53</v>
      </c>
      <c r="G63" s="8"/>
      <c r="H63" s="8">
        <v>20</v>
      </c>
      <c r="I63" s="8">
        <v>1</v>
      </c>
      <c r="J63" s="8"/>
      <c r="K63" s="8">
        <v>1</v>
      </c>
      <c r="L63" s="8">
        <v>33</v>
      </c>
      <c r="M63" s="8"/>
      <c r="N63" s="8"/>
      <c r="O63" s="8"/>
      <c r="P63" s="9"/>
      <c r="Q63" s="10">
        <f t="shared" si="0"/>
        <v>108</v>
      </c>
    </row>
    <row r="64" spans="1:17" x14ac:dyDescent="0.25">
      <c r="A64" s="6" t="s">
        <v>29</v>
      </c>
      <c r="B64" s="7">
        <v>39874</v>
      </c>
      <c r="C64" s="7" t="s">
        <v>32</v>
      </c>
      <c r="D64" s="7" t="s">
        <v>27</v>
      </c>
      <c r="E64" s="7" t="s">
        <v>59</v>
      </c>
      <c r="F64" s="8">
        <v>34</v>
      </c>
      <c r="G64" s="8"/>
      <c r="H64" s="8">
        <v>21</v>
      </c>
      <c r="I64" s="8"/>
      <c r="J64" s="8"/>
      <c r="K64" s="8"/>
      <c r="L64" s="8">
        <v>31</v>
      </c>
      <c r="M64" s="8"/>
      <c r="N64" s="8"/>
      <c r="O64" s="8"/>
      <c r="P64" s="9"/>
      <c r="Q64" s="10">
        <f t="shared" si="0"/>
        <v>86</v>
      </c>
    </row>
    <row r="65" spans="1:17" x14ac:dyDescent="0.25">
      <c r="A65" s="6" t="s">
        <v>31</v>
      </c>
      <c r="B65" s="7">
        <v>39875</v>
      </c>
      <c r="C65" s="7" t="s">
        <v>60</v>
      </c>
      <c r="D65" s="7" t="s">
        <v>27</v>
      </c>
      <c r="E65" s="7" t="s">
        <v>50</v>
      </c>
      <c r="F65" s="8">
        <v>1</v>
      </c>
      <c r="G65" s="8"/>
      <c r="H65" s="8">
        <v>11</v>
      </c>
      <c r="I65" s="8"/>
      <c r="J65" s="8"/>
      <c r="K65" s="8"/>
      <c r="L65" s="8">
        <v>7</v>
      </c>
      <c r="M65" s="8"/>
      <c r="N65" s="8"/>
      <c r="O65" s="8"/>
      <c r="P65" s="9"/>
      <c r="Q65" s="10">
        <f t="shared" si="0"/>
        <v>19</v>
      </c>
    </row>
    <row r="66" spans="1:17" x14ac:dyDescent="0.25">
      <c r="A66" s="6" t="s">
        <v>33</v>
      </c>
      <c r="B66" s="7">
        <v>39876</v>
      </c>
      <c r="C66" s="7" t="s">
        <v>25</v>
      </c>
      <c r="D66" s="7" t="s">
        <v>27</v>
      </c>
      <c r="E66" s="7" t="s">
        <v>61</v>
      </c>
      <c r="F66" s="8">
        <v>19</v>
      </c>
      <c r="G66" s="8"/>
      <c r="H66" s="8">
        <v>45</v>
      </c>
      <c r="I66" s="8"/>
      <c r="J66" s="8"/>
      <c r="K66" s="8">
        <v>1</v>
      </c>
      <c r="L66" s="8">
        <v>25</v>
      </c>
      <c r="M66" s="8"/>
      <c r="N66" s="8"/>
      <c r="O66" s="8"/>
      <c r="P66" s="9"/>
      <c r="Q66" s="10">
        <f t="shared" si="0"/>
        <v>90</v>
      </c>
    </row>
    <row r="67" spans="1:17" x14ac:dyDescent="0.25">
      <c r="A67" s="6" t="s">
        <v>17</v>
      </c>
      <c r="B67" s="7">
        <v>39877</v>
      </c>
      <c r="C67" s="7" t="s">
        <v>25</v>
      </c>
      <c r="D67" s="7" t="s">
        <v>27</v>
      </c>
      <c r="E67" s="7" t="s">
        <v>62</v>
      </c>
      <c r="F67" s="8">
        <v>38</v>
      </c>
      <c r="G67" s="8"/>
      <c r="H67" s="8">
        <v>21</v>
      </c>
      <c r="I67" s="8">
        <v>4</v>
      </c>
      <c r="J67" s="8"/>
      <c r="K67" s="8"/>
      <c r="L67" s="8">
        <v>21</v>
      </c>
      <c r="M67" s="8"/>
      <c r="N67" s="8"/>
      <c r="O67" s="8"/>
      <c r="P67" s="9"/>
      <c r="Q67" s="10">
        <f t="shared" si="0"/>
        <v>84</v>
      </c>
    </row>
    <row r="68" spans="1:17" x14ac:dyDescent="0.25">
      <c r="A68" s="11" t="s">
        <v>20</v>
      </c>
      <c r="B68" s="12">
        <v>39878</v>
      </c>
      <c r="C68" s="12" t="s">
        <v>32</v>
      </c>
      <c r="D68" s="13" t="s">
        <v>37</v>
      </c>
      <c r="E68" s="12" t="s">
        <v>63</v>
      </c>
      <c r="F68" s="14">
        <v>25</v>
      </c>
      <c r="G68" s="14"/>
      <c r="H68" s="14">
        <v>38</v>
      </c>
      <c r="I68" s="14"/>
      <c r="J68" s="14">
        <v>11</v>
      </c>
      <c r="K68" s="14">
        <v>10</v>
      </c>
      <c r="L68" s="14">
        <v>17</v>
      </c>
      <c r="M68" s="14"/>
      <c r="N68" s="14"/>
      <c r="O68" s="14"/>
      <c r="P68" s="15"/>
      <c r="Q68" s="10">
        <f t="shared" si="0"/>
        <v>101</v>
      </c>
    </row>
    <row r="69" spans="1:17" x14ac:dyDescent="0.25">
      <c r="A69" s="11" t="s">
        <v>24</v>
      </c>
      <c r="B69" s="12">
        <v>39879</v>
      </c>
      <c r="C69" s="12" t="s">
        <v>60</v>
      </c>
      <c r="D69" s="13" t="s">
        <v>37</v>
      </c>
      <c r="E69" s="12" t="s">
        <v>64</v>
      </c>
      <c r="F69" s="14">
        <v>7</v>
      </c>
      <c r="G69" s="14"/>
      <c r="H69" s="14">
        <v>51</v>
      </c>
      <c r="I69" s="14"/>
      <c r="J69" s="14"/>
      <c r="K69" s="14"/>
      <c r="L69" s="14">
        <v>7</v>
      </c>
      <c r="M69" s="14"/>
      <c r="N69" s="14"/>
      <c r="O69" s="14"/>
      <c r="P69" s="15"/>
      <c r="Q69" s="10">
        <f t="shared" ref="Q69:Q134" si="3">SUM(F69:P69)</f>
        <v>65</v>
      </c>
    </row>
    <row r="70" spans="1:17" x14ac:dyDescent="0.25">
      <c r="A70" s="6" t="s">
        <v>26</v>
      </c>
      <c r="B70" s="7">
        <v>39880</v>
      </c>
      <c r="C70" s="7" t="s">
        <v>25</v>
      </c>
      <c r="D70" s="7" t="s">
        <v>27</v>
      </c>
      <c r="E70" s="7" t="s">
        <v>65</v>
      </c>
      <c r="F70" s="8">
        <v>21</v>
      </c>
      <c r="G70" s="8"/>
      <c r="H70" s="8">
        <v>9</v>
      </c>
      <c r="I70" s="8"/>
      <c r="J70" s="8">
        <v>1</v>
      </c>
      <c r="K70" s="8"/>
      <c r="L70" s="8">
        <v>18</v>
      </c>
      <c r="M70" s="8"/>
      <c r="N70" s="8"/>
      <c r="O70" s="8"/>
      <c r="P70" s="9"/>
      <c r="Q70" s="10">
        <f t="shared" si="3"/>
        <v>49</v>
      </c>
    </row>
    <row r="71" spans="1:17" x14ac:dyDescent="0.25">
      <c r="A71" s="6" t="s">
        <v>29</v>
      </c>
      <c r="B71" s="7">
        <v>39881</v>
      </c>
      <c r="C71" s="7" t="s">
        <v>25</v>
      </c>
      <c r="D71" s="7" t="s">
        <v>27</v>
      </c>
      <c r="E71" s="7" t="s">
        <v>66</v>
      </c>
      <c r="F71" s="8">
        <v>34</v>
      </c>
      <c r="G71" s="8"/>
      <c r="H71" s="8">
        <v>16</v>
      </c>
      <c r="I71" s="8"/>
      <c r="J71" s="8"/>
      <c r="K71" s="8">
        <v>2</v>
      </c>
      <c r="L71" s="8">
        <v>20</v>
      </c>
      <c r="M71" s="8"/>
      <c r="N71" s="8"/>
      <c r="O71" s="8"/>
      <c r="P71" s="9"/>
      <c r="Q71" s="10">
        <f t="shared" si="3"/>
        <v>72</v>
      </c>
    </row>
    <row r="72" spans="1:17" x14ac:dyDescent="0.25">
      <c r="A72" s="6" t="s">
        <v>31</v>
      </c>
      <c r="B72" s="7">
        <v>39882</v>
      </c>
      <c r="C72" s="7" t="s">
        <v>25</v>
      </c>
      <c r="D72" s="7" t="s">
        <v>27</v>
      </c>
      <c r="E72" s="7" t="s">
        <v>67</v>
      </c>
      <c r="F72" s="8">
        <v>13</v>
      </c>
      <c r="G72" s="8"/>
      <c r="H72" s="8">
        <v>27</v>
      </c>
      <c r="I72" s="8"/>
      <c r="J72" s="8"/>
      <c r="K72" s="8"/>
      <c r="L72" s="8">
        <v>10</v>
      </c>
      <c r="M72" s="8"/>
      <c r="N72" s="8"/>
      <c r="O72" s="8"/>
      <c r="P72" s="9"/>
      <c r="Q72" s="10">
        <f t="shared" si="3"/>
        <v>50</v>
      </c>
    </row>
    <row r="73" spans="1:17" x14ac:dyDescent="0.25">
      <c r="A73" s="6" t="s">
        <v>33</v>
      </c>
      <c r="B73" s="7">
        <v>39883</v>
      </c>
      <c r="C73" s="7" t="s">
        <v>32</v>
      </c>
      <c r="D73" s="7" t="s">
        <v>27</v>
      </c>
      <c r="E73" s="7" t="s">
        <v>68</v>
      </c>
      <c r="F73" s="8">
        <v>24</v>
      </c>
      <c r="G73" s="8"/>
      <c r="H73" s="8">
        <v>48</v>
      </c>
      <c r="I73" s="8"/>
      <c r="J73" s="8"/>
      <c r="K73" s="8">
        <v>2</v>
      </c>
      <c r="L73" s="8">
        <v>3</v>
      </c>
      <c r="M73" s="8"/>
      <c r="N73" s="8"/>
      <c r="O73" s="8"/>
      <c r="P73" s="9"/>
      <c r="Q73" s="10">
        <f t="shared" si="3"/>
        <v>77</v>
      </c>
    </row>
    <row r="74" spans="1:17" x14ac:dyDescent="0.25">
      <c r="A74" s="6" t="s">
        <v>17</v>
      </c>
      <c r="B74" s="7">
        <v>39884</v>
      </c>
      <c r="C74" s="7" t="s">
        <v>32</v>
      </c>
      <c r="D74" s="7" t="s">
        <v>27</v>
      </c>
      <c r="E74" s="7" t="s">
        <v>69</v>
      </c>
      <c r="F74" s="8">
        <v>29</v>
      </c>
      <c r="G74" s="8">
        <v>0</v>
      </c>
      <c r="H74" s="8">
        <v>47</v>
      </c>
      <c r="I74" s="8">
        <v>0</v>
      </c>
      <c r="J74" s="8">
        <v>0</v>
      </c>
      <c r="K74" s="8">
        <v>0</v>
      </c>
      <c r="L74" s="8">
        <v>8</v>
      </c>
      <c r="M74" s="8"/>
      <c r="N74" s="8"/>
      <c r="O74" s="8"/>
      <c r="P74" s="9"/>
      <c r="Q74" s="10">
        <f t="shared" si="3"/>
        <v>84</v>
      </c>
    </row>
    <row r="75" spans="1:17" x14ac:dyDescent="0.25">
      <c r="A75" s="11" t="s">
        <v>20</v>
      </c>
      <c r="B75" s="12">
        <v>39885</v>
      </c>
      <c r="C75" s="12" t="s">
        <v>32</v>
      </c>
      <c r="D75" s="13" t="s">
        <v>37</v>
      </c>
      <c r="E75" s="12" t="s">
        <v>67</v>
      </c>
      <c r="F75" s="14">
        <v>15</v>
      </c>
      <c r="G75" s="14"/>
      <c r="H75" s="14">
        <v>27</v>
      </c>
      <c r="I75" s="14">
        <v>4</v>
      </c>
      <c r="J75" s="14">
        <v>2</v>
      </c>
      <c r="K75" s="14"/>
      <c r="L75" s="14">
        <v>10</v>
      </c>
      <c r="M75" s="14"/>
      <c r="N75" s="14"/>
      <c r="O75" s="14"/>
      <c r="P75" s="15"/>
      <c r="Q75" s="10">
        <f t="shared" si="3"/>
        <v>58</v>
      </c>
    </row>
    <row r="76" spans="1:17" x14ac:dyDescent="0.25">
      <c r="A76" s="11" t="s">
        <v>24</v>
      </c>
      <c r="B76" s="12">
        <v>39886</v>
      </c>
      <c r="C76" s="12" t="s">
        <v>32</v>
      </c>
      <c r="D76" s="13" t="s">
        <v>37</v>
      </c>
      <c r="E76" s="12"/>
      <c r="F76" s="14">
        <v>19</v>
      </c>
      <c r="G76" s="14">
        <v>4</v>
      </c>
      <c r="H76" s="14">
        <v>39</v>
      </c>
      <c r="I76" s="14">
        <v>1</v>
      </c>
      <c r="J76" s="14">
        <v>0</v>
      </c>
      <c r="K76" s="14">
        <v>3</v>
      </c>
      <c r="L76" s="14">
        <v>5</v>
      </c>
      <c r="M76" s="14"/>
      <c r="N76" s="14"/>
      <c r="O76" s="14"/>
      <c r="P76" s="15"/>
      <c r="Q76" s="10">
        <f t="shared" si="3"/>
        <v>71</v>
      </c>
    </row>
    <row r="77" spans="1:17" x14ac:dyDescent="0.25">
      <c r="A77" s="6" t="s">
        <v>26</v>
      </c>
      <c r="B77" s="7">
        <v>39887</v>
      </c>
      <c r="C77" s="7" t="s">
        <v>25</v>
      </c>
      <c r="D77" s="7" t="s">
        <v>27</v>
      </c>
      <c r="E77" s="7" t="s">
        <v>70</v>
      </c>
      <c r="F77" s="8">
        <v>41</v>
      </c>
      <c r="G77" s="8">
        <v>0</v>
      </c>
      <c r="H77" s="8">
        <v>39</v>
      </c>
      <c r="I77" s="8">
        <v>0</v>
      </c>
      <c r="J77" s="8">
        <v>2</v>
      </c>
      <c r="K77" s="8">
        <v>0</v>
      </c>
      <c r="L77" s="8">
        <v>12</v>
      </c>
      <c r="M77" s="8"/>
      <c r="N77" s="8"/>
      <c r="O77" s="8"/>
      <c r="P77" s="9"/>
      <c r="Q77" s="10">
        <f t="shared" si="3"/>
        <v>94</v>
      </c>
    </row>
    <row r="78" spans="1:17" x14ac:dyDescent="0.25">
      <c r="A78" s="6" t="s">
        <v>29</v>
      </c>
      <c r="B78" s="7">
        <v>39888</v>
      </c>
      <c r="C78" s="7" t="s">
        <v>32</v>
      </c>
      <c r="D78" s="7" t="s">
        <v>27</v>
      </c>
      <c r="E78" s="7" t="s">
        <v>71</v>
      </c>
      <c r="F78" s="8">
        <v>31</v>
      </c>
      <c r="G78" s="8">
        <v>0</v>
      </c>
      <c r="H78" s="8">
        <v>46</v>
      </c>
      <c r="I78" s="8">
        <v>0</v>
      </c>
      <c r="J78" s="8">
        <v>0</v>
      </c>
      <c r="K78" s="8">
        <v>2</v>
      </c>
      <c r="L78" s="8">
        <v>17</v>
      </c>
      <c r="M78" s="8"/>
      <c r="N78" s="8"/>
      <c r="O78" s="8"/>
      <c r="P78" s="9"/>
      <c r="Q78" s="10">
        <f t="shared" si="3"/>
        <v>96</v>
      </c>
    </row>
    <row r="79" spans="1:17" x14ac:dyDescent="0.25">
      <c r="A79" s="6" t="s">
        <v>31</v>
      </c>
      <c r="B79" s="7">
        <v>39889</v>
      </c>
      <c r="C79" s="7" t="s">
        <v>32</v>
      </c>
      <c r="D79" s="7" t="s">
        <v>27</v>
      </c>
      <c r="E79" s="7" t="s">
        <v>72</v>
      </c>
      <c r="F79" s="8">
        <v>29</v>
      </c>
      <c r="G79" s="8">
        <v>0</v>
      </c>
      <c r="H79" s="8">
        <v>70</v>
      </c>
      <c r="I79" s="8">
        <v>0</v>
      </c>
      <c r="J79" s="8">
        <v>0</v>
      </c>
      <c r="K79" s="8">
        <v>0</v>
      </c>
      <c r="L79" s="8">
        <v>18</v>
      </c>
      <c r="M79" s="8"/>
      <c r="N79" s="8"/>
      <c r="O79" s="8"/>
      <c r="P79" s="9"/>
      <c r="Q79" s="10">
        <f t="shared" si="3"/>
        <v>117</v>
      </c>
    </row>
    <row r="80" spans="1:17" x14ac:dyDescent="0.25">
      <c r="A80" s="6" t="s">
        <v>33</v>
      </c>
      <c r="B80" s="7">
        <v>39890</v>
      </c>
      <c r="C80" s="7" t="s">
        <v>25</v>
      </c>
      <c r="D80" s="7" t="s">
        <v>27</v>
      </c>
      <c r="E80" s="7" t="s">
        <v>73</v>
      </c>
      <c r="F80" s="8">
        <v>14</v>
      </c>
      <c r="G80" s="8">
        <v>0</v>
      </c>
      <c r="H80" s="8">
        <v>61</v>
      </c>
      <c r="I80" s="8">
        <v>0</v>
      </c>
      <c r="J80" s="8">
        <v>5</v>
      </c>
      <c r="K80" s="8">
        <v>1</v>
      </c>
      <c r="L80" s="8">
        <v>20</v>
      </c>
      <c r="M80" s="8"/>
      <c r="N80" s="8"/>
      <c r="O80" s="8"/>
      <c r="P80" s="9"/>
      <c r="Q80" s="10">
        <f t="shared" si="3"/>
        <v>101</v>
      </c>
    </row>
    <row r="81" spans="1:17" x14ac:dyDescent="0.25">
      <c r="A81" s="6" t="s">
        <v>17</v>
      </c>
      <c r="B81" s="7">
        <v>39891</v>
      </c>
      <c r="C81" s="7" t="s">
        <v>25</v>
      </c>
      <c r="D81" s="7" t="s">
        <v>27</v>
      </c>
      <c r="E81" s="7" t="s">
        <v>74</v>
      </c>
      <c r="F81" s="8">
        <v>25</v>
      </c>
      <c r="G81" s="8">
        <v>0</v>
      </c>
      <c r="H81" s="8">
        <v>62</v>
      </c>
      <c r="I81" s="8">
        <v>0</v>
      </c>
      <c r="J81" s="8">
        <v>0</v>
      </c>
      <c r="K81" s="8">
        <v>1</v>
      </c>
      <c r="L81" s="8">
        <v>44</v>
      </c>
      <c r="M81" s="8"/>
      <c r="N81" s="8"/>
      <c r="O81" s="8"/>
      <c r="P81" s="9"/>
      <c r="Q81" s="10">
        <f t="shared" si="3"/>
        <v>132</v>
      </c>
    </row>
    <row r="82" spans="1:17" x14ac:dyDescent="0.25">
      <c r="A82" s="11" t="s">
        <v>20</v>
      </c>
      <c r="B82" s="12">
        <v>39892</v>
      </c>
      <c r="C82" s="12" t="s">
        <v>25</v>
      </c>
      <c r="D82" s="13" t="s">
        <v>37</v>
      </c>
      <c r="E82" s="12" t="s">
        <v>75</v>
      </c>
      <c r="F82" s="14">
        <v>11</v>
      </c>
      <c r="G82" s="14">
        <v>2</v>
      </c>
      <c r="H82" s="14">
        <v>26</v>
      </c>
      <c r="I82" s="14">
        <v>2</v>
      </c>
      <c r="J82" s="14">
        <v>0</v>
      </c>
      <c r="K82" s="14">
        <v>3</v>
      </c>
      <c r="L82" s="14">
        <v>45</v>
      </c>
      <c r="M82" s="14"/>
      <c r="N82" s="14"/>
      <c r="O82" s="14"/>
      <c r="P82" s="15"/>
      <c r="Q82" s="10">
        <f t="shared" si="3"/>
        <v>89</v>
      </c>
    </row>
    <row r="83" spans="1:17" x14ac:dyDescent="0.25">
      <c r="A83" s="11" t="s">
        <v>24</v>
      </c>
      <c r="B83" s="12">
        <v>39893</v>
      </c>
      <c r="C83" s="12" t="s">
        <v>18</v>
      </c>
      <c r="D83" s="13" t="s">
        <v>37</v>
      </c>
      <c r="E83" s="12" t="s">
        <v>76</v>
      </c>
      <c r="F83" s="14">
        <v>15</v>
      </c>
      <c r="G83" s="14">
        <v>0</v>
      </c>
      <c r="H83" s="14">
        <v>53</v>
      </c>
      <c r="I83" s="14">
        <v>1</v>
      </c>
      <c r="J83" s="14">
        <v>0</v>
      </c>
      <c r="K83" s="14">
        <v>3</v>
      </c>
      <c r="L83" s="14">
        <v>36</v>
      </c>
      <c r="M83" s="14"/>
      <c r="N83" s="14"/>
      <c r="O83" s="14"/>
      <c r="P83" s="15"/>
      <c r="Q83" s="10">
        <f t="shared" si="3"/>
        <v>108</v>
      </c>
    </row>
    <row r="84" spans="1:17" x14ac:dyDescent="0.25">
      <c r="A84" s="6" t="s">
        <v>26</v>
      </c>
      <c r="B84" s="7">
        <v>39894</v>
      </c>
      <c r="C84" s="7" t="s">
        <v>18</v>
      </c>
      <c r="D84" s="7" t="s">
        <v>27</v>
      </c>
      <c r="E84" s="7" t="s">
        <v>77</v>
      </c>
      <c r="F84" s="8">
        <v>16</v>
      </c>
      <c r="G84" s="8">
        <v>0</v>
      </c>
      <c r="H84" s="8">
        <v>37</v>
      </c>
      <c r="I84" s="8">
        <v>0</v>
      </c>
      <c r="J84" s="8">
        <v>0</v>
      </c>
      <c r="K84" s="8">
        <v>0</v>
      </c>
      <c r="L84" s="8">
        <v>0</v>
      </c>
      <c r="M84" s="8"/>
      <c r="N84" s="8"/>
      <c r="O84" s="8"/>
      <c r="P84" s="9"/>
      <c r="Q84" s="10">
        <f t="shared" si="3"/>
        <v>53</v>
      </c>
    </row>
    <row r="85" spans="1:17" x14ac:dyDescent="0.25">
      <c r="A85" s="6" t="s">
        <v>29</v>
      </c>
      <c r="B85" s="7">
        <v>39895</v>
      </c>
      <c r="C85" s="7" t="s">
        <v>32</v>
      </c>
      <c r="D85" s="7" t="s">
        <v>27</v>
      </c>
      <c r="E85" s="7" t="s">
        <v>78</v>
      </c>
      <c r="F85" s="8">
        <v>40</v>
      </c>
      <c r="G85" s="8">
        <v>0</v>
      </c>
      <c r="H85" s="8">
        <v>63</v>
      </c>
      <c r="I85" s="8">
        <v>0</v>
      </c>
      <c r="J85" s="8">
        <v>2</v>
      </c>
      <c r="K85" s="8">
        <v>2</v>
      </c>
      <c r="L85" s="8">
        <v>0</v>
      </c>
      <c r="M85" s="8"/>
      <c r="N85" s="8"/>
      <c r="O85" s="8"/>
      <c r="P85" s="9"/>
      <c r="Q85" s="10">
        <f t="shared" si="3"/>
        <v>107</v>
      </c>
    </row>
    <row r="86" spans="1:17" x14ac:dyDescent="0.25">
      <c r="A86" s="6" t="s">
        <v>31</v>
      </c>
      <c r="B86" s="7">
        <v>39896</v>
      </c>
      <c r="C86" s="7" t="s">
        <v>32</v>
      </c>
      <c r="D86" s="7" t="s">
        <v>27</v>
      </c>
      <c r="E86" s="7"/>
      <c r="F86" s="8">
        <v>23</v>
      </c>
      <c r="G86" s="8">
        <v>0</v>
      </c>
      <c r="H86" s="8">
        <v>37</v>
      </c>
      <c r="I86" s="8">
        <v>0</v>
      </c>
      <c r="J86" s="8">
        <v>0</v>
      </c>
      <c r="K86" s="8">
        <v>0</v>
      </c>
      <c r="L86" s="8">
        <v>2</v>
      </c>
      <c r="M86" s="8"/>
      <c r="N86" s="8"/>
      <c r="O86" s="8"/>
      <c r="P86" s="9"/>
      <c r="Q86" s="10">
        <f t="shared" si="3"/>
        <v>62</v>
      </c>
    </row>
    <row r="87" spans="1:17" x14ac:dyDescent="0.25">
      <c r="A87" s="6" t="s">
        <v>33</v>
      </c>
      <c r="B87" s="7">
        <v>39897</v>
      </c>
      <c r="C87" s="7" t="s">
        <v>25</v>
      </c>
      <c r="D87" s="7" t="s">
        <v>27</v>
      </c>
      <c r="E87" s="7" t="s">
        <v>79</v>
      </c>
      <c r="F87" s="8">
        <v>20</v>
      </c>
      <c r="G87" s="8">
        <v>0</v>
      </c>
      <c r="H87" s="8">
        <v>64</v>
      </c>
      <c r="I87" s="8">
        <v>0</v>
      </c>
      <c r="J87" s="8">
        <v>2</v>
      </c>
      <c r="K87" s="8">
        <v>5</v>
      </c>
      <c r="L87" s="8">
        <v>35</v>
      </c>
      <c r="M87" s="8"/>
      <c r="N87" s="8"/>
      <c r="O87" s="8"/>
      <c r="P87" s="9"/>
      <c r="Q87" s="10">
        <f t="shared" si="3"/>
        <v>126</v>
      </c>
    </row>
    <row r="88" spans="1:17" x14ac:dyDescent="0.25">
      <c r="A88" s="6" t="s">
        <v>17</v>
      </c>
      <c r="B88" s="7">
        <v>39898</v>
      </c>
      <c r="C88" s="7" t="s">
        <v>18</v>
      </c>
      <c r="D88" s="7" t="s">
        <v>27</v>
      </c>
      <c r="E88" s="7" t="s">
        <v>80</v>
      </c>
      <c r="F88" s="8">
        <v>12</v>
      </c>
      <c r="G88" s="8">
        <v>0</v>
      </c>
      <c r="H88" s="8">
        <v>44</v>
      </c>
      <c r="I88" s="8">
        <v>0</v>
      </c>
      <c r="J88" s="8">
        <v>2</v>
      </c>
      <c r="K88" s="8">
        <v>0</v>
      </c>
      <c r="L88" s="8">
        <v>29</v>
      </c>
      <c r="M88" s="8"/>
      <c r="N88" s="8"/>
      <c r="O88" s="8"/>
      <c r="P88" s="9"/>
      <c r="Q88" s="10">
        <f t="shared" si="3"/>
        <v>87</v>
      </c>
    </row>
    <row r="89" spans="1:17" x14ac:dyDescent="0.25">
      <c r="A89" s="11" t="s">
        <v>20</v>
      </c>
      <c r="B89" s="12">
        <v>39899</v>
      </c>
      <c r="C89" s="12" t="s">
        <v>81</v>
      </c>
      <c r="D89" s="13" t="s">
        <v>54</v>
      </c>
      <c r="E89" s="12" t="s">
        <v>82</v>
      </c>
      <c r="F89" s="14">
        <v>17</v>
      </c>
      <c r="G89" s="14">
        <v>0</v>
      </c>
      <c r="H89" s="14">
        <v>70</v>
      </c>
      <c r="I89" s="14">
        <v>3</v>
      </c>
      <c r="J89" s="14">
        <v>1</v>
      </c>
      <c r="K89" s="14">
        <v>0</v>
      </c>
      <c r="L89" s="14">
        <v>25</v>
      </c>
      <c r="M89" s="14"/>
      <c r="N89" s="14"/>
      <c r="O89" s="14"/>
      <c r="P89" s="15"/>
      <c r="Q89" s="10">
        <f t="shared" si="3"/>
        <v>116</v>
      </c>
    </row>
    <row r="90" spans="1:17" x14ac:dyDescent="0.25">
      <c r="A90" s="11" t="s">
        <v>24</v>
      </c>
      <c r="B90" s="12">
        <v>39900</v>
      </c>
      <c r="C90" s="12" t="s">
        <v>25</v>
      </c>
      <c r="D90" s="13" t="s">
        <v>54</v>
      </c>
      <c r="E90" s="12" t="s">
        <v>83</v>
      </c>
      <c r="F90" s="14">
        <v>17</v>
      </c>
      <c r="G90" s="14">
        <v>0</v>
      </c>
      <c r="H90" s="14">
        <v>49</v>
      </c>
      <c r="I90" s="14">
        <v>7</v>
      </c>
      <c r="J90" s="14">
        <v>3</v>
      </c>
      <c r="K90" s="14">
        <v>0</v>
      </c>
      <c r="L90" s="14">
        <v>28</v>
      </c>
      <c r="M90" s="14"/>
      <c r="N90" s="14"/>
      <c r="O90" s="14"/>
      <c r="P90" s="15"/>
      <c r="Q90" s="10">
        <f t="shared" si="3"/>
        <v>104</v>
      </c>
    </row>
    <row r="91" spans="1:17" x14ac:dyDescent="0.25">
      <c r="A91" s="6" t="s">
        <v>26</v>
      </c>
      <c r="B91" s="7">
        <v>39901</v>
      </c>
      <c r="C91" s="7" t="s">
        <v>25</v>
      </c>
      <c r="D91" s="7" t="s">
        <v>27</v>
      </c>
      <c r="E91" s="7" t="s">
        <v>84</v>
      </c>
      <c r="F91" s="8">
        <v>33</v>
      </c>
      <c r="G91" s="8">
        <v>2</v>
      </c>
      <c r="H91" s="8">
        <v>13</v>
      </c>
      <c r="I91" s="8">
        <v>9</v>
      </c>
      <c r="J91" s="8">
        <v>0</v>
      </c>
      <c r="K91" s="8">
        <v>0</v>
      </c>
      <c r="L91" s="8">
        <v>3</v>
      </c>
      <c r="M91" s="8"/>
      <c r="N91" s="8"/>
      <c r="O91" s="8"/>
      <c r="P91" s="9"/>
      <c r="Q91" s="10">
        <f t="shared" si="3"/>
        <v>60</v>
      </c>
    </row>
    <row r="92" spans="1:17" x14ac:dyDescent="0.25">
      <c r="A92" s="6" t="s">
        <v>29</v>
      </c>
      <c r="B92" s="7">
        <v>39902</v>
      </c>
      <c r="C92" s="7" t="s">
        <v>85</v>
      </c>
      <c r="D92" s="7" t="s">
        <v>27</v>
      </c>
      <c r="E92" s="7"/>
      <c r="F92" s="8">
        <v>4</v>
      </c>
      <c r="G92" s="8">
        <v>0</v>
      </c>
      <c r="H92" s="8">
        <v>3</v>
      </c>
      <c r="I92" s="8">
        <v>1</v>
      </c>
      <c r="J92" s="8">
        <v>0</v>
      </c>
      <c r="K92" s="8">
        <v>0</v>
      </c>
      <c r="L92" s="8"/>
      <c r="M92" s="8"/>
      <c r="N92" s="8"/>
      <c r="O92" s="8"/>
      <c r="P92" s="9"/>
      <c r="Q92" s="10">
        <f t="shared" si="3"/>
        <v>8</v>
      </c>
    </row>
    <row r="93" spans="1:17" x14ac:dyDescent="0.25">
      <c r="A93" s="6" t="s">
        <v>31</v>
      </c>
      <c r="B93" s="7">
        <v>39903</v>
      </c>
      <c r="C93" s="7" t="s">
        <v>48</v>
      </c>
      <c r="D93" s="7" t="s">
        <v>27</v>
      </c>
      <c r="E93" s="7"/>
      <c r="F93" s="6">
        <v>29</v>
      </c>
      <c r="G93" s="8">
        <v>0</v>
      </c>
      <c r="H93" s="8">
        <v>23</v>
      </c>
      <c r="I93" s="8">
        <v>2</v>
      </c>
      <c r="J93" s="8">
        <v>1</v>
      </c>
      <c r="K93" s="8">
        <v>0</v>
      </c>
      <c r="L93" s="6">
        <v>4</v>
      </c>
      <c r="M93" s="6"/>
      <c r="N93" s="6"/>
      <c r="O93" s="6"/>
      <c r="P93" s="19"/>
      <c r="Q93" s="10">
        <f t="shared" si="3"/>
        <v>59</v>
      </c>
    </row>
    <row r="94" spans="1:17" x14ac:dyDescent="0.25">
      <c r="A94" s="7" t="s">
        <v>45</v>
      </c>
      <c r="B94" s="7"/>
      <c r="C94" s="7"/>
      <c r="D94" s="7"/>
      <c r="E94" s="7"/>
      <c r="F94" s="18">
        <f>SUM(F63:F93)</f>
        <v>709</v>
      </c>
      <c r="G94" s="18">
        <f t="shared" ref="G94:N94" si="4">SUM(G63:G93)</f>
        <v>8</v>
      </c>
      <c r="H94" s="18">
        <f t="shared" si="4"/>
        <v>1180</v>
      </c>
      <c r="I94" s="18">
        <f t="shared" si="4"/>
        <v>35</v>
      </c>
      <c r="J94" s="18">
        <f t="shared" si="4"/>
        <v>32</v>
      </c>
      <c r="K94" s="18">
        <f t="shared" si="4"/>
        <v>36</v>
      </c>
      <c r="L94" s="18">
        <f t="shared" si="4"/>
        <v>533</v>
      </c>
      <c r="M94" s="18">
        <f t="shared" si="4"/>
        <v>0</v>
      </c>
      <c r="N94" s="18">
        <f t="shared" si="4"/>
        <v>0</v>
      </c>
      <c r="O94" s="18">
        <f>SUM(O63:O93)</f>
        <v>0</v>
      </c>
      <c r="P94" s="18">
        <f>SUM(P63:P93)</f>
        <v>0</v>
      </c>
      <c r="Q94" s="17">
        <f>SUM(Q63:Q93)</f>
        <v>2533</v>
      </c>
    </row>
    <row r="95" spans="1:17" x14ac:dyDescent="0.25">
      <c r="A95" s="6" t="s">
        <v>33</v>
      </c>
      <c r="B95" s="7">
        <v>39904</v>
      </c>
      <c r="C95" s="7" t="s">
        <v>32</v>
      </c>
      <c r="D95" s="7" t="s">
        <v>27</v>
      </c>
      <c r="E95" s="7" t="s">
        <v>86</v>
      </c>
      <c r="F95" s="8">
        <v>20</v>
      </c>
      <c r="G95" s="8">
        <v>3</v>
      </c>
      <c r="H95" s="8">
        <v>16</v>
      </c>
      <c r="I95" s="8">
        <v>11</v>
      </c>
      <c r="J95" s="8">
        <v>0</v>
      </c>
      <c r="K95" s="8">
        <v>0</v>
      </c>
      <c r="L95" s="8">
        <v>4</v>
      </c>
      <c r="M95" s="8"/>
      <c r="N95" s="8"/>
      <c r="O95" s="8"/>
      <c r="P95" s="9"/>
      <c r="Q95" s="10">
        <f t="shared" si="3"/>
        <v>54</v>
      </c>
    </row>
    <row r="96" spans="1:17" x14ac:dyDescent="0.25">
      <c r="A96" s="6" t="s">
        <v>17</v>
      </c>
      <c r="B96" s="7">
        <v>39905</v>
      </c>
      <c r="C96" s="7" t="s">
        <v>32</v>
      </c>
      <c r="D96" s="7" t="s">
        <v>27</v>
      </c>
      <c r="E96" s="7"/>
      <c r="F96" s="8">
        <v>30</v>
      </c>
      <c r="G96" s="8">
        <v>4</v>
      </c>
      <c r="H96" s="8">
        <v>53</v>
      </c>
      <c r="I96" s="8">
        <v>12</v>
      </c>
      <c r="J96" s="8">
        <v>4</v>
      </c>
      <c r="K96" s="8">
        <v>0</v>
      </c>
      <c r="L96" s="8">
        <v>5</v>
      </c>
      <c r="M96" s="8"/>
      <c r="N96" s="8"/>
      <c r="O96" s="8"/>
      <c r="P96" s="9"/>
      <c r="Q96" s="10">
        <f t="shared" si="3"/>
        <v>108</v>
      </c>
    </row>
    <row r="97" spans="1:17" x14ac:dyDescent="0.25">
      <c r="A97" s="11" t="s">
        <v>20</v>
      </c>
      <c r="B97" s="12">
        <v>39906</v>
      </c>
      <c r="C97" s="12" t="s">
        <v>25</v>
      </c>
      <c r="D97" s="13" t="s">
        <v>87</v>
      </c>
      <c r="E97" s="12"/>
      <c r="F97" s="14">
        <v>9</v>
      </c>
      <c r="G97" s="14">
        <v>8</v>
      </c>
      <c r="H97" s="14">
        <v>47</v>
      </c>
      <c r="I97" s="14">
        <v>3</v>
      </c>
      <c r="J97" s="14">
        <v>6</v>
      </c>
      <c r="K97" s="14">
        <v>7</v>
      </c>
      <c r="L97" s="14">
        <v>7</v>
      </c>
      <c r="M97" s="14"/>
      <c r="N97" s="14"/>
      <c r="O97" s="14"/>
      <c r="P97" s="15"/>
      <c r="Q97" s="10">
        <f t="shared" si="3"/>
        <v>87</v>
      </c>
    </row>
    <row r="98" spans="1:17" x14ac:dyDescent="0.25">
      <c r="A98" s="11" t="s">
        <v>24</v>
      </c>
      <c r="B98" s="12">
        <v>39907</v>
      </c>
      <c r="C98" s="12" t="s">
        <v>18</v>
      </c>
      <c r="D98" s="13" t="s">
        <v>87</v>
      </c>
      <c r="E98" s="12"/>
      <c r="F98" s="14">
        <v>10</v>
      </c>
      <c r="G98" s="14">
        <v>4</v>
      </c>
      <c r="H98" s="14">
        <v>37</v>
      </c>
      <c r="I98" s="14">
        <v>1</v>
      </c>
      <c r="J98" s="14">
        <v>0</v>
      </c>
      <c r="K98" s="14">
        <v>5</v>
      </c>
      <c r="L98" s="14">
        <v>0</v>
      </c>
      <c r="M98" s="14"/>
      <c r="N98" s="14"/>
      <c r="O98" s="14"/>
      <c r="P98" s="15"/>
      <c r="Q98" s="10">
        <f t="shared" si="3"/>
        <v>57</v>
      </c>
    </row>
    <row r="99" spans="1:17" x14ac:dyDescent="0.25">
      <c r="A99" s="6" t="s">
        <v>26</v>
      </c>
      <c r="B99" s="7">
        <v>39908</v>
      </c>
      <c r="C99" s="7" t="s">
        <v>81</v>
      </c>
      <c r="D99" s="7" t="s">
        <v>88</v>
      </c>
      <c r="E99" s="7"/>
      <c r="F99" s="8">
        <v>19</v>
      </c>
      <c r="G99" s="8">
        <v>3</v>
      </c>
      <c r="H99" s="8">
        <v>81</v>
      </c>
      <c r="I99" s="8">
        <v>1</v>
      </c>
      <c r="J99" s="8">
        <v>4</v>
      </c>
      <c r="K99" s="8">
        <v>10</v>
      </c>
      <c r="L99" s="8">
        <v>11</v>
      </c>
      <c r="M99" s="8"/>
      <c r="N99" s="8"/>
      <c r="O99" s="8"/>
      <c r="P99" s="9"/>
      <c r="Q99" s="10">
        <f t="shared" si="3"/>
        <v>129</v>
      </c>
    </row>
    <row r="100" spans="1:17" x14ac:dyDescent="0.25">
      <c r="A100" s="6" t="s">
        <v>29</v>
      </c>
      <c r="B100" s="7">
        <v>39909</v>
      </c>
      <c r="C100" s="7" t="s">
        <v>32</v>
      </c>
      <c r="D100" s="7" t="s">
        <v>88</v>
      </c>
      <c r="E100" s="7" t="s">
        <v>89</v>
      </c>
      <c r="F100" s="8">
        <v>67</v>
      </c>
      <c r="G100" s="8">
        <v>5</v>
      </c>
      <c r="H100" s="8">
        <v>62</v>
      </c>
      <c r="I100" s="8">
        <v>1</v>
      </c>
      <c r="J100" s="8">
        <v>0</v>
      </c>
      <c r="K100" s="8">
        <v>6</v>
      </c>
      <c r="L100" s="8">
        <v>0</v>
      </c>
      <c r="M100" s="8"/>
      <c r="N100" s="8"/>
      <c r="O100" s="8"/>
      <c r="P100" s="9"/>
      <c r="Q100" s="10">
        <f t="shared" si="3"/>
        <v>141</v>
      </c>
    </row>
    <row r="101" spans="1:17" x14ac:dyDescent="0.25">
      <c r="A101" s="6" t="s">
        <v>31</v>
      </c>
      <c r="B101" s="7">
        <v>39910</v>
      </c>
      <c r="C101" s="7" t="s">
        <v>25</v>
      </c>
      <c r="D101" s="7" t="s">
        <v>88</v>
      </c>
      <c r="E101" s="7"/>
      <c r="F101" s="8">
        <v>24</v>
      </c>
      <c r="G101" s="8">
        <v>2</v>
      </c>
      <c r="H101" s="8">
        <v>32</v>
      </c>
      <c r="I101" s="8">
        <v>0</v>
      </c>
      <c r="J101" s="8">
        <v>6</v>
      </c>
      <c r="K101" s="8">
        <v>4</v>
      </c>
      <c r="L101" s="8">
        <v>0</v>
      </c>
      <c r="M101" s="8"/>
      <c r="N101" s="8"/>
      <c r="O101" s="8"/>
      <c r="P101" s="9"/>
      <c r="Q101" s="10">
        <f t="shared" si="3"/>
        <v>68</v>
      </c>
    </row>
    <row r="102" spans="1:17" x14ac:dyDescent="0.25">
      <c r="A102" s="6" t="s">
        <v>33</v>
      </c>
      <c r="B102" s="7">
        <v>39911</v>
      </c>
      <c r="C102" s="7" t="s">
        <v>32</v>
      </c>
      <c r="D102" s="7" t="s">
        <v>88</v>
      </c>
      <c r="E102" s="7" t="s">
        <v>80</v>
      </c>
      <c r="F102" s="8">
        <v>17</v>
      </c>
      <c r="G102" s="8">
        <v>2</v>
      </c>
      <c r="H102" s="8">
        <v>46</v>
      </c>
      <c r="I102" s="8">
        <v>1</v>
      </c>
      <c r="J102" s="8">
        <v>0</v>
      </c>
      <c r="K102" s="8">
        <v>8</v>
      </c>
      <c r="L102" s="8">
        <v>22</v>
      </c>
      <c r="M102" s="8"/>
      <c r="N102" s="8"/>
      <c r="O102" s="8"/>
      <c r="P102" s="9"/>
      <c r="Q102" s="10">
        <f t="shared" si="3"/>
        <v>96</v>
      </c>
    </row>
    <row r="103" spans="1:17" x14ac:dyDescent="0.25">
      <c r="A103" s="6" t="s">
        <v>17</v>
      </c>
      <c r="B103" s="7">
        <v>39912</v>
      </c>
      <c r="C103" s="7" t="s">
        <v>32</v>
      </c>
      <c r="D103" s="7" t="s">
        <v>88</v>
      </c>
      <c r="E103" s="7" t="s">
        <v>90</v>
      </c>
      <c r="F103" s="8">
        <v>45</v>
      </c>
      <c r="G103" s="8">
        <v>1</v>
      </c>
      <c r="H103" s="8">
        <v>40</v>
      </c>
      <c r="I103" s="8">
        <v>0</v>
      </c>
      <c r="J103" s="8">
        <v>3</v>
      </c>
      <c r="K103" s="8">
        <v>16</v>
      </c>
      <c r="L103" s="8">
        <v>8</v>
      </c>
      <c r="M103" s="8"/>
      <c r="N103" s="8"/>
      <c r="O103" s="8"/>
      <c r="P103" s="9"/>
      <c r="Q103" s="10">
        <f t="shared" si="3"/>
        <v>113</v>
      </c>
    </row>
    <row r="104" spans="1:17" x14ac:dyDescent="0.25">
      <c r="A104" s="11" t="s">
        <v>20</v>
      </c>
      <c r="B104" s="12">
        <v>39913</v>
      </c>
      <c r="C104" s="12" t="s">
        <v>32</v>
      </c>
      <c r="D104" s="13" t="s">
        <v>91</v>
      </c>
      <c r="E104" s="12" t="s">
        <v>92</v>
      </c>
      <c r="F104" s="14">
        <v>30</v>
      </c>
      <c r="G104" s="14">
        <v>2</v>
      </c>
      <c r="H104" s="14">
        <v>60</v>
      </c>
      <c r="I104" s="14">
        <v>2</v>
      </c>
      <c r="J104" s="14">
        <v>0</v>
      </c>
      <c r="K104" s="14">
        <v>9</v>
      </c>
      <c r="L104" s="14">
        <v>43</v>
      </c>
      <c r="M104" s="14"/>
      <c r="N104" s="14"/>
      <c r="O104" s="14"/>
      <c r="P104" s="15"/>
      <c r="Q104" s="10">
        <f t="shared" si="3"/>
        <v>146</v>
      </c>
    </row>
    <row r="105" spans="1:17" x14ac:dyDescent="0.25">
      <c r="A105" s="11" t="s">
        <v>24</v>
      </c>
      <c r="B105" s="12">
        <v>39914</v>
      </c>
      <c r="C105" s="12" t="s">
        <v>18</v>
      </c>
      <c r="D105" s="13" t="s">
        <v>91</v>
      </c>
      <c r="E105" s="12" t="s">
        <v>90</v>
      </c>
      <c r="F105" s="14">
        <v>34</v>
      </c>
      <c r="G105" s="14">
        <v>2</v>
      </c>
      <c r="H105" s="14">
        <v>25</v>
      </c>
      <c r="I105" s="14">
        <v>0</v>
      </c>
      <c r="J105" s="14">
        <v>1</v>
      </c>
      <c r="K105" s="14">
        <v>1</v>
      </c>
      <c r="L105" s="14">
        <v>19</v>
      </c>
      <c r="M105" s="14"/>
      <c r="N105" s="14"/>
      <c r="O105" s="14"/>
      <c r="P105" s="15"/>
      <c r="Q105" s="10">
        <f t="shared" si="3"/>
        <v>82</v>
      </c>
    </row>
    <row r="106" spans="1:17" x14ac:dyDescent="0.25">
      <c r="A106" s="6" t="s">
        <v>26</v>
      </c>
      <c r="B106" s="7">
        <v>39915</v>
      </c>
      <c r="C106" s="7" t="s">
        <v>18</v>
      </c>
      <c r="D106" s="7" t="s">
        <v>88</v>
      </c>
      <c r="E106" s="7" t="s">
        <v>93</v>
      </c>
      <c r="F106" s="8">
        <v>55</v>
      </c>
      <c r="G106" s="8">
        <v>0</v>
      </c>
      <c r="H106" s="8">
        <v>52</v>
      </c>
      <c r="I106" s="8">
        <v>0</v>
      </c>
      <c r="J106" s="8">
        <v>3</v>
      </c>
      <c r="K106" s="8">
        <v>0</v>
      </c>
      <c r="L106" s="8">
        <v>0</v>
      </c>
      <c r="M106" s="8"/>
      <c r="N106" s="8"/>
      <c r="O106" s="8"/>
      <c r="P106" s="9"/>
      <c r="Q106" s="10">
        <f t="shared" si="3"/>
        <v>110</v>
      </c>
    </row>
    <row r="107" spans="1:17" x14ac:dyDescent="0.25">
      <c r="A107" s="6" t="s">
        <v>29</v>
      </c>
      <c r="B107" s="7">
        <v>39916</v>
      </c>
      <c r="C107" s="7" t="s">
        <v>18</v>
      </c>
      <c r="D107" s="7" t="s">
        <v>88</v>
      </c>
      <c r="E107" s="7" t="s">
        <v>94</v>
      </c>
      <c r="F107" s="8">
        <v>33</v>
      </c>
      <c r="G107" s="8">
        <v>1</v>
      </c>
      <c r="H107" s="8">
        <v>40</v>
      </c>
      <c r="I107" s="8">
        <v>0</v>
      </c>
      <c r="J107" s="8">
        <v>3</v>
      </c>
      <c r="K107" s="8">
        <v>2</v>
      </c>
      <c r="L107" s="8">
        <v>0</v>
      </c>
      <c r="M107" s="8"/>
      <c r="N107" s="8"/>
      <c r="O107" s="8"/>
      <c r="P107" s="9"/>
      <c r="Q107" s="10">
        <f t="shared" si="3"/>
        <v>79</v>
      </c>
    </row>
    <row r="108" spans="1:17" x14ac:dyDescent="0.25">
      <c r="A108" s="6" t="s">
        <v>31</v>
      </c>
      <c r="B108" s="7">
        <v>39917</v>
      </c>
      <c r="C108" s="7" t="s">
        <v>32</v>
      </c>
      <c r="D108" s="7" t="s">
        <v>88</v>
      </c>
      <c r="E108" s="7" t="s">
        <v>95</v>
      </c>
      <c r="F108" s="8">
        <v>52</v>
      </c>
      <c r="G108" s="8">
        <v>1</v>
      </c>
      <c r="H108" s="8">
        <v>62</v>
      </c>
      <c r="I108" s="8">
        <v>0</v>
      </c>
      <c r="J108" s="8">
        <v>4</v>
      </c>
      <c r="K108" s="8">
        <v>0</v>
      </c>
      <c r="L108" s="8">
        <v>0</v>
      </c>
      <c r="M108" s="8"/>
      <c r="N108" s="8"/>
      <c r="O108" s="8"/>
      <c r="P108" s="9"/>
      <c r="Q108" s="10">
        <f t="shared" si="3"/>
        <v>119</v>
      </c>
    </row>
    <row r="109" spans="1:17" x14ac:dyDescent="0.25">
      <c r="A109" s="6" t="s">
        <v>33</v>
      </c>
      <c r="B109" s="7">
        <v>39918</v>
      </c>
      <c r="C109" s="7" t="s">
        <v>25</v>
      </c>
      <c r="D109" s="7" t="s">
        <v>88</v>
      </c>
      <c r="E109" s="7" t="s">
        <v>96</v>
      </c>
      <c r="F109" s="8">
        <v>31</v>
      </c>
      <c r="G109" s="8">
        <v>4</v>
      </c>
      <c r="H109" s="8">
        <v>80</v>
      </c>
      <c r="I109" s="8">
        <v>2</v>
      </c>
      <c r="J109" s="8">
        <v>0</v>
      </c>
      <c r="K109" s="8">
        <v>1</v>
      </c>
      <c r="L109" s="8">
        <v>4</v>
      </c>
      <c r="M109" s="8"/>
      <c r="N109" s="8"/>
      <c r="O109" s="8"/>
      <c r="P109" s="9"/>
      <c r="Q109" s="10">
        <f t="shared" si="3"/>
        <v>122</v>
      </c>
    </row>
    <row r="110" spans="1:17" x14ac:dyDescent="0.25">
      <c r="A110" s="6" t="s">
        <v>17</v>
      </c>
      <c r="B110" s="7">
        <v>39919</v>
      </c>
      <c r="C110" s="7" t="s">
        <v>18</v>
      </c>
      <c r="D110" s="7" t="s">
        <v>88</v>
      </c>
      <c r="E110" s="7"/>
      <c r="F110" s="8">
        <v>47</v>
      </c>
      <c r="G110" s="8">
        <v>5</v>
      </c>
      <c r="H110" s="8">
        <v>63</v>
      </c>
      <c r="I110" s="8">
        <v>0</v>
      </c>
      <c r="J110" s="8">
        <v>1</v>
      </c>
      <c r="K110" s="8">
        <v>3</v>
      </c>
      <c r="L110" s="8">
        <v>2</v>
      </c>
      <c r="M110" s="8"/>
      <c r="N110" s="8"/>
      <c r="O110" s="8"/>
      <c r="P110" s="9"/>
      <c r="Q110" s="10">
        <f t="shared" si="3"/>
        <v>121</v>
      </c>
    </row>
    <row r="111" spans="1:17" x14ac:dyDescent="0.25">
      <c r="A111" s="11" t="s">
        <v>20</v>
      </c>
      <c r="B111" s="12">
        <v>39920</v>
      </c>
      <c r="C111" s="12" t="s">
        <v>25</v>
      </c>
      <c r="D111" s="13" t="s">
        <v>91</v>
      </c>
      <c r="E111" s="12" t="s">
        <v>97</v>
      </c>
      <c r="F111" s="14">
        <v>27</v>
      </c>
      <c r="G111" s="14">
        <v>4</v>
      </c>
      <c r="H111" s="14">
        <v>39</v>
      </c>
      <c r="I111" s="14">
        <v>0</v>
      </c>
      <c r="J111" s="14">
        <v>12</v>
      </c>
      <c r="K111" s="14">
        <v>5</v>
      </c>
      <c r="L111" s="14">
        <v>3</v>
      </c>
      <c r="M111" s="14"/>
      <c r="N111" s="14"/>
      <c r="O111" s="14"/>
      <c r="P111" s="15"/>
      <c r="Q111" s="10">
        <f t="shared" si="3"/>
        <v>90</v>
      </c>
    </row>
    <row r="112" spans="1:17" x14ac:dyDescent="0.25">
      <c r="A112" s="11" t="s">
        <v>24</v>
      </c>
      <c r="B112" s="12">
        <v>39921</v>
      </c>
      <c r="C112" s="12" t="s">
        <v>25</v>
      </c>
      <c r="D112" s="13" t="s">
        <v>91</v>
      </c>
      <c r="E112" s="12"/>
      <c r="F112" s="14">
        <v>23</v>
      </c>
      <c r="G112" s="14">
        <v>0</v>
      </c>
      <c r="H112" s="14">
        <v>59</v>
      </c>
      <c r="I112" s="14">
        <v>2</v>
      </c>
      <c r="J112" s="14">
        <v>0</v>
      </c>
      <c r="K112" s="14">
        <v>1</v>
      </c>
      <c r="L112" s="14">
        <v>4</v>
      </c>
      <c r="M112" s="14"/>
      <c r="N112" s="14"/>
      <c r="O112" s="14"/>
      <c r="P112" s="15"/>
      <c r="Q112" s="10">
        <f t="shared" si="3"/>
        <v>89</v>
      </c>
    </row>
    <row r="113" spans="1:17" x14ac:dyDescent="0.25">
      <c r="A113" s="6" t="s">
        <v>26</v>
      </c>
      <c r="B113" s="7">
        <v>39922</v>
      </c>
      <c r="C113" s="7" t="s">
        <v>32</v>
      </c>
      <c r="D113" s="7" t="s">
        <v>88</v>
      </c>
      <c r="E113" s="7"/>
      <c r="F113" s="8">
        <v>37</v>
      </c>
      <c r="G113" s="8">
        <v>0</v>
      </c>
      <c r="H113" s="8">
        <v>44</v>
      </c>
      <c r="I113" s="8">
        <v>0</v>
      </c>
      <c r="J113" s="8">
        <v>0</v>
      </c>
      <c r="K113" s="8">
        <v>2</v>
      </c>
      <c r="L113" s="8">
        <v>2</v>
      </c>
      <c r="M113" s="8"/>
      <c r="N113" s="8"/>
      <c r="O113" s="8"/>
      <c r="P113" s="9"/>
      <c r="Q113" s="10">
        <f t="shared" si="3"/>
        <v>85</v>
      </c>
    </row>
    <row r="114" spans="1:17" x14ac:dyDescent="0.25">
      <c r="A114" s="6" t="s">
        <v>29</v>
      </c>
      <c r="B114" s="7">
        <v>39923</v>
      </c>
      <c r="C114" s="7" t="s">
        <v>32</v>
      </c>
      <c r="D114" s="7" t="s">
        <v>88</v>
      </c>
      <c r="E114" s="7" t="s">
        <v>98</v>
      </c>
      <c r="F114" s="8">
        <v>20</v>
      </c>
      <c r="G114" s="8">
        <v>4</v>
      </c>
      <c r="H114" s="8">
        <v>69</v>
      </c>
      <c r="I114" s="8">
        <v>0</v>
      </c>
      <c r="J114" s="8">
        <v>0</v>
      </c>
      <c r="K114" s="8">
        <v>4</v>
      </c>
      <c r="L114" s="8">
        <v>3</v>
      </c>
      <c r="M114" s="8"/>
      <c r="N114" s="8"/>
      <c r="O114" s="8"/>
      <c r="P114" s="9"/>
      <c r="Q114" s="10">
        <f t="shared" si="3"/>
        <v>100</v>
      </c>
    </row>
    <row r="115" spans="1:17" x14ac:dyDescent="0.25">
      <c r="A115" s="6" t="s">
        <v>31</v>
      </c>
      <c r="B115" s="7">
        <v>39924</v>
      </c>
      <c r="C115" s="7" t="s">
        <v>25</v>
      </c>
      <c r="D115" s="7" t="s">
        <v>88</v>
      </c>
      <c r="E115" s="7"/>
      <c r="F115" s="8">
        <v>38</v>
      </c>
      <c r="G115" s="8">
        <v>10</v>
      </c>
      <c r="H115" s="8">
        <v>47</v>
      </c>
      <c r="I115" s="8">
        <v>0</v>
      </c>
      <c r="J115" s="8">
        <v>0</v>
      </c>
      <c r="K115" s="8">
        <v>1</v>
      </c>
      <c r="L115" s="8">
        <v>2</v>
      </c>
      <c r="M115" s="8"/>
      <c r="N115" s="8"/>
      <c r="O115" s="8"/>
      <c r="P115" s="9"/>
      <c r="Q115" s="10">
        <f t="shared" si="3"/>
        <v>98</v>
      </c>
    </row>
    <row r="116" spans="1:17" x14ac:dyDescent="0.25">
      <c r="A116" s="6" t="s">
        <v>33</v>
      </c>
      <c r="B116" s="7">
        <v>39925</v>
      </c>
      <c r="C116" s="7" t="s">
        <v>99</v>
      </c>
      <c r="D116" s="7" t="s">
        <v>88</v>
      </c>
      <c r="E116" s="7" t="s">
        <v>100</v>
      </c>
      <c r="F116" s="8">
        <v>24</v>
      </c>
      <c r="G116" s="8">
        <v>8</v>
      </c>
      <c r="H116" s="8">
        <v>60</v>
      </c>
      <c r="I116" s="8">
        <v>0</v>
      </c>
      <c r="J116" s="8">
        <v>2</v>
      </c>
      <c r="K116" s="8">
        <v>4</v>
      </c>
      <c r="L116" s="8">
        <v>26</v>
      </c>
      <c r="M116" s="8"/>
      <c r="N116" s="8"/>
      <c r="O116" s="8"/>
      <c r="P116" s="9"/>
      <c r="Q116" s="10">
        <f t="shared" si="3"/>
        <v>124</v>
      </c>
    </row>
    <row r="117" spans="1:17" x14ac:dyDescent="0.25">
      <c r="A117" s="6" t="s">
        <v>17</v>
      </c>
      <c r="B117" s="7">
        <v>39926</v>
      </c>
      <c r="C117" s="7" t="s">
        <v>18</v>
      </c>
      <c r="D117" s="7" t="s">
        <v>88</v>
      </c>
      <c r="E117" s="7"/>
      <c r="F117" s="8">
        <v>0</v>
      </c>
      <c r="G117" s="8">
        <v>0</v>
      </c>
      <c r="H117" s="8">
        <v>42</v>
      </c>
      <c r="I117" s="8">
        <v>0</v>
      </c>
      <c r="J117" s="8">
        <v>0</v>
      </c>
      <c r="K117" s="8">
        <v>0</v>
      </c>
      <c r="L117" s="8">
        <v>2</v>
      </c>
      <c r="M117" s="8"/>
      <c r="N117" s="8"/>
      <c r="O117" s="8"/>
      <c r="P117" s="9"/>
      <c r="Q117" s="10">
        <f t="shared" si="3"/>
        <v>44</v>
      </c>
    </row>
    <row r="118" spans="1:17" x14ac:dyDescent="0.25">
      <c r="A118" s="11" t="s">
        <v>20</v>
      </c>
      <c r="B118" s="12">
        <v>39927</v>
      </c>
      <c r="C118" s="12" t="s">
        <v>101</v>
      </c>
      <c r="D118" s="13" t="s">
        <v>91</v>
      </c>
      <c r="E118" s="12" t="s">
        <v>102</v>
      </c>
      <c r="F118" s="14">
        <v>24</v>
      </c>
      <c r="G118" s="14">
        <v>4</v>
      </c>
      <c r="H118" s="14">
        <v>56</v>
      </c>
      <c r="I118" s="14">
        <v>0</v>
      </c>
      <c r="J118" s="14">
        <v>36</v>
      </c>
      <c r="K118" s="14">
        <v>7</v>
      </c>
      <c r="L118" s="14">
        <v>21</v>
      </c>
      <c r="M118" s="14"/>
      <c r="N118" s="14"/>
      <c r="O118" s="14"/>
      <c r="P118" s="15"/>
      <c r="Q118" s="10">
        <f t="shared" si="3"/>
        <v>148</v>
      </c>
    </row>
    <row r="119" spans="1:17" x14ac:dyDescent="0.25">
      <c r="A119" s="11" t="s">
        <v>24</v>
      </c>
      <c r="B119" s="12">
        <v>39928</v>
      </c>
      <c r="C119" s="12" t="s">
        <v>25</v>
      </c>
      <c r="D119" s="13" t="s">
        <v>91</v>
      </c>
      <c r="E119" s="12"/>
      <c r="F119" s="14">
        <v>46</v>
      </c>
      <c r="G119" s="14">
        <v>9</v>
      </c>
      <c r="H119" s="14">
        <v>56</v>
      </c>
      <c r="I119" s="14">
        <v>1</v>
      </c>
      <c r="J119" s="14">
        <v>4</v>
      </c>
      <c r="K119" s="14">
        <v>2</v>
      </c>
      <c r="L119" s="14">
        <v>9</v>
      </c>
      <c r="M119" s="14"/>
      <c r="N119" s="14"/>
      <c r="O119" s="14"/>
      <c r="P119" s="15"/>
      <c r="Q119" s="10">
        <f t="shared" si="3"/>
        <v>127</v>
      </c>
    </row>
    <row r="120" spans="1:17" x14ac:dyDescent="0.25">
      <c r="A120" s="6" t="s">
        <v>26</v>
      </c>
      <c r="B120" s="7">
        <v>39929</v>
      </c>
      <c r="C120" s="7" t="s">
        <v>32</v>
      </c>
      <c r="D120" s="7" t="s">
        <v>88</v>
      </c>
      <c r="E120" s="7"/>
      <c r="F120" s="8">
        <v>33</v>
      </c>
      <c r="G120" s="8">
        <v>6</v>
      </c>
      <c r="H120" s="8">
        <v>40</v>
      </c>
      <c r="I120" s="8">
        <v>0</v>
      </c>
      <c r="J120" s="8">
        <v>0</v>
      </c>
      <c r="K120" s="8">
        <v>3</v>
      </c>
      <c r="L120" s="8">
        <v>4</v>
      </c>
      <c r="M120" s="8"/>
      <c r="N120" s="8"/>
      <c r="O120" s="8"/>
      <c r="P120" s="9"/>
      <c r="Q120" s="10">
        <f t="shared" si="3"/>
        <v>86</v>
      </c>
    </row>
    <row r="121" spans="1:17" x14ac:dyDescent="0.25">
      <c r="A121" s="6" t="s">
        <v>29</v>
      </c>
      <c r="B121" s="7">
        <v>39930</v>
      </c>
      <c r="C121" s="7" t="s">
        <v>25</v>
      </c>
      <c r="D121" s="7" t="s">
        <v>88</v>
      </c>
      <c r="E121" s="7"/>
      <c r="F121" s="8">
        <v>46</v>
      </c>
      <c r="G121" s="8">
        <v>2</v>
      </c>
      <c r="H121" s="8">
        <v>42</v>
      </c>
      <c r="I121" s="8">
        <v>1</v>
      </c>
      <c r="J121" s="8">
        <v>3</v>
      </c>
      <c r="K121" s="8">
        <v>2</v>
      </c>
      <c r="L121" s="8">
        <v>3</v>
      </c>
      <c r="M121" s="8"/>
      <c r="N121" s="8"/>
      <c r="O121" s="8"/>
      <c r="P121" s="9"/>
      <c r="Q121" s="10">
        <f t="shared" si="3"/>
        <v>99</v>
      </c>
    </row>
    <row r="122" spans="1:17" x14ac:dyDescent="0.25">
      <c r="A122" s="6" t="s">
        <v>31</v>
      </c>
      <c r="B122" s="7">
        <v>39931</v>
      </c>
      <c r="C122" s="7" t="s">
        <v>32</v>
      </c>
      <c r="D122" s="7" t="s">
        <v>88</v>
      </c>
      <c r="E122" s="7" t="s">
        <v>103</v>
      </c>
      <c r="F122" s="8">
        <v>23</v>
      </c>
      <c r="G122" s="8">
        <v>3</v>
      </c>
      <c r="H122" s="8">
        <v>75</v>
      </c>
      <c r="I122" s="8">
        <v>0</v>
      </c>
      <c r="J122" s="8">
        <v>2</v>
      </c>
      <c r="K122" s="8">
        <v>6</v>
      </c>
      <c r="L122" s="8">
        <v>0</v>
      </c>
      <c r="M122" s="8"/>
      <c r="N122" s="8"/>
      <c r="O122" s="8"/>
      <c r="P122" s="9"/>
      <c r="Q122" s="10">
        <f t="shared" si="3"/>
        <v>109</v>
      </c>
    </row>
    <row r="123" spans="1:17" x14ac:dyDescent="0.25">
      <c r="A123" s="6" t="s">
        <v>33</v>
      </c>
      <c r="B123" s="7">
        <v>39932</v>
      </c>
      <c r="C123" s="7" t="s">
        <v>32</v>
      </c>
      <c r="D123" s="7" t="s">
        <v>88</v>
      </c>
      <c r="E123" s="7" t="s">
        <v>104</v>
      </c>
      <c r="F123" s="8">
        <v>51</v>
      </c>
      <c r="G123" s="8">
        <v>3</v>
      </c>
      <c r="H123" s="8">
        <v>72</v>
      </c>
      <c r="I123" s="8">
        <v>0</v>
      </c>
      <c r="J123" s="8">
        <v>0</v>
      </c>
      <c r="K123" s="8">
        <v>2</v>
      </c>
      <c r="L123" s="8">
        <v>9</v>
      </c>
      <c r="M123" s="8"/>
      <c r="N123" s="8"/>
      <c r="O123" s="8"/>
      <c r="P123" s="9"/>
      <c r="Q123" s="10">
        <f t="shared" si="3"/>
        <v>137</v>
      </c>
    </row>
    <row r="124" spans="1:17" x14ac:dyDescent="0.25">
      <c r="A124" s="6" t="s">
        <v>17</v>
      </c>
      <c r="B124" s="7">
        <v>39933</v>
      </c>
      <c r="C124" s="7" t="s">
        <v>32</v>
      </c>
      <c r="D124" s="7" t="s">
        <v>88</v>
      </c>
      <c r="E124" s="7"/>
      <c r="F124" s="8">
        <v>38</v>
      </c>
      <c r="G124" s="8">
        <v>3</v>
      </c>
      <c r="H124" s="8">
        <v>51</v>
      </c>
      <c r="I124" s="8">
        <v>0</v>
      </c>
      <c r="J124" s="8">
        <v>1</v>
      </c>
      <c r="K124" s="8">
        <v>1</v>
      </c>
      <c r="L124" s="8">
        <v>2</v>
      </c>
      <c r="M124" s="8"/>
      <c r="N124" s="8"/>
      <c r="O124" s="8"/>
      <c r="P124" s="9"/>
      <c r="Q124" s="10">
        <f t="shared" si="3"/>
        <v>96</v>
      </c>
    </row>
    <row r="125" spans="1:17" x14ac:dyDescent="0.25">
      <c r="A125" s="7" t="s">
        <v>45</v>
      </c>
      <c r="B125" s="7"/>
      <c r="C125" s="7"/>
      <c r="D125" s="7"/>
      <c r="E125" s="7"/>
      <c r="F125" s="18">
        <f>SUM(F95:F124)</f>
        <v>953</v>
      </c>
      <c r="G125" s="18">
        <f t="shared" ref="G125:P125" si="5">SUM(G95:G124)</f>
        <v>103</v>
      </c>
      <c r="H125" s="18">
        <f t="shared" si="5"/>
        <v>1548</v>
      </c>
      <c r="I125" s="18">
        <f t="shared" si="5"/>
        <v>38</v>
      </c>
      <c r="J125" s="18">
        <f t="shared" si="5"/>
        <v>95</v>
      </c>
      <c r="K125" s="18">
        <f t="shared" si="5"/>
        <v>112</v>
      </c>
      <c r="L125" s="18">
        <f t="shared" si="5"/>
        <v>215</v>
      </c>
      <c r="M125" s="18">
        <f t="shared" si="5"/>
        <v>0</v>
      </c>
      <c r="N125" s="18">
        <f t="shared" si="5"/>
        <v>0</v>
      </c>
      <c r="O125" s="18">
        <f t="shared" si="5"/>
        <v>0</v>
      </c>
      <c r="P125" s="18">
        <f t="shared" si="5"/>
        <v>0</v>
      </c>
      <c r="Q125" s="17">
        <f>SUM(Q95:Q124)</f>
        <v>3064</v>
      </c>
    </row>
    <row r="126" spans="1:17" x14ac:dyDescent="0.25">
      <c r="A126" s="11" t="s">
        <v>20</v>
      </c>
      <c r="B126" s="12">
        <v>39934</v>
      </c>
      <c r="C126" s="12" t="s">
        <v>25</v>
      </c>
      <c r="D126" s="13" t="s">
        <v>91</v>
      </c>
      <c r="E126" s="12" t="s">
        <v>105</v>
      </c>
      <c r="F126" s="14">
        <v>21</v>
      </c>
      <c r="G126" s="14">
        <v>2</v>
      </c>
      <c r="H126" s="14">
        <v>71</v>
      </c>
      <c r="I126" s="14">
        <v>0</v>
      </c>
      <c r="J126" s="14">
        <v>3</v>
      </c>
      <c r="K126" s="14">
        <v>7</v>
      </c>
      <c r="L126" s="14">
        <v>6</v>
      </c>
      <c r="M126" s="14">
        <v>8</v>
      </c>
      <c r="N126" s="14">
        <v>0</v>
      </c>
      <c r="O126" s="14">
        <v>0</v>
      </c>
      <c r="P126" s="15">
        <v>0</v>
      </c>
      <c r="Q126" s="10">
        <f t="shared" si="3"/>
        <v>118</v>
      </c>
    </row>
    <row r="127" spans="1:17" x14ac:dyDescent="0.25">
      <c r="A127" s="11" t="s">
        <v>24</v>
      </c>
      <c r="B127" s="12">
        <v>39935</v>
      </c>
      <c r="C127" s="12" t="s">
        <v>25</v>
      </c>
      <c r="D127" s="13" t="s">
        <v>91</v>
      </c>
      <c r="E127" s="12"/>
      <c r="F127" s="14">
        <v>32</v>
      </c>
      <c r="G127" s="14">
        <v>4</v>
      </c>
      <c r="H127" s="14">
        <v>27</v>
      </c>
      <c r="I127" s="14">
        <v>0</v>
      </c>
      <c r="J127" s="14">
        <v>0</v>
      </c>
      <c r="K127" s="14">
        <v>5</v>
      </c>
      <c r="L127" s="14">
        <v>9</v>
      </c>
      <c r="M127" s="14">
        <v>12</v>
      </c>
      <c r="N127" s="14"/>
      <c r="O127" s="14"/>
      <c r="P127" s="15">
        <v>1</v>
      </c>
      <c r="Q127" s="10">
        <f t="shared" si="3"/>
        <v>90</v>
      </c>
    </row>
    <row r="128" spans="1:17" x14ac:dyDescent="0.25">
      <c r="A128" s="6" t="s">
        <v>26</v>
      </c>
      <c r="B128" s="7">
        <v>39936</v>
      </c>
      <c r="C128" s="7" t="s">
        <v>57</v>
      </c>
      <c r="D128" s="7" t="s">
        <v>27</v>
      </c>
      <c r="E128" s="7" t="s">
        <v>106</v>
      </c>
      <c r="F128" s="8">
        <v>25</v>
      </c>
      <c r="G128" s="8">
        <v>0</v>
      </c>
      <c r="H128" s="8">
        <v>62</v>
      </c>
      <c r="I128" s="8">
        <v>0</v>
      </c>
      <c r="J128" s="8">
        <v>0</v>
      </c>
      <c r="K128" s="8">
        <v>0</v>
      </c>
      <c r="L128" s="8">
        <v>24</v>
      </c>
      <c r="M128" s="8">
        <v>6</v>
      </c>
      <c r="N128" s="8"/>
      <c r="O128" s="8"/>
      <c r="P128" s="9">
        <v>3</v>
      </c>
      <c r="Q128" s="10">
        <f t="shared" si="3"/>
        <v>120</v>
      </c>
    </row>
    <row r="129" spans="1:17" x14ac:dyDescent="0.25">
      <c r="A129" s="6" t="s">
        <v>29</v>
      </c>
      <c r="B129" s="7">
        <v>39937</v>
      </c>
      <c r="C129" s="7" t="s">
        <v>57</v>
      </c>
      <c r="D129" s="7" t="s">
        <v>27</v>
      </c>
      <c r="E129" s="7" t="s">
        <v>107</v>
      </c>
      <c r="F129" s="8">
        <v>0</v>
      </c>
      <c r="G129" s="8">
        <v>0</v>
      </c>
      <c r="H129" s="8">
        <v>4</v>
      </c>
      <c r="I129" s="8">
        <v>0</v>
      </c>
      <c r="J129" s="8">
        <v>0</v>
      </c>
      <c r="K129" s="8">
        <v>0</v>
      </c>
      <c r="L129" s="8">
        <v>3</v>
      </c>
      <c r="M129" s="8">
        <v>1</v>
      </c>
      <c r="N129" s="8"/>
      <c r="O129" s="8"/>
      <c r="P129" s="9">
        <v>3</v>
      </c>
      <c r="Q129" s="10">
        <f t="shared" si="3"/>
        <v>11</v>
      </c>
    </row>
    <row r="130" spans="1:17" x14ac:dyDescent="0.25">
      <c r="A130" s="6" t="s">
        <v>31</v>
      </c>
      <c r="B130" s="7">
        <v>39938</v>
      </c>
      <c r="C130" s="7" t="s">
        <v>57</v>
      </c>
      <c r="D130" s="7" t="s">
        <v>27</v>
      </c>
      <c r="E130" s="7"/>
      <c r="F130" s="8">
        <v>1</v>
      </c>
      <c r="G130" s="8">
        <v>0</v>
      </c>
      <c r="H130" s="8">
        <v>11</v>
      </c>
      <c r="I130" s="8">
        <v>0</v>
      </c>
      <c r="J130" s="8">
        <v>0</v>
      </c>
      <c r="K130" s="8">
        <v>4</v>
      </c>
      <c r="L130" s="8">
        <v>23</v>
      </c>
      <c r="M130" s="8">
        <v>2</v>
      </c>
      <c r="N130" s="8">
        <v>2</v>
      </c>
      <c r="O130" s="8"/>
      <c r="P130" s="9">
        <v>3</v>
      </c>
      <c r="Q130" s="10">
        <f t="shared" si="3"/>
        <v>46</v>
      </c>
    </row>
    <row r="131" spans="1:17" x14ac:dyDescent="0.25">
      <c r="A131" s="6" t="s">
        <v>33</v>
      </c>
      <c r="B131" s="7">
        <v>39939</v>
      </c>
      <c r="C131" s="7" t="s">
        <v>25</v>
      </c>
      <c r="D131" s="7" t="s">
        <v>27</v>
      </c>
      <c r="E131" s="7" t="s">
        <v>108</v>
      </c>
      <c r="F131" s="8">
        <v>9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2</v>
      </c>
      <c r="M131" s="8"/>
      <c r="N131" s="8"/>
      <c r="O131" s="8">
        <v>77</v>
      </c>
      <c r="P131" s="9"/>
      <c r="Q131" s="10">
        <f t="shared" si="3"/>
        <v>88</v>
      </c>
    </row>
    <row r="132" spans="1:17" x14ac:dyDescent="0.25">
      <c r="A132" s="6" t="s">
        <v>17</v>
      </c>
      <c r="B132" s="7">
        <v>39940</v>
      </c>
      <c r="C132" s="7" t="s">
        <v>109</v>
      </c>
      <c r="D132" s="7" t="s">
        <v>27</v>
      </c>
      <c r="E132" s="7" t="s">
        <v>110</v>
      </c>
      <c r="F132" s="8">
        <v>36</v>
      </c>
      <c r="G132" s="8">
        <v>0</v>
      </c>
      <c r="H132" s="8">
        <v>87</v>
      </c>
      <c r="I132" s="8">
        <v>0</v>
      </c>
      <c r="J132" s="8">
        <v>0</v>
      </c>
      <c r="K132" s="8">
        <v>2</v>
      </c>
      <c r="L132" s="8">
        <v>21</v>
      </c>
      <c r="M132" s="8">
        <v>4</v>
      </c>
      <c r="N132" s="8">
        <v>2</v>
      </c>
      <c r="O132" s="8"/>
      <c r="P132" s="9">
        <v>1</v>
      </c>
      <c r="Q132" s="10">
        <f t="shared" si="3"/>
        <v>153</v>
      </c>
    </row>
    <row r="133" spans="1:17" x14ac:dyDescent="0.25">
      <c r="A133" s="11" t="s">
        <v>20</v>
      </c>
      <c r="B133" s="12">
        <v>39941</v>
      </c>
      <c r="C133" s="12" t="s">
        <v>109</v>
      </c>
      <c r="D133" s="13" t="s">
        <v>37</v>
      </c>
      <c r="E133" s="12" t="s">
        <v>111</v>
      </c>
      <c r="F133" s="14">
        <v>9</v>
      </c>
      <c r="G133" s="14">
        <v>0</v>
      </c>
      <c r="H133" s="14">
        <v>28</v>
      </c>
      <c r="I133" s="14">
        <v>0</v>
      </c>
      <c r="J133" s="14">
        <v>5</v>
      </c>
      <c r="K133" s="14">
        <v>0</v>
      </c>
      <c r="L133" s="14">
        <v>27</v>
      </c>
      <c r="M133" s="14">
        <v>2</v>
      </c>
      <c r="N133" s="14">
        <v>2</v>
      </c>
      <c r="O133" s="14">
        <v>0</v>
      </c>
      <c r="P133" s="15">
        <v>1</v>
      </c>
      <c r="Q133" s="10">
        <f t="shared" si="3"/>
        <v>74</v>
      </c>
    </row>
    <row r="134" spans="1:17" x14ac:dyDescent="0.25">
      <c r="A134" s="11" t="s">
        <v>24</v>
      </c>
      <c r="B134" s="12">
        <v>39942</v>
      </c>
      <c r="C134" s="12" t="s">
        <v>25</v>
      </c>
      <c r="D134" s="13" t="s">
        <v>37</v>
      </c>
      <c r="E134" s="12" t="s">
        <v>110</v>
      </c>
      <c r="F134" s="14">
        <v>20</v>
      </c>
      <c r="G134" s="14">
        <v>0</v>
      </c>
      <c r="H134" s="14">
        <v>55</v>
      </c>
      <c r="I134" s="14">
        <v>1</v>
      </c>
      <c r="J134" s="14">
        <v>0</v>
      </c>
      <c r="K134" s="14">
        <v>0</v>
      </c>
      <c r="L134" s="14">
        <v>23</v>
      </c>
      <c r="M134" s="14">
        <v>3</v>
      </c>
      <c r="N134" s="14">
        <v>0</v>
      </c>
      <c r="O134" s="14">
        <v>0</v>
      </c>
      <c r="P134" s="15">
        <v>2</v>
      </c>
      <c r="Q134" s="10">
        <f t="shared" si="3"/>
        <v>104</v>
      </c>
    </row>
    <row r="135" spans="1:17" x14ac:dyDescent="0.25">
      <c r="A135" s="6" t="s">
        <v>26</v>
      </c>
      <c r="B135" s="7">
        <v>39943</v>
      </c>
      <c r="C135" s="7" t="s">
        <v>25</v>
      </c>
      <c r="D135" s="7" t="s">
        <v>27</v>
      </c>
      <c r="E135" s="7"/>
      <c r="F135" s="8">
        <v>20</v>
      </c>
      <c r="G135" s="8">
        <v>2</v>
      </c>
      <c r="H135" s="8">
        <v>43</v>
      </c>
      <c r="I135" s="8">
        <v>0</v>
      </c>
      <c r="J135" s="8">
        <v>2</v>
      </c>
      <c r="K135" s="8">
        <v>0</v>
      </c>
      <c r="L135" s="8">
        <v>0</v>
      </c>
      <c r="M135" s="8">
        <v>7</v>
      </c>
      <c r="N135" s="8">
        <v>0</v>
      </c>
      <c r="O135" s="8">
        <v>0</v>
      </c>
      <c r="P135" s="9">
        <v>3</v>
      </c>
      <c r="Q135" s="10">
        <f t="shared" ref="Q135:Q200" si="6">SUM(F135:P135)</f>
        <v>77</v>
      </c>
    </row>
    <row r="136" spans="1:17" x14ac:dyDescent="0.25">
      <c r="A136" s="6" t="s">
        <v>29</v>
      </c>
      <c r="B136" s="7">
        <v>39944</v>
      </c>
      <c r="C136" s="7" t="s">
        <v>25</v>
      </c>
      <c r="D136" s="7" t="s">
        <v>27</v>
      </c>
      <c r="E136" s="7"/>
      <c r="F136" s="8">
        <v>32</v>
      </c>
      <c r="G136" s="8">
        <v>12</v>
      </c>
      <c r="H136" s="8">
        <v>51</v>
      </c>
      <c r="I136" s="8">
        <v>0</v>
      </c>
      <c r="J136" s="8">
        <v>1</v>
      </c>
      <c r="K136" s="8">
        <v>1</v>
      </c>
      <c r="L136" s="8">
        <v>0</v>
      </c>
      <c r="M136" s="8">
        <v>7</v>
      </c>
      <c r="N136" s="8">
        <v>0</v>
      </c>
      <c r="O136" s="8"/>
      <c r="P136" s="9">
        <v>2</v>
      </c>
      <c r="Q136" s="10">
        <f t="shared" si="6"/>
        <v>106</v>
      </c>
    </row>
    <row r="137" spans="1:17" x14ac:dyDescent="0.25">
      <c r="A137" s="6" t="s">
        <v>31</v>
      </c>
      <c r="B137" s="7">
        <v>39945</v>
      </c>
      <c r="C137" s="7" t="s">
        <v>112</v>
      </c>
      <c r="D137" s="7" t="s">
        <v>27</v>
      </c>
      <c r="E137" s="7"/>
      <c r="F137" s="8">
        <v>18</v>
      </c>
      <c r="G137" s="8">
        <v>2</v>
      </c>
      <c r="H137" s="8">
        <v>35</v>
      </c>
      <c r="I137" s="8">
        <v>1</v>
      </c>
      <c r="J137" s="8">
        <v>2</v>
      </c>
      <c r="K137" s="8">
        <v>0</v>
      </c>
      <c r="L137" s="8">
        <v>2</v>
      </c>
      <c r="M137" s="8">
        <v>17</v>
      </c>
      <c r="N137" s="8">
        <v>0</v>
      </c>
      <c r="O137" s="8"/>
      <c r="P137" s="9">
        <v>1</v>
      </c>
      <c r="Q137" s="10">
        <f t="shared" si="6"/>
        <v>78</v>
      </c>
    </row>
    <row r="138" spans="1:17" x14ac:dyDescent="0.25">
      <c r="A138" s="6" t="s">
        <v>33</v>
      </c>
      <c r="B138" s="7">
        <v>39946</v>
      </c>
      <c r="C138" s="7" t="s">
        <v>25</v>
      </c>
      <c r="D138" s="7" t="s">
        <v>27</v>
      </c>
      <c r="E138" s="7"/>
      <c r="F138" s="8">
        <v>22</v>
      </c>
      <c r="G138" s="8">
        <v>8</v>
      </c>
      <c r="H138" s="8">
        <v>88</v>
      </c>
      <c r="I138" s="8">
        <v>0</v>
      </c>
      <c r="J138" s="8">
        <v>1</v>
      </c>
      <c r="K138" s="8">
        <v>4</v>
      </c>
      <c r="L138" s="8">
        <v>8</v>
      </c>
      <c r="M138" s="8">
        <v>10</v>
      </c>
      <c r="N138" s="8">
        <v>4</v>
      </c>
      <c r="O138" s="8">
        <v>0</v>
      </c>
      <c r="P138" s="9">
        <v>2</v>
      </c>
      <c r="Q138" s="10">
        <f t="shared" si="6"/>
        <v>147</v>
      </c>
    </row>
    <row r="139" spans="1:17" x14ac:dyDescent="0.25">
      <c r="A139" s="6" t="s">
        <v>17</v>
      </c>
      <c r="B139" s="7">
        <v>39947</v>
      </c>
      <c r="C139" s="7" t="s">
        <v>25</v>
      </c>
      <c r="D139" s="7" t="s">
        <v>27</v>
      </c>
      <c r="E139" s="7" t="s">
        <v>113</v>
      </c>
      <c r="F139" s="8">
        <v>26</v>
      </c>
      <c r="G139" s="8">
        <v>32</v>
      </c>
      <c r="H139" s="8">
        <v>83</v>
      </c>
      <c r="I139" s="8">
        <v>0</v>
      </c>
      <c r="J139" s="8">
        <v>2</v>
      </c>
      <c r="K139" s="8">
        <v>6</v>
      </c>
      <c r="L139" s="8">
        <v>10</v>
      </c>
      <c r="M139" s="8">
        <v>11</v>
      </c>
      <c r="N139" s="8">
        <v>0</v>
      </c>
      <c r="O139" s="8">
        <v>0</v>
      </c>
      <c r="P139" s="9">
        <v>3</v>
      </c>
      <c r="Q139" s="10">
        <f t="shared" si="6"/>
        <v>173</v>
      </c>
    </row>
    <row r="140" spans="1:17" x14ac:dyDescent="0.25">
      <c r="A140" s="11" t="s">
        <v>20</v>
      </c>
      <c r="B140" s="12">
        <v>39948</v>
      </c>
      <c r="C140" s="12" t="s">
        <v>112</v>
      </c>
      <c r="D140" s="13" t="s">
        <v>37</v>
      </c>
      <c r="E140" s="12" t="s">
        <v>114</v>
      </c>
      <c r="F140" s="14">
        <v>11</v>
      </c>
      <c r="G140" s="14">
        <v>26</v>
      </c>
      <c r="H140" s="14">
        <v>53</v>
      </c>
      <c r="I140" s="14">
        <v>0</v>
      </c>
      <c r="J140" s="14">
        <v>2</v>
      </c>
      <c r="K140" s="14">
        <v>2</v>
      </c>
      <c r="L140" s="14">
        <v>8</v>
      </c>
      <c r="M140" s="14">
        <v>20</v>
      </c>
      <c r="N140" s="14">
        <v>2</v>
      </c>
      <c r="O140" s="14">
        <v>0</v>
      </c>
      <c r="P140" s="15">
        <v>0</v>
      </c>
      <c r="Q140" s="10">
        <f t="shared" si="6"/>
        <v>124</v>
      </c>
    </row>
    <row r="141" spans="1:17" x14ac:dyDescent="0.25">
      <c r="A141" s="11" t="s">
        <v>24</v>
      </c>
      <c r="B141" s="12">
        <v>39949</v>
      </c>
      <c r="C141" s="12" t="s">
        <v>32</v>
      </c>
      <c r="D141" s="13" t="s">
        <v>37</v>
      </c>
      <c r="E141" s="12" t="s">
        <v>115</v>
      </c>
      <c r="F141" s="14">
        <v>12</v>
      </c>
      <c r="G141" s="14">
        <v>2</v>
      </c>
      <c r="H141" s="14">
        <v>85</v>
      </c>
      <c r="I141" s="14">
        <v>0</v>
      </c>
      <c r="J141" s="14">
        <v>7</v>
      </c>
      <c r="K141" s="14">
        <v>4</v>
      </c>
      <c r="L141" s="14">
        <v>9</v>
      </c>
      <c r="M141" s="14">
        <v>11</v>
      </c>
      <c r="N141" s="14">
        <v>0</v>
      </c>
      <c r="O141" s="14">
        <v>0</v>
      </c>
      <c r="P141" s="15">
        <v>0</v>
      </c>
      <c r="Q141" s="10">
        <f t="shared" si="6"/>
        <v>130</v>
      </c>
    </row>
    <row r="142" spans="1:17" x14ac:dyDescent="0.25">
      <c r="A142" s="6" t="s">
        <v>26</v>
      </c>
      <c r="B142" s="7">
        <v>39950</v>
      </c>
      <c r="C142" s="7" t="s">
        <v>32</v>
      </c>
      <c r="D142" s="7" t="s">
        <v>27</v>
      </c>
      <c r="E142" s="7" t="s">
        <v>116</v>
      </c>
      <c r="F142" s="8">
        <v>47</v>
      </c>
      <c r="G142" s="8">
        <v>4</v>
      </c>
      <c r="H142" s="8">
        <v>64</v>
      </c>
      <c r="I142" s="8">
        <v>0</v>
      </c>
      <c r="J142" s="8">
        <v>1</v>
      </c>
      <c r="K142" s="8">
        <v>1</v>
      </c>
      <c r="L142" s="8">
        <v>5</v>
      </c>
      <c r="M142" s="8">
        <v>3</v>
      </c>
      <c r="N142" s="8">
        <v>0</v>
      </c>
      <c r="O142" s="8">
        <v>0</v>
      </c>
      <c r="P142" s="9">
        <v>0</v>
      </c>
      <c r="Q142" s="10">
        <f t="shared" si="6"/>
        <v>125</v>
      </c>
    </row>
    <row r="143" spans="1:17" x14ac:dyDescent="0.25">
      <c r="A143" s="6" t="s">
        <v>29</v>
      </c>
      <c r="B143" s="7">
        <v>39951</v>
      </c>
      <c r="C143" s="7" t="s">
        <v>32</v>
      </c>
      <c r="D143" s="7" t="s">
        <v>27</v>
      </c>
      <c r="E143" s="7"/>
      <c r="F143" s="8">
        <v>23</v>
      </c>
      <c r="G143" s="8">
        <v>4</v>
      </c>
      <c r="H143" s="8">
        <v>64</v>
      </c>
      <c r="I143" s="8">
        <v>0</v>
      </c>
      <c r="J143" s="8">
        <v>0</v>
      </c>
      <c r="K143" s="8">
        <v>3</v>
      </c>
      <c r="L143" s="8">
        <v>0</v>
      </c>
      <c r="M143" s="8">
        <v>8</v>
      </c>
      <c r="N143" s="8">
        <v>0</v>
      </c>
      <c r="O143" s="8">
        <v>0</v>
      </c>
      <c r="P143" s="9">
        <v>0</v>
      </c>
      <c r="Q143" s="10">
        <f t="shared" si="6"/>
        <v>102</v>
      </c>
    </row>
    <row r="144" spans="1:17" x14ac:dyDescent="0.25">
      <c r="A144" s="6" t="s">
        <v>31</v>
      </c>
      <c r="B144" s="7">
        <v>39952</v>
      </c>
      <c r="C144" s="7" t="s">
        <v>85</v>
      </c>
      <c r="D144" s="7" t="s">
        <v>27</v>
      </c>
      <c r="E144" s="7" t="s">
        <v>117</v>
      </c>
      <c r="F144" s="8">
        <v>7</v>
      </c>
      <c r="G144" s="8">
        <v>2</v>
      </c>
      <c r="H144" s="8">
        <v>41</v>
      </c>
      <c r="I144" s="8">
        <v>0</v>
      </c>
      <c r="J144" s="8">
        <v>0</v>
      </c>
      <c r="K144" s="8">
        <v>1</v>
      </c>
      <c r="L144" s="8">
        <v>0</v>
      </c>
      <c r="M144" s="8">
        <v>4</v>
      </c>
      <c r="N144" s="8">
        <v>0</v>
      </c>
      <c r="O144" s="8">
        <v>0</v>
      </c>
      <c r="P144" s="9">
        <v>0</v>
      </c>
      <c r="Q144" s="10">
        <f t="shared" si="6"/>
        <v>55</v>
      </c>
    </row>
    <row r="145" spans="1:17" x14ac:dyDescent="0.25">
      <c r="A145" s="6" t="s">
        <v>33</v>
      </c>
      <c r="B145" s="7">
        <v>39953</v>
      </c>
      <c r="C145" s="7" t="s">
        <v>25</v>
      </c>
      <c r="D145" s="7" t="s">
        <v>27</v>
      </c>
      <c r="E145" s="7"/>
      <c r="F145" s="8">
        <v>21</v>
      </c>
      <c r="G145" s="8">
        <v>5</v>
      </c>
      <c r="H145" s="8">
        <v>63</v>
      </c>
      <c r="I145" s="8">
        <v>0</v>
      </c>
      <c r="J145" s="8">
        <v>2</v>
      </c>
      <c r="K145" s="8">
        <v>4</v>
      </c>
      <c r="L145" s="8">
        <v>0</v>
      </c>
      <c r="M145" s="8">
        <v>7</v>
      </c>
      <c r="N145" s="8">
        <v>0</v>
      </c>
      <c r="O145" s="8">
        <v>0</v>
      </c>
      <c r="P145" s="9">
        <v>2</v>
      </c>
      <c r="Q145" s="10">
        <f t="shared" si="6"/>
        <v>104</v>
      </c>
    </row>
    <row r="146" spans="1:17" x14ac:dyDescent="0.25">
      <c r="A146" s="6" t="s">
        <v>17</v>
      </c>
      <c r="B146" s="7">
        <v>39954</v>
      </c>
      <c r="C146" s="7" t="s">
        <v>32</v>
      </c>
      <c r="D146" s="7" t="s">
        <v>27</v>
      </c>
      <c r="E146" s="7"/>
      <c r="F146" s="8">
        <v>30</v>
      </c>
      <c r="G146" s="8">
        <v>3</v>
      </c>
      <c r="H146" s="8">
        <v>83</v>
      </c>
      <c r="I146" s="8">
        <v>1</v>
      </c>
      <c r="J146" s="8">
        <v>1</v>
      </c>
      <c r="K146" s="8">
        <v>5</v>
      </c>
      <c r="L146" s="8">
        <v>3</v>
      </c>
      <c r="M146" s="8">
        <v>9</v>
      </c>
      <c r="N146" s="8">
        <v>2</v>
      </c>
      <c r="O146" s="8">
        <v>0</v>
      </c>
      <c r="P146" s="9">
        <v>2</v>
      </c>
      <c r="Q146" s="10">
        <f t="shared" si="6"/>
        <v>139</v>
      </c>
    </row>
    <row r="147" spans="1:17" x14ac:dyDescent="0.25">
      <c r="A147" s="11" t="s">
        <v>20</v>
      </c>
      <c r="B147" s="12">
        <v>39955</v>
      </c>
      <c r="C147" s="12" t="s">
        <v>32</v>
      </c>
      <c r="D147" s="13" t="s">
        <v>37</v>
      </c>
      <c r="E147" s="12" t="s">
        <v>118</v>
      </c>
      <c r="F147" s="14">
        <v>22</v>
      </c>
      <c r="G147" s="14">
        <v>7</v>
      </c>
      <c r="H147" s="14">
        <v>34</v>
      </c>
      <c r="I147" s="14">
        <v>2</v>
      </c>
      <c r="J147" s="14">
        <v>9</v>
      </c>
      <c r="K147" s="14">
        <v>1</v>
      </c>
      <c r="L147" s="14">
        <v>7</v>
      </c>
      <c r="M147" s="14">
        <v>18</v>
      </c>
      <c r="N147" s="14">
        <v>14</v>
      </c>
      <c r="O147" s="14">
        <v>0</v>
      </c>
      <c r="P147" s="15">
        <v>2</v>
      </c>
      <c r="Q147" s="10">
        <f t="shared" si="6"/>
        <v>116</v>
      </c>
    </row>
    <row r="148" spans="1:17" x14ac:dyDescent="0.25">
      <c r="A148" s="11" t="s">
        <v>24</v>
      </c>
      <c r="B148" s="12">
        <v>39956</v>
      </c>
      <c r="C148" s="12" t="s">
        <v>32</v>
      </c>
      <c r="D148" s="13" t="s">
        <v>37</v>
      </c>
      <c r="E148" s="12"/>
      <c r="F148" s="14">
        <v>7</v>
      </c>
      <c r="G148" s="14">
        <v>6</v>
      </c>
      <c r="H148" s="14">
        <v>51</v>
      </c>
      <c r="I148" s="14">
        <v>0</v>
      </c>
      <c r="J148" s="14">
        <v>0</v>
      </c>
      <c r="K148" s="14">
        <v>7</v>
      </c>
      <c r="L148" s="14">
        <v>11</v>
      </c>
      <c r="M148" s="14">
        <v>22</v>
      </c>
      <c r="N148" s="14">
        <v>0</v>
      </c>
      <c r="O148" s="14">
        <v>0</v>
      </c>
      <c r="P148" s="15">
        <v>4</v>
      </c>
      <c r="Q148" s="10">
        <f t="shared" si="6"/>
        <v>108</v>
      </c>
    </row>
    <row r="149" spans="1:17" x14ac:dyDescent="0.25">
      <c r="A149" s="6" t="s">
        <v>26</v>
      </c>
      <c r="B149" s="7">
        <v>39957</v>
      </c>
      <c r="C149" s="7" t="s">
        <v>32</v>
      </c>
      <c r="D149" s="7" t="s">
        <v>27</v>
      </c>
      <c r="E149" s="7"/>
      <c r="F149" s="8">
        <v>16</v>
      </c>
      <c r="G149" s="8">
        <v>4</v>
      </c>
      <c r="H149" s="8">
        <v>50</v>
      </c>
      <c r="I149" s="8">
        <v>2</v>
      </c>
      <c r="J149" s="8">
        <v>0</v>
      </c>
      <c r="K149" s="8">
        <v>6</v>
      </c>
      <c r="L149" s="8">
        <v>3</v>
      </c>
      <c r="M149" s="8">
        <v>16</v>
      </c>
      <c r="N149" s="8">
        <v>2</v>
      </c>
      <c r="O149" s="8">
        <v>0</v>
      </c>
      <c r="P149" s="9">
        <v>2</v>
      </c>
      <c r="Q149" s="10">
        <f t="shared" si="6"/>
        <v>101</v>
      </c>
    </row>
    <row r="150" spans="1:17" x14ac:dyDescent="0.25">
      <c r="A150" s="6" t="s">
        <v>29</v>
      </c>
      <c r="B150" s="7">
        <v>39958</v>
      </c>
      <c r="C150" s="7" t="s">
        <v>32</v>
      </c>
      <c r="D150" s="7" t="s">
        <v>27</v>
      </c>
      <c r="E150" s="7" t="s">
        <v>119</v>
      </c>
      <c r="F150" s="8">
        <v>42</v>
      </c>
      <c r="G150" s="8">
        <v>0</v>
      </c>
      <c r="H150" s="8">
        <v>49</v>
      </c>
      <c r="I150" s="8">
        <v>1</v>
      </c>
      <c r="J150" s="8">
        <v>2</v>
      </c>
      <c r="K150" s="8">
        <v>1</v>
      </c>
      <c r="L150" s="8">
        <v>0</v>
      </c>
      <c r="M150" s="8">
        <v>8</v>
      </c>
      <c r="N150" s="8">
        <v>2</v>
      </c>
      <c r="O150" s="8">
        <v>0</v>
      </c>
      <c r="P150" s="9">
        <v>4</v>
      </c>
      <c r="Q150" s="10">
        <f t="shared" si="6"/>
        <v>109</v>
      </c>
    </row>
    <row r="151" spans="1:17" x14ac:dyDescent="0.25">
      <c r="A151" s="6" t="s">
        <v>31</v>
      </c>
      <c r="B151" s="7">
        <v>39959</v>
      </c>
      <c r="C151" s="7" t="s">
        <v>32</v>
      </c>
      <c r="D151" s="7" t="s">
        <v>27</v>
      </c>
      <c r="E151" s="7"/>
      <c r="F151" s="8">
        <v>22</v>
      </c>
      <c r="G151" s="8">
        <v>0</v>
      </c>
      <c r="H151" s="8">
        <v>56</v>
      </c>
      <c r="I151" s="8">
        <v>1</v>
      </c>
      <c r="J151" s="8">
        <v>1</v>
      </c>
      <c r="K151" s="8">
        <v>5</v>
      </c>
      <c r="L151" s="8">
        <v>0</v>
      </c>
      <c r="M151" s="8">
        <v>4</v>
      </c>
      <c r="N151" s="8">
        <v>0</v>
      </c>
      <c r="O151" s="8">
        <v>0</v>
      </c>
      <c r="P151" s="9">
        <v>2</v>
      </c>
      <c r="Q151" s="10">
        <f t="shared" si="6"/>
        <v>91</v>
      </c>
    </row>
    <row r="152" spans="1:17" x14ac:dyDescent="0.25">
      <c r="A152" s="6" t="s">
        <v>33</v>
      </c>
      <c r="B152" s="7">
        <v>39960</v>
      </c>
      <c r="C152" s="7" t="s">
        <v>32</v>
      </c>
      <c r="D152" s="7" t="s">
        <v>27</v>
      </c>
      <c r="E152" s="7" t="s">
        <v>80</v>
      </c>
      <c r="F152" s="8">
        <v>13</v>
      </c>
      <c r="G152" s="8">
        <v>7</v>
      </c>
      <c r="H152" s="8">
        <v>48</v>
      </c>
      <c r="I152" s="8">
        <v>0</v>
      </c>
      <c r="J152" s="8">
        <v>7</v>
      </c>
      <c r="K152" s="8">
        <v>11</v>
      </c>
      <c r="L152" s="8">
        <v>8</v>
      </c>
      <c r="M152" s="8">
        <v>3</v>
      </c>
      <c r="N152" s="8">
        <v>5</v>
      </c>
      <c r="O152" s="8">
        <v>0</v>
      </c>
      <c r="P152" s="9">
        <v>3</v>
      </c>
      <c r="Q152" s="10">
        <f t="shared" si="6"/>
        <v>105</v>
      </c>
    </row>
    <row r="153" spans="1:17" x14ac:dyDescent="0.25">
      <c r="A153" s="6" t="s">
        <v>17</v>
      </c>
      <c r="B153" s="7">
        <v>39961</v>
      </c>
      <c r="C153" s="7" t="s">
        <v>18</v>
      </c>
      <c r="D153" s="7" t="s">
        <v>27</v>
      </c>
      <c r="E153" s="7" t="s">
        <v>120</v>
      </c>
      <c r="F153" s="8">
        <v>34</v>
      </c>
      <c r="G153" s="8">
        <v>2</v>
      </c>
      <c r="H153" s="8">
        <v>70</v>
      </c>
      <c r="I153" s="8">
        <v>0</v>
      </c>
      <c r="J153" s="8">
        <v>4</v>
      </c>
      <c r="K153" s="8">
        <v>8</v>
      </c>
      <c r="L153" s="8">
        <v>2</v>
      </c>
      <c r="M153" s="8">
        <v>1</v>
      </c>
      <c r="N153" s="8">
        <v>6</v>
      </c>
      <c r="O153" s="8">
        <v>0</v>
      </c>
      <c r="P153" s="9">
        <v>4</v>
      </c>
      <c r="Q153" s="10">
        <f t="shared" si="6"/>
        <v>131</v>
      </c>
    </row>
    <row r="154" spans="1:17" x14ac:dyDescent="0.25">
      <c r="A154" s="11" t="s">
        <v>20</v>
      </c>
      <c r="B154" s="12">
        <v>39962</v>
      </c>
      <c r="C154" s="12" t="s">
        <v>81</v>
      </c>
      <c r="D154" s="13" t="s">
        <v>37</v>
      </c>
      <c r="E154" s="12" t="s">
        <v>80</v>
      </c>
      <c r="F154" s="14">
        <v>10</v>
      </c>
      <c r="G154" s="14">
        <v>0</v>
      </c>
      <c r="H154" s="14">
        <v>38</v>
      </c>
      <c r="I154" s="14">
        <v>8</v>
      </c>
      <c r="J154" s="14">
        <v>4</v>
      </c>
      <c r="K154" s="14">
        <v>1</v>
      </c>
      <c r="L154" s="14">
        <v>12</v>
      </c>
      <c r="M154" s="14">
        <v>3</v>
      </c>
      <c r="N154" s="14">
        <v>0</v>
      </c>
      <c r="O154" s="14">
        <v>0</v>
      </c>
      <c r="P154" s="15">
        <v>1</v>
      </c>
      <c r="Q154" s="10">
        <f t="shared" si="6"/>
        <v>77</v>
      </c>
    </row>
    <row r="155" spans="1:17" x14ac:dyDescent="0.25">
      <c r="A155" s="11" t="s">
        <v>24</v>
      </c>
      <c r="B155" s="12">
        <v>39963</v>
      </c>
      <c r="C155" s="12" t="s">
        <v>81</v>
      </c>
      <c r="D155" s="13" t="s">
        <v>37</v>
      </c>
      <c r="E155" s="12"/>
      <c r="F155" s="14">
        <v>14</v>
      </c>
      <c r="G155" s="14">
        <v>4</v>
      </c>
      <c r="H155" s="14">
        <v>40</v>
      </c>
      <c r="I155" s="14">
        <v>0</v>
      </c>
      <c r="J155" s="14">
        <v>0</v>
      </c>
      <c r="K155" s="14">
        <v>4</v>
      </c>
      <c r="L155" s="14">
        <v>2</v>
      </c>
      <c r="M155" s="14">
        <v>2</v>
      </c>
      <c r="N155" s="14">
        <v>5</v>
      </c>
      <c r="O155" s="14">
        <v>0</v>
      </c>
      <c r="P155" s="15">
        <v>0</v>
      </c>
      <c r="Q155" s="10">
        <f t="shared" si="6"/>
        <v>71</v>
      </c>
    </row>
    <row r="156" spans="1:17" x14ac:dyDescent="0.25">
      <c r="A156" s="6" t="s">
        <v>26</v>
      </c>
      <c r="B156" s="7">
        <v>39964</v>
      </c>
      <c r="C156" s="7" t="s">
        <v>121</v>
      </c>
      <c r="D156" s="7" t="s">
        <v>27</v>
      </c>
      <c r="E156" s="7" t="s">
        <v>122</v>
      </c>
      <c r="F156" s="8">
        <v>27</v>
      </c>
      <c r="G156" s="8">
        <v>2</v>
      </c>
      <c r="H156" s="8">
        <v>60</v>
      </c>
      <c r="I156" s="8">
        <v>5</v>
      </c>
      <c r="J156" s="8">
        <v>0</v>
      </c>
      <c r="K156" s="8">
        <v>3</v>
      </c>
      <c r="L156" s="8">
        <v>10</v>
      </c>
      <c r="M156" s="8">
        <v>3</v>
      </c>
      <c r="N156" s="8">
        <v>8</v>
      </c>
      <c r="O156" s="8">
        <v>0</v>
      </c>
      <c r="P156" s="9">
        <v>2</v>
      </c>
      <c r="Q156" s="10">
        <f t="shared" si="6"/>
        <v>120</v>
      </c>
    </row>
    <row r="157" spans="1:17" x14ac:dyDescent="0.25">
      <c r="A157" s="7" t="s">
        <v>45</v>
      </c>
      <c r="B157" s="7"/>
      <c r="C157" s="7"/>
      <c r="D157" s="7"/>
      <c r="E157" s="7"/>
      <c r="F157" s="18">
        <f>SUM(F126:F156)</f>
        <v>629</v>
      </c>
      <c r="G157" s="18">
        <f t="shared" ref="G157:M157" si="7">SUM(G126:G156)</f>
        <v>140</v>
      </c>
      <c r="H157" s="18">
        <f t="shared" si="7"/>
        <v>1594</v>
      </c>
      <c r="I157" s="18">
        <f t="shared" si="7"/>
        <v>22</v>
      </c>
      <c r="J157" s="18">
        <f t="shared" si="7"/>
        <v>56</v>
      </c>
      <c r="K157" s="18">
        <f t="shared" si="7"/>
        <v>96</v>
      </c>
      <c r="L157" s="18">
        <f t="shared" si="7"/>
        <v>238</v>
      </c>
      <c r="M157" s="18">
        <f t="shared" si="7"/>
        <v>232</v>
      </c>
      <c r="N157" s="18">
        <f>SUM(N126:N156)</f>
        <v>56</v>
      </c>
      <c r="O157" s="18">
        <f>SUM(O126:O156)</f>
        <v>77</v>
      </c>
      <c r="P157" s="18">
        <f>SUM(P126:P156)</f>
        <v>53</v>
      </c>
      <c r="Q157" s="17">
        <f>SUM(Q126:Q156)</f>
        <v>3193</v>
      </c>
    </row>
    <row r="158" spans="1:17" x14ac:dyDescent="0.25">
      <c r="A158" s="6" t="s">
        <v>29</v>
      </c>
      <c r="B158" s="7">
        <v>39965</v>
      </c>
      <c r="C158" s="7" t="s">
        <v>32</v>
      </c>
      <c r="D158" s="7" t="s">
        <v>27</v>
      </c>
      <c r="E158" s="7"/>
      <c r="F158" s="8">
        <v>24</v>
      </c>
      <c r="G158" s="8">
        <v>4</v>
      </c>
      <c r="H158" s="8">
        <v>44</v>
      </c>
      <c r="I158" s="8">
        <v>1</v>
      </c>
      <c r="J158" s="8">
        <v>3</v>
      </c>
      <c r="K158" s="8">
        <v>2</v>
      </c>
      <c r="L158" s="8">
        <v>3</v>
      </c>
      <c r="M158" s="8">
        <v>4</v>
      </c>
      <c r="N158" s="8">
        <v>10</v>
      </c>
      <c r="O158" s="8">
        <v>0</v>
      </c>
      <c r="P158" s="9">
        <v>3</v>
      </c>
      <c r="Q158" s="10">
        <f t="shared" si="6"/>
        <v>98</v>
      </c>
    </row>
    <row r="159" spans="1:17" x14ac:dyDescent="0.25">
      <c r="A159" s="6" t="s">
        <v>31</v>
      </c>
      <c r="B159" s="7">
        <v>39966</v>
      </c>
      <c r="C159" s="7" t="s">
        <v>32</v>
      </c>
      <c r="D159" s="7" t="s">
        <v>27</v>
      </c>
      <c r="E159" s="7"/>
      <c r="F159" s="8">
        <v>20</v>
      </c>
      <c r="G159" s="8">
        <v>4</v>
      </c>
      <c r="H159" s="8">
        <v>84</v>
      </c>
      <c r="I159" s="8">
        <v>0</v>
      </c>
      <c r="J159" s="8">
        <v>1</v>
      </c>
      <c r="K159" s="8">
        <v>13</v>
      </c>
      <c r="L159" s="8">
        <v>0</v>
      </c>
      <c r="M159" s="8">
        <v>7</v>
      </c>
      <c r="N159" s="8">
        <v>6</v>
      </c>
      <c r="O159" s="8">
        <v>0</v>
      </c>
      <c r="P159" s="9">
        <v>2</v>
      </c>
      <c r="Q159" s="10">
        <f t="shared" si="6"/>
        <v>137</v>
      </c>
    </row>
    <row r="160" spans="1:17" x14ac:dyDescent="0.25">
      <c r="A160" s="6" t="s">
        <v>33</v>
      </c>
      <c r="B160" s="7">
        <v>39967</v>
      </c>
      <c r="C160" s="7" t="s">
        <v>32</v>
      </c>
      <c r="D160" s="7" t="s">
        <v>27</v>
      </c>
      <c r="E160" s="7" t="s">
        <v>123</v>
      </c>
      <c r="F160" s="8">
        <v>18</v>
      </c>
      <c r="G160" s="8">
        <v>5</v>
      </c>
      <c r="H160" s="8">
        <v>90</v>
      </c>
      <c r="I160" s="8">
        <v>0</v>
      </c>
      <c r="J160" s="8">
        <v>1</v>
      </c>
      <c r="K160" s="8">
        <v>11</v>
      </c>
      <c r="L160" s="8">
        <v>3</v>
      </c>
      <c r="M160" s="8">
        <v>14</v>
      </c>
      <c r="N160" s="8">
        <v>6</v>
      </c>
      <c r="O160" s="8">
        <v>0</v>
      </c>
      <c r="P160" s="9">
        <v>4</v>
      </c>
      <c r="Q160" s="10">
        <f t="shared" si="6"/>
        <v>152</v>
      </c>
    </row>
    <row r="161" spans="1:17" x14ac:dyDescent="0.25">
      <c r="A161" s="6" t="s">
        <v>17</v>
      </c>
      <c r="B161" s="7">
        <v>39968</v>
      </c>
      <c r="C161" s="7" t="s">
        <v>32</v>
      </c>
      <c r="D161" s="7" t="s">
        <v>27</v>
      </c>
      <c r="E161" s="7" t="s">
        <v>124</v>
      </c>
      <c r="F161" s="8">
        <v>34</v>
      </c>
      <c r="G161" s="8">
        <v>6</v>
      </c>
      <c r="H161" s="8">
        <v>66</v>
      </c>
      <c r="I161" s="8">
        <v>0</v>
      </c>
      <c r="J161" s="8">
        <v>2</v>
      </c>
      <c r="K161" s="8">
        <v>11</v>
      </c>
      <c r="L161" s="8">
        <v>3</v>
      </c>
      <c r="M161" s="8">
        <v>5</v>
      </c>
      <c r="N161" s="8">
        <v>4</v>
      </c>
      <c r="O161" s="8">
        <v>0</v>
      </c>
      <c r="P161" s="9">
        <v>7</v>
      </c>
      <c r="Q161" s="10">
        <f t="shared" si="6"/>
        <v>138</v>
      </c>
    </row>
    <row r="162" spans="1:17" x14ac:dyDescent="0.25">
      <c r="A162" s="11" t="s">
        <v>20</v>
      </c>
      <c r="B162" s="12">
        <v>39969</v>
      </c>
      <c r="C162" s="12" t="s">
        <v>32</v>
      </c>
      <c r="D162" s="13" t="s">
        <v>37</v>
      </c>
      <c r="E162" s="12"/>
      <c r="F162" s="14">
        <v>9</v>
      </c>
      <c r="G162" s="14">
        <v>2</v>
      </c>
      <c r="H162" s="14">
        <v>56</v>
      </c>
      <c r="I162" s="14">
        <v>0</v>
      </c>
      <c r="J162" s="14">
        <v>0</v>
      </c>
      <c r="K162" s="14">
        <v>1</v>
      </c>
      <c r="L162" s="14">
        <v>1</v>
      </c>
      <c r="M162" s="14">
        <v>2</v>
      </c>
      <c r="N162" s="14">
        <v>14</v>
      </c>
      <c r="O162" s="14">
        <v>0</v>
      </c>
      <c r="P162" s="15">
        <v>5</v>
      </c>
      <c r="Q162" s="10">
        <f t="shared" si="6"/>
        <v>90</v>
      </c>
    </row>
    <row r="163" spans="1:17" x14ac:dyDescent="0.25">
      <c r="A163" s="11" t="s">
        <v>24</v>
      </c>
      <c r="B163" s="12">
        <v>39970</v>
      </c>
      <c r="C163" s="12" t="s">
        <v>32</v>
      </c>
      <c r="D163" s="13" t="s">
        <v>37</v>
      </c>
      <c r="E163" s="12" t="s">
        <v>125</v>
      </c>
      <c r="F163" s="14">
        <v>66</v>
      </c>
      <c r="G163" s="14">
        <v>0</v>
      </c>
      <c r="H163" s="14">
        <v>10</v>
      </c>
      <c r="I163" s="14">
        <v>0</v>
      </c>
      <c r="J163" s="14">
        <v>0</v>
      </c>
      <c r="K163" s="14">
        <v>14</v>
      </c>
      <c r="L163" s="14">
        <v>0</v>
      </c>
      <c r="M163" s="14">
        <v>0</v>
      </c>
      <c r="N163" s="14">
        <v>1</v>
      </c>
      <c r="O163" s="14">
        <v>34</v>
      </c>
      <c r="P163" s="15">
        <v>0</v>
      </c>
      <c r="Q163" s="10">
        <f t="shared" si="6"/>
        <v>125</v>
      </c>
    </row>
    <row r="164" spans="1:17" x14ac:dyDescent="0.25">
      <c r="A164" s="6" t="s">
        <v>26</v>
      </c>
      <c r="B164" s="7">
        <v>39971</v>
      </c>
      <c r="C164" s="7" t="s">
        <v>126</v>
      </c>
      <c r="D164" s="7" t="s">
        <v>27</v>
      </c>
      <c r="E164" s="7"/>
      <c r="F164" s="8">
        <v>17</v>
      </c>
      <c r="G164" s="8">
        <v>0</v>
      </c>
      <c r="H164" s="8">
        <v>48</v>
      </c>
      <c r="I164" s="8">
        <v>3</v>
      </c>
      <c r="J164" s="8">
        <v>0</v>
      </c>
      <c r="K164" s="8">
        <v>10</v>
      </c>
      <c r="L164" s="8">
        <v>2</v>
      </c>
      <c r="M164" s="8">
        <v>2</v>
      </c>
      <c r="N164" s="8">
        <v>0</v>
      </c>
      <c r="O164" s="8">
        <v>0</v>
      </c>
      <c r="P164" s="9">
        <v>10</v>
      </c>
      <c r="Q164" s="10">
        <f t="shared" si="6"/>
        <v>92</v>
      </c>
    </row>
    <row r="165" spans="1:17" x14ac:dyDescent="0.25">
      <c r="A165" s="6" t="s">
        <v>29</v>
      </c>
      <c r="B165" s="7">
        <v>39972</v>
      </c>
      <c r="C165" s="7" t="s">
        <v>25</v>
      </c>
      <c r="D165" s="7" t="s">
        <v>27</v>
      </c>
      <c r="E165" s="7" t="s">
        <v>127</v>
      </c>
      <c r="F165" s="8">
        <v>43</v>
      </c>
      <c r="G165" s="8">
        <v>2</v>
      </c>
      <c r="H165" s="8">
        <v>44</v>
      </c>
      <c r="I165" s="8">
        <v>2</v>
      </c>
      <c r="J165" s="8">
        <v>1</v>
      </c>
      <c r="K165" s="8">
        <v>4</v>
      </c>
      <c r="L165" s="8">
        <v>10</v>
      </c>
      <c r="M165" s="8">
        <v>7</v>
      </c>
      <c r="N165" s="8">
        <v>6</v>
      </c>
      <c r="O165" s="8">
        <v>13</v>
      </c>
      <c r="P165" s="9">
        <v>1</v>
      </c>
      <c r="Q165" s="10">
        <f t="shared" si="6"/>
        <v>133</v>
      </c>
    </row>
    <row r="166" spans="1:17" x14ac:dyDescent="0.25">
      <c r="A166" s="6" t="s">
        <v>31</v>
      </c>
      <c r="B166" s="7">
        <v>39973</v>
      </c>
      <c r="C166" s="7" t="s">
        <v>48</v>
      </c>
      <c r="D166" s="7" t="s">
        <v>27</v>
      </c>
      <c r="E166" s="7"/>
      <c r="F166" s="8">
        <v>26</v>
      </c>
      <c r="G166" s="8">
        <v>13</v>
      </c>
      <c r="H166" s="8">
        <v>35</v>
      </c>
      <c r="I166" s="8">
        <v>0</v>
      </c>
      <c r="J166" s="8">
        <v>2</v>
      </c>
      <c r="K166" s="8">
        <v>3</v>
      </c>
      <c r="L166" s="8">
        <v>9</v>
      </c>
      <c r="M166" s="8">
        <v>7</v>
      </c>
      <c r="N166" s="8">
        <v>0</v>
      </c>
      <c r="O166" s="8">
        <v>0</v>
      </c>
      <c r="P166" s="9">
        <v>10</v>
      </c>
      <c r="Q166" s="10">
        <f t="shared" si="6"/>
        <v>105</v>
      </c>
    </row>
    <row r="167" spans="1:17" x14ac:dyDescent="0.25">
      <c r="A167" s="6" t="s">
        <v>33</v>
      </c>
      <c r="B167" s="7">
        <v>39974</v>
      </c>
      <c r="C167" s="7" t="s">
        <v>48</v>
      </c>
      <c r="D167" s="7" t="s">
        <v>27</v>
      </c>
      <c r="E167" s="7"/>
      <c r="F167" s="8">
        <v>14</v>
      </c>
      <c r="G167" s="8">
        <v>7</v>
      </c>
      <c r="H167" s="8">
        <v>21</v>
      </c>
      <c r="I167" s="8">
        <v>4</v>
      </c>
      <c r="J167" s="8">
        <v>2</v>
      </c>
      <c r="K167" s="8">
        <v>10</v>
      </c>
      <c r="L167" s="8">
        <v>4</v>
      </c>
      <c r="M167" s="8">
        <v>8</v>
      </c>
      <c r="N167" s="8">
        <v>4</v>
      </c>
      <c r="O167" s="8">
        <v>0</v>
      </c>
      <c r="P167" s="9">
        <v>3</v>
      </c>
      <c r="Q167" s="10">
        <f t="shared" si="6"/>
        <v>77</v>
      </c>
    </row>
    <row r="168" spans="1:17" x14ac:dyDescent="0.25">
      <c r="A168" s="6" t="s">
        <v>17</v>
      </c>
      <c r="B168" s="7">
        <v>39975</v>
      </c>
      <c r="C168" s="7" t="s">
        <v>25</v>
      </c>
      <c r="D168" s="7" t="s">
        <v>27</v>
      </c>
      <c r="E168" s="7" t="s">
        <v>128</v>
      </c>
      <c r="F168" s="8">
        <v>49</v>
      </c>
      <c r="G168" s="8">
        <v>4</v>
      </c>
      <c r="H168" s="8">
        <v>57</v>
      </c>
      <c r="I168" s="8">
        <v>0</v>
      </c>
      <c r="J168" s="8">
        <v>0</v>
      </c>
      <c r="K168" s="8">
        <v>7</v>
      </c>
      <c r="L168" s="8">
        <v>3</v>
      </c>
      <c r="M168" s="8">
        <v>7</v>
      </c>
      <c r="N168" s="8">
        <v>2</v>
      </c>
      <c r="O168" s="8">
        <v>0</v>
      </c>
      <c r="P168" s="9">
        <v>2</v>
      </c>
      <c r="Q168" s="10">
        <f t="shared" si="6"/>
        <v>131</v>
      </c>
    </row>
    <row r="169" spans="1:17" x14ac:dyDescent="0.25">
      <c r="A169" s="11" t="s">
        <v>20</v>
      </c>
      <c r="B169" s="12">
        <v>39976</v>
      </c>
      <c r="C169" s="12" t="s">
        <v>25</v>
      </c>
      <c r="D169" s="13" t="s">
        <v>37</v>
      </c>
      <c r="E169" s="12"/>
      <c r="F169" s="14">
        <v>14</v>
      </c>
      <c r="G169" s="14">
        <v>4</v>
      </c>
      <c r="H169" s="14">
        <v>22</v>
      </c>
      <c r="I169" s="14">
        <v>0</v>
      </c>
      <c r="J169" s="14">
        <v>6</v>
      </c>
      <c r="K169" s="14">
        <v>3</v>
      </c>
      <c r="L169" s="14">
        <v>16</v>
      </c>
      <c r="M169" s="14">
        <v>4</v>
      </c>
      <c r="N169" s="14">
        <v>0</v>
      </c>
      <c r="O169" s="14">
        <v>0</v>
      </c>
      <c r="P169" s="15">
        <v>0</v>
      </c>
      <c r="Q169" s="10">
        <f t="shared" si="6"/>
        <v>69</v>
      </c>
    </row>
    <row r="170" spans="1:17" x14ac:dyDescent="0.25">
      <c r="A170" s="11" t="s">
        <v>24</v>
      </c>
      <c r="B170" s="12">
        <v>39977</v>
      </c>
      <c r="C170" s="12" t="s">
        <v>32</v>
      </c>
      <c r="D170" s="13" t="s">
        <v>37</v>
      </c>
      <c r="E170" s="12" t="s">
        <v>129</v>
      </c>
      <c r="F170" s="14">
        <v>53</v>
      </c>
      <c r="G170" s="14">
        <v>0</v>
      </c>
      <c r="H170" s="14">
        <v>12</v>
      </c>
      <c r="I170" s="14">
        <v>0</v>
      </c>
      <c r="J170" s="14">
        <v>0</v>
      </c>
      <c r="K170" s="14">
        <v>5</v>
      </c>
      <c r="L170" s="14">
        <v>0</v>
      </c>
      <c r="M170" s="14">
        <v>0</v>
      </c>
      <c r="N170" s="14">
        <v>0</v>
      </c>
      <c r="O170" s="14">
        <v>46</v>
      </c>
      <c r="P170" s="15">
        <v>0</v>
      </c>
      <c r="Q170" s="10">
        <f t="shared" si="6"/>
        <v>116</v>
      </c>
    </row>
    <row r="171" spans="1:17" x14ac:dyDescent="0.25">
      <c r="A171" s="6" t="s">
        <v>26</v>
      </c>
      <c r="B171" s="7">
        <v>39978</v>
      </c>
      <c r="C171" s="7" t="s">
        <v>112</v>
      </c>
      <c r="D171" s="7" t="s">
        <v>27</v>
      </c>
      <c r="E171" s="7"/>
      <c r="F171" s="8">
        <v>33</v>
      </c>
      <c r="G171" s="8">
        <v>2</v>
      </c>
      <c r="H171" s="8">
        <v>44</v>
      </c>
      <c r="I171" s="8">
        <v>0</v>
      </c>
      <c r="J171" s="8">
        <v>0</v>
      </c>
      <c r="K171" s="8">
        <v>7</v>
      </c>
      <c r="L171" s="8">
        <v>5</v>
      </c>
      <c r="M171" s="8">
        <v>7</v>
      </c>
      <c r="N171" s="8">
        <v>2</v>
      </c>
      <c r="O171" s="8">
        <v>0</v>
      </c>
      <c r="P171" s="9">
        <v>4</v>
      </c>
      <c r="Q171" s="10">
        <f t="shared" si="6"/>
        <v>104</v>
      </c>
    </row>
    <row r="172" spans="1:17" x14ac:dyDescent="0.25">
      <c r="A172" s="6" t="s">
        <v>29</v>
      </c>
      <c r="B172" s="7">
        <v>39979</v>
      </c>
      <c r="C172" s="7" t="s">
        <v>112</v>
      </c>
      <c r="D172" s="7" t="s">
        <v>27</v>
      </c>
      <c r="E172" s="7" t="s">
        <v>130</v>
      </c>
      <c r="F172" s="8">
        <v>0</v>
      </c>
      <c r="G172" s="8">
        <v>0</v>
      </c>
      <c r="H172" s="8">
        <v>8</v>
      </c>
      <c r="I172" s="8">
        <v>0</v>
      </c>
      <c r="J172" s="8">
        <v>0</v>
      </c>
      <c r="K172" s="8">
        <v>0</v>
      </c>
      <c r="L172" s="8">
        <v>2</v>
      </c>
      <c r="M172" s="8">
        <v>0</v>
      </c>
      <c r="N172" s="8">
        <v>0</v>
      </c>
      <c r="O172" s="8">
        <v>0</v>
      </c>
      <c r="P172" s="9">
        <v>0</v>
      </c>
      <c r="Q172" s="10">
        <f t="shared" si="6"/>
        <v>10</v>
      </c>
    </row>
    <row r="173" spans="1:17" x14ac:dyDescent="0.25">
      <c r="A173" s="6" t="s">
        <v>31</v>
      </c>
      <c r="B173" s="7">
        <v>39980</v>
      </c>
      <c r="C173" s="7" t="s">
        <v>112</v>
      </c>
      <c r="D173" s="7" t="s">
        <v>27</v>
      </c>
      <c r="E173" s="7" t="s">
        <v>131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9">
        <v>0</v>
      </c>
      <c r="Q173" s="10">
        <f t="shared" si="6"/>
        <v>0</v>
      </c>
    </row>
    <row r="174" spans="1:17" x14ac:dyDescent="0.25">
      <c r="A174" s="6" t="s">
        <v>33</v>
      </c>
      <c r="B174" s="7">
        <v>39981</v>
      </c>
      <c r="C174" s="7" t="s">
        <v>112</v>
      </c>
      <c r="D174" s="7" t="s">
        <v>27</v>
      </c>
      <c r="E174" s="7" t="s">
        <v>131</v>
      </c>
      <c r="F174" s="8">
        <v>2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9">
        <v>0</v>
      </c>
      <c r="Q174" s="10">
        <f t="shared" si="6"/>
        <v>2</v>
      </c>
    </row>
    <row r="175" spans="1:17" x14ac:dyDescent="0.25">
      <c r="A175" s="6" t="s">
        <v>17</v>
      </c>
      <c r="B175" s="7">
        <v>39982</v>
      </c>
      <c r="C175" s="7" t="s">
        <v>32</v>
      </c>
      <c r="D175" s="7" t="s">
        <v>27</v>
      </c>
      <c r="E175" s="7" t="s">
        <v>132</v>
      </c>
      <c r="F175" s="8">
        <v>6</v>
      </c>
      <c r="G175" s="8">
        <v>0</v>
      </c>
      <c r="H175" s="8">
        <v>18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9">
        <v>0</v>
      </c>
      <c r="Q175" s="10">
        <f t="shared" si="6"/>
        <v>24</v>
      </c>
    </row>
    <row r="176" spans="1:17" x14ac:dyDescent="0.25">
      <c r="A176" s="11" t="s">
        <v>20</v>
      </c>
      <c r="B176" s="12">
        <v>39983</v>
      </c>
      <c r="C176" s="12" t="s">
        <v>81</v>
      </c>
      <c r="D176" s="13" t="s">
        <v>37</v>
      </c>
      <c r="E176" s="12"/>
      <c r="F176" s="14">
        <v>12</v>
      </c>
      <c r="G176" s="14">
        <v>0</v>
      </c>
      <c r="H176" s="14">
        <v>9</v>
      </c>
      <c r="I176" s="14">
        <v>2</v>
      </c>
      <c r="J176" s="14">
        <v>2</v>
      </c>
      <c r="K176" s="14">
        <v>0</v>
      </c>
      <c r="L176" s="14">
        <v>2</v>
      </c>
      <c r="M176" s="14">
        <v>1</v>
      </c>
      <c r="N176" s="14">
        <v>6</v>
      </c>
      <c r="O176" s="14">
        <v>0</v>
      </c>
      <c r="P176" s="15">
        <v>0</v>
      </c>
      <c r="Q176" s="10">
        <f t="shared" si="6"/>
        <v>34</v>
      </c>
    </row>
    <row r="177" spans="1:17" x14ac:dyDescent="0.25">
      <c r="A177" s="11" t="s">
        <v>24</v>
      </c>
      <c r="B177" s="12">
        <v>39984</v>
      </c>
      <c r="C177" s="12" t="s">
        <v>18</v>
      </c>
      <c r="D177" s="13" t="s">
        <v>37</v>
      </c>
      <c r="E177" s="12" t="s">
        <v>133</v>
      </c>
      <c r="F177" s="14">
        <v>9</v>
      </c>
      <c r="G177" s="14">
        <v>0</v>
      </c>
      <c r="H177" s="14">
        <v>4</v>
      </c>
      <c r="I177" s="14">
        <v>3</v>
      </c>
      <c r="J177" s="14">
        <v>1</v>
      </c>
      <c r="K177" s="14">
        <v>2</v>
      </c>
      <c r="L177" s="14">
        <v>14</v>
      </c>
      <c r="M177" s="14">
        <v>1</v>
      </c>
      <c r="N177" s="14">
        <v>2</v>
      </c>
      <c r="O177" s="14">
        <v>0</v>
      </c>
      <c r="P177" s="15">
        <v>0</v>
      </c>
      <c r="Q177" s="10">
        <f t="shared" si="6"/>
        <v>36</v>
      </c>
    </row>
    <row r="178" spans="1:17" x14ac:dyDescent="0.25">
      <c r="A178" s="6" t="s">
        <v>26</v>
      </c>
      <c r="B178" s="7">
        <v>39985</v>
      </c>
      <c r="C178" s="7" t="s">
        <v>32</v>
      </c>
      <c r="D178" s="7" t="s">
        <v>27</v>
      </c>
      <c r="E178" s="7"/>
      <c r="F178" s="8">
        <v>23</v>
      </c>
      <c r="G178" s="8">
        <v>2</v>
      </c>
      <c r="H178" s="8">
        <v>33</v>
      </c>
      <c r="I178" s="8">
        <v>2</v>
      </c>
      <c r="J178" s="8">
        <v>0</v>
      </c>
      <c r="K178" s="8">
        <v>5</v>
      </c>
      <c r="L178" s="8">
        <v>6</v>
      </c>
      <c r="M178" s="8">
        <v>7</v>
      </c>
      <c r="N178" s="8">
        <v>0</v>
      </c>
      <c r="O178" s="8">
        <v>0</v>
      </c>
      <c r="P178" s="9">
        <v>4</v>
      </c>
      <c r="Q178" s="10">
        <f t="shared" si="6"/>
        <v>82</v>
      </c>
    </row>
    <row r="179" spans="1:17" x14ac:dyDescent="0.25">
      <c r="A179" s="6" t="s">
        <v>29</v>
      </c>
      <c r="B179" s="7">
        <v>39986</v>
      </c>
      <c r="C179" s="7" t="s">
        <v>32</v>
      </c>
      <c r="D179" s="7" t="s">
        <v>27</v>
      </c>
      <c r="E179" s="7"/>
      <c r="F179" s="8">
        <v>20</v>
      </c>
      <c r="G179" s="8">
        <v>1</v>
      </c>
      <c r="H179" s="8">
        <v>24</v>
      </c>
      <c r="I179" s="8">
        <v>1</v>
      </c>
      <c r="J179" s="8">
        <v>2</v>
      </c>
      <c r="K179" s="8">
        <v>2</v>
      </c>
      <c r="L179" s="8">
        <v>14</v>
      </c>
      <c r="M179" s="8">
        <v>0</v>
      </c>
      <c r="N179" s="8">
        <v>2</v>
      </c>
      <c r="O179" s="8">
        <v>0</v>
      </c>
      <c r="P179" s="9">
        <v>6</v>
      </c>
      <c r="Q179" s="10">
        <f t="shared" si="6"/>
        <v>72</v>
      </c>
    </row>
    <row r="180" spans="1:17" x14ac:dyDescent="0.25">
      <c r="A180" s="6" t="s">
        <v>31</v>
      </c>
      <c r="B180" s="7">
        <v>39987</v>
      </c>
      <c r="C180" s="7" t="s">
        <v>32</v>
      </c>
      <c r="D180" s="7" t="s">
        <v>27</v>
      </c>
      <c r="E180" s="7"/>
      <c r="F180" s="8">
        <v>24</v>
      </c>
      <c r="G180" s="8">
        <v>4</v>
      </c>
      <c r="H180" s="8">
        <v>22</v>
      </c>
      <c r="I180" s="8">
        <v>2</v>
      </c>
      <c r="J180" s="8">
        <v>3</v>
      </c>
      <c r="K180" s="8">
        <v>5</v>
      </c>
      <c r="L180" s="8">
        <v>4</v>
      </c>
      <c r="M180" s="8">
        <v>3</v>
      </c>
      <c r="N180" s="8">
        <v>0</v>
      </c>
      <c r="O180" s="8">
        <v>0</v>
      </c>
      <c r="P180" s="9">
        <v>3</v>
      </c>
      <c r="Q180" s="10">
        <f t="shared" si="6"/>
        <v>70</v>
      </c>
    </row>
    <row r="181" spans="1:17" x14ac:dyDescent="0.25">
      <c r="A181" s="6" t="s">
        <v>33</v>
      </c>
      <c r="B181" s="7">
        <v>39988</v>
      </c>
      <c r="C181" s="7" t="s">
        <v>32</v>
      </c>
      <c r="D181" s="7" t="s">
        <v>27</v>
      </c>
      <c r="E181" s="7"/>
      <c r="F181" s="8">
        <v>24</v>
      </c>
      <c r="G181" s="8">
        <v>2</v>
      </c>
      <c r="H181" s="8">
        <v>52</v>
      </c>
      <c r="I181" s="8">
        <v>1</v>
      </c>
      <c r="J181" s="8">
        <v>2</v>
      </c>
      <c r="K181" s="8">
        <v>7</v>
      </c>
      <c r="L181" s="8">
        <v>4</v>
      </c>
      <c r="M181" s="8">
        <v>1</v>
      </c>
      <c r="N181" s="8">
        <v>5</v>
      </c>
      <c r="O181" s="8">
        <v>0</v>
      </c>
      <c r="P181" s="9">
        <v>11</v>
      </c>
      <c r="Q181" s="10">
        <f t="shared" si="6"/>
        <v>109</v>
      </c>
    </row>
    <row r="182" spans="1:17" x14ac:dyDescent="0.25">
      <c r="A182" s="6" t="s">
        <v>17</v>
      </c>
      <c r="B182" s="7">
        <v>39989</v>
      </c>
      <c r="C182" s="7" t="s">
        <v>32</v>
      </c>
      <c r="D182" s="7" t="s">
        <v>27</v>
      </c>
      <c r="E182" s="7"/>
      <c r="F182" s="8">
        <v>30</v>
      </c>
      <c r="G182" s="8">
        <v>13</v>
      </c>
      <c r="H182" s="8">
        <v>45</v>
      </c>
      <c r="I182" s="8">
        <v>1</v>
      </c>
      <c r="J182" s="8">
        <v>3</v>
      </c>
      <c r="K182" s="8">
        <v>4</v>
      </c>
      <c r="L182" s="8">
        <v>8</v>
      </c>
      <c r="M182" s="8">
        <v>5</v>
      </c>
      <c r="N182" s="8">
        <v>2</v>
      </c>
      <c r="O182" s="8">
        <v>0</v>
      </c>
      <c r="P182" s="9">
        <v>4</v>
      </c>
      <c r="Q182" s="10">
        <f t="shared" si="6"/>
        <v>115</v>
      </c>
    </row>
    <row r="183" spans="1:17" x14ac:dyDescent="0.25">
      <c r="A183" s="11" t="s">
        <v>20</v>
      </c>
      <c r="B183" s="12">
        <v>39990</v>
      </c>
      <c r="C183" s="12" t="s">
        <v>32</v>
      </c>
      <c r="D183" s="13" t="s">
        <v>37</v>
      </c>
      <c r="E183" s="12" t="s">
        <v>134</v>
      </c>
      <c r="F183" s="14">
        <v>33</v>
      </c>
      <c r="G183" s="14">
        <v>0</v>
      </c>
      <c r="H183" s="14">
        <v>39</v>
      </c>
      <c r="I183" s="14">
        <v>0</v>
      </c>
      <c r="J183" s="14">
        <v>8</v>
      </c>
      <c r="K183" s="14">
        <v>5</v>
      </c>
      <c r="L183" s="14">
        <v>12</v>
      </c>
      <c r="M183" s="14">
        <v>3</v>
      </c>
      <c r="N183" s="14">
        <v>0</v>
      </c>
      <c r="O183" s="14">
        <v>37</v>
      </c>
      <c r="P183" s="15">
        <v>0</v>
      </c>
      <c r="Q183" s="10">
        <f t="shared" si="6"/>
        <v>137</v>
      </c>
    </row>
    <row r="184" spans="1:17" x14ac:dyDescent="0.25">
      <c r="A184" s="11" t="s">
        <v>24</v>
      </c>
      <c r="B184" s="12">
        <v>39991</v>
      </c>
      <c r="C184" s="12" t="s">
        <v>32</v>
      </c>
      <c r="D184" s="13" t="s">
        <v>37</v>
      </c>
      <c r="E184" s="12" t="s">
        <v>135</v>
      </c>
      <c r="F184" s="14">
        <v>16</v>
      </c>
      <c r="G184" s="14">
        <v>2</v>
      </c>
      <c r="H184" s="14">
        <v>91</v>
      </c>
      <c r="I184" s="14">
        <v>0</v>
      </c>
      <c r="J184" s="14">
        <v>4</v>
      </c>
      <c r="K184" s="14">
        <v>10</v>
      </c>
      <c r="L184" s="14">
        <v>10</v>
      </c>
      <c r="M184" s="14">
        <v>10</v>
      </c>
      <c r="N184" s="14">
        <v>0</v>
      </c>
      <c r="O184" s="14">
        <v>0</v>
      </c>
      <c r="P184" s="15">
        <v>0</v>
      </c>
      <c r="Q184" s="10">
        <f t="shared" si="6"/>
        <v>143</v>
      </c>
    </row>
    <row r="185" spans="1:17" x14ac:dyDescent="0.25">
      <c r="A185" s="6" t="s">
        <v>26</v>
      </c>
      <c r="B185" s="7">
        <v>39992</v>
      </c>
      <c r="C185" s="7" t="s">
        <v>32</v>
      </c>
      <c r="D185" s="7" t="s">
        <v>27</v>
      </c>
      <c r="E185" s="7"/>
      <c r="F185" s="8">
        <v>23</v>
      </c>
      <c r="G185" s="8">
        <v>6</v>
      </c>
      <c r="H185" s="8">
        <v>26</v>
      </c>
      <c r="I185" s="8">
        <v>0</v>
      </c>
      <c r="J185" s="8">
        <v>1</v>
      </c>
      <c r="K185" s="8">
        <v>2</v>
      </c>
      <c r="L185" s="8">
        <v>0</v>
      </c>
      <c r="M185" s="8">
        <v>5</v>
      </c>
      <c r="N185" s="8">
        <v>0</v>
      </c>
      <c r="O185" s="8">
        <v>0</v>
      </c>
      <c r="P185" s="9">
        <v>3</v>
      </c>
      <c r="Q185" s="10">
        <f t="shared" si="6"/>
        <v>66</v>
      </c>
    </row>
    <row r="186" spans="1:17" x14ac:dyDescent="0.25">
      <c r="A186" s="6" t="s">
        <v>29</v>
      </c>
      <c r="B186" s="7">
        <v>39993</v>
      </c>
      <c r="C186" s="7" t="s">
        <v>136</v>
      </c>
      <c r="D186" s="7" t="s">
        <v>27</v>
      </c>
      <c r="E186" s="7"/>
      <c r="F186" s="8">
        <v>22</v>
      </c>
      <c r="G186" s="8">
        <v>0</v>
      </c>
      <c r="H186" s="8">
        <v>42</v>
      </c>
      <c r="I186" s="8">
        <v>0</v>
      </c>
      <c r="J186" s="8">
        <v>7</v>
      </c>
      <c r="K186" s="8">
        <v>1</v>
      </c>
      <c r="L186" s="8">
        <v>2</v>
      </c>
      <c r="M186" s="8">
        <v>3</v>
      </c>
      <c r="N186" s="8">
        <v>4</v>
      </c>
      <c r="O186" s="8">
        <v>0</v>
      </c>
      <c r="P186" s="9">
        <v>0</v>
      </c>
      <c r="Q186" s="10">
        <f t="shared" si="6"/>
        <v>81</v>
      </c>
    </row>
    <row r="187" spans="1:17" x14ac:dyDescent="0.25">
      <c r="A187" s="6" t="s">
        <v>31</v>
      </c>
      <c r="B187" s="7">
        <v>39994</v>
      </c>
      <c r="C187" s="7" t="s">
        <v>136</v>
      </c>
      <c r="D187" s="7" t="s">
        <v>27</v>
      </c>
      <c r="E187" s="7"/>
      <c r="F187" s="8">
        <v>20</v>
      </c>
      <c r="G187" s="8">
        <v>0</v>
      </c>
      <c r="H187" s="8">
        <v>35</v>
      </c>
      <c r="I187" s="8">
        <v>0</v>
      </c>
      <c r="J187" s="8">
        <v>3</v>
      </c>
      <c r="K187" s="8">
        <v>3</v>
      </c>
      <c r="L187" s="8">
        <v>3</v>
      </c>
      <c r="M187" s="8">
        <v>3</v>
      </c>
      <c r="N187" s="8">
        <v>0</v>
      </c>
      <c r="O187" s="8">
        <v>0</v>
      </c>
      <c r="P187" s="9">
        <v>0</v>
      </c>
      <c r="Q187" s="10">
        <f t="shared" si="6"/>
        <v>67</v>
      </c>
    </row>
    <row r="188" spans="1:17" x14ac:dyDescent="0.25">
      <c r="A188" s="7" t="s">
        <v>45</v>
      </c>
      <c r="B188" s="7"/>
      <c r="C188" s="7"/>
      <c r="D188" s="7"/>
      <c r="E188" s="7"/>
      <c r="F188" s="18">
        <f>SUM(F158:F187)</f>
        <v>684</v>
      </c>
      <c r="G188" s="18">
        <f t="shared" ref="G188:M188" si="8">SUM(G158:G187)</f>
        <v>83</v>
      </c>
      <c r="H188" s="18">
        <f t="shared" si="8"/>
        <v>1081</v>
      </c>
      <c r="I188" s="18">
        <f t="shared" si="8"/>
        <v>22</v>
      </c>
      <c r="J188" s="18">
        <f t="shared" si="8"/>
        <v>54</v>
      </c>
      <c r="K188" s="18">
        <f t="shared" si="8"/>
        <v>147</v>
      </c>
      <c r="L188" s="18">
        <f t="shared" si="8"/>
        <v>140</v>
      </c>
      <c r="M188" s="18">
        <f t="shared" si="8"/>
        <v>116</v>
      </c>
      <c r="N188" s="18">
        <f>SUM(N158:N187)</f>
        <v>76</v>
      </c>
      <c r="O188" s="18">
        <f>SUM(O158:O187)</f>
        <v>130</v>
      </c>
      <c r="P188" s="18">
        <f>SUM(P158:P187)</f>
        <v>82</v>
      </c>
      <c r="Q188" s="17">
        <f>SUM(Q158:Q187)</f>
        <v>2615</v>
      </c>
    </row>
    <row r="189" spans="1:17" x14ac:dyDescent="0.25">
      <c r="A189" s="6" t="s">
        <v>33</v>
      </c>
      <c r="B189" s="7">
        <v>39995</v>
      </c>
      <c r="C189" s="7" t="s">
        <v>32</v>
      </c>
      <c r="D189" s="7" t="s">
        <v>27</v>
      </c>
      <c r="E189" s="7"/>
      <c r="F189" s="8">
        <v>29</v>
      </c>
      <c r="G189" s="8">
        <v>4</v>
      </c>
      <c r="H189" s="8">
        <v>41</v>
      </c>
      <c r="I189" s="8">
        <v>2</v>
      </c>
      <c r="J189" s="8">
        <v>5</v>
      </c>
      <c r="K189" s="8">
        <v>7</v>
      </c>
      <c r="L189" s="8">
        <v>4</v>
      </c>
      <c r="M189" s="8">
        <v>3</v>
      </c>
      <c r="N189" s="8">
        <v>0</v>
      </c>
      <c r="O189" s="8">
        <v>0</v>
      </c>
      <c r="P189" s="9">
        <v>0</v>
      </c>
      <c r="Q189" s="10">
        <f t="shared" si="6"/>
        <v>95</v>
      </c>
    </row>
    <row r="190" spans="1:17" x14ac:dyDescent="0.25">
      <c r="A190" s="6" t="s">
        <v>17</v>
      </c>
      <c r="B190" s="7">
        <v>39996</v>
      </c>
      <c r="C190" s="7" t="s">
        <v>32</v>
      </c>
      <c r="D190" s="7" t="s">
        <v>27</v>
      </c>
      <c r="E190" s="7"/>
      <c r="F190" s="8">
        <v>25</v>
      </c>
      <c r="G190" s="8">
        <v>4</v>
      </c>
      <c r="H190" s="8">
        <v>16</v>
      </c>
      <c r="I190" s="8">
        <v>2</v>
      </c>
      <c r="J190" s="8">
        <v>0</v>
      </c>
      <c r="K190" s="8">
        <v>2</v>
      </c>
      <c r="L190" s="8">
        <v>15</v>
      </c>
      <c r="M190" s="8">
        <v>10</v>
      </c>
      <c r="N190" s="8">
        <v>0</v>
      </c>
      <c r="O190" s="8">
        <v>0</v>
      </c>
      <c r="P190" s="9">
        <v>4</v>
      </c>
      <c r="Q190" s="10">
        <f t="shared" si="6"/>
        <v>78</v>
      </c>
    </row>
    <row r="191" spans="1:17" x14ac:dyDescent="0.25">
      <c r="A191" s="11" t="s">
        <v>20</v>
      </c>
      <c r="B191" s="12">
        <v>39997</v>
      </c>
      <c r="C191" s="12" t="s">
        <v>32</v>
      </c>
      <c r="D191" s="13" t="s">
        <v>37</v>
      </c>
      <c r="E191" s="12"/>
      <c r="F191" s="14">
        <v>14</v>
      </c>
      <c r="G191" s="14">
        <v>4</v>
      </c>
      <c r="H191" s="14">
        <v>10</v>
      </c>
      <c r="I191" s="14">
        <v>1</v>
      </c>
      <c r="J191" s="14">
        <v>6</v>
      </c>
      <c r="K191" s="14">
        <v>9</v>
      </c>
      <c r="L191" s="14">
        <v>1</v>
      </c>
      <c r="M191" s="14">
        <v>2</v>
      </c>
      <c r="N191" s="14">
        <v>6</v>
      </c>
      <c r="O191" s="14">
        <v>0</v>
      </c>
      <c r="P191" s="15">
        <v>0</v>
      </c>
      <c r="Q191" s="10">
        <f t="shared" si="6"/>
        <v>53</v>
      </c>
    </row>
    <row r="192" spans="1:17" x14ac:dyDescent="0.25">
      <c r="A192" s="11" t="s">
        <v>24</v>
      </c>
      <c r="B192" s="12">
        <v>39998</v>
      </c>
      <c r="C192" s="12" t="s">
        <v>32</v>
      </c>
      <c r="D192" s="13" t="s">
        <v>37</v>
      </c>
      <c r="E192" s="12"/>
      <c r="F192" s="14">
        <v>23</v>
      </c>
      <c r="G192" s="14">
        <v>2</v>
      </c>
      <c r="H192" s="14">
        <v>27</v>
      </c>
      <c r="I192" s="14">
        <v>5</v>
      </c>
      <c r="J192" s="14">
        <v>3</v>
      </c>
      <c r="K192" s="14">
        <v>0</v>
      </c>
      <c r="L192" s="14">
        <v>5</v>
      </c>
      <c r="M192" s="14">
        <v>6</v>
      </c>
      <c r="N192" s="14">
        <v>0</v>
      </c>
      <c r="O192" s="14">
        <v>4</v>
      </c>
      <c r="P192" s="15">
        <v>2</v>
      </c>
      <c r="Q192" s="10">
        <f t="shared" si="6"/>
        <v>77</v>
      </c>
    </row>
    <row r="193" spans="1:17" x14ac:dyDescent="0.25">
      <c r="A193" s="6" t="s">
        <v>26</v>
      </c>
      <c r="B193" s="7">
        <v>39999</v>
      </c>
      <c r="C193" s="7" t="s">
        <v>25</v>
      </c>
      <c r="D193" s="7" t="s">
        <v>19</v>
      </c>
      <c r="E193" s="7"/>
      <c r="F193" s="8">
        <v>29</v>
      </c>
      <c r="G193" s="8">
        <v>10</v>
      </c>
      <c r="H193" s="8">
        <v>43</v>
      </c>
      <c r="I193" s="8">
        <v>3</v>
      </c>
      <c r="J193" s="8">
        <v>0</v>
      </c>
      <c r="K193" s="8">
        <v>4</v>
      </c>
      <c r="L193" s="8">
        <v>7</v>
      </c>
      <c r="M193" s="8">
        <v>3</v>
      </c>
      <c r="N193" s="8">
        <v>0</v>
      </c>
      <c r="O193" s="8">
        <v>0</v>
      </c>
      <c r="P193" s="9">
        <v>2</v>
      </c>
      <c r="Q193" s="10">
        <f t="shared" si="6"/>
        <v>101</v>
      </c>
    </row>
    <row r="194" spans="1:17" x14ac:dyDescent="0.25">
      <c r="A194" s="6" t="s">
        <v>29</v>
      </c>
      <c r="B194" s="7">
        <v>40000</v>
      </c>
      <c r="C194" s="7" t="s">
        <v>32</v>
      </c>
      <c r="D194" s="7" t="s">
        <v>19</v>
      </c>
      <c r="E194" s="7"/>
      <c r="F194" s="8">
        <v>14</v>
      </c>
      <c r="G194" s="8">
        <v>13</v>
      </c>
      <c r="H194" s="8">
        <v>26</v>
      </c>
      <c r="I194" s="8">
        <v>0</v>
      </c>
      <c r="J194" s="8">
        <v>2</v>
      </c>
      <c r="K194" s="8">
        <v>4</v>
      </c>
      <c r="L194" s="8">
        <v>3</v>
      </c>
      <c r="M194" s="8">
        <v>4</v>
      </c>
      <c r="N194" s="8">
        <v>0</v>
      </c>
      <c r="O194" s="8">
        <v>0</v>
      </c>
      <c r="P194" s="9">
        <v>2</v>
      </c>
      <c r="Q194" s="10">
        <f t="shared" si="6"/>
        <v>68</v>
      </c>
    </row>
    <row r="195" spans="1:17" x14ac:dyDescent="0.25">
      <c r="A195" s="6" t="s">
        <v>31</v>
      </c>
      <c r="B195" s="7">
        <v>40001</v>
      </c>
      <c r="C195" s="7" t="s">
        <v>32</v>
      </c>
      <c r="D195" s="7" t="s">
        <v>19</v>
      </c>
      <c r="E195" s="7"/>
      <c r="F195" s="8">
        <v>20</v>
      </c>
      <c r="G195" s="8">
        <v>19</v>
      </c>
      <c r="H195" s="8">
        <v>38</v>
      </c>
      <c r="I195" s="8">
        <v>2</v>
      </c>
      <c r="J195" s="8">
        <v>1</v>
      </c>
      <c r="K195" s="8">
        <v>3</v>
      </c>
      <c r="L195" s="8">
        <v>2</v>
      </c>
      <c r="M195" s="8">
        <v>4</v>
      </c>
      <c r="N195" s="8">
        <v>0</v>
      </c>
      <c r="O195" s="8">
        <v>0</v>
      </c>
      <c r="P195" s="9">
        <v>0</v>
      </c>
      <c r="Q195" s="10">
        <f t="shared" si="6"/>
        <v>89</v>
      </c>
    </row>
    <row r="196" spans="1:17" x14ac:dyDescent="0.25">
      <c r="A196" s="6" t="s">
        <v>33</v>
      </c>
      <c r="B196" s="7">
        <v>40002</v>
      </c>
      <c r="C196" s="7" t="s">
        <v>32</v>
      </c>
      <c r="D196" s="7" t="s">
        <v>19</v>
      </c>
      <c r="E196" s="7"/>
      <c r="F196" s="8">
        <v>15</v>
      </c>
      <c r="G196" s="8">
        <v>2</v>
      </c>
      <c r="H196" s="8">
        <v>37</v>
      </c>
      <c r="I196" s="8">
        <v>1</v>
      </c>
      <c r="J196" s="8">
        <v>2</v>
      </c>
      <c r="K196" s="8">
        <v>7</v>
      </c>
      <c r="L196" s="8">
        <v>2</v>
      </c>
      <c r="M196" s="8">
        <v>3</v>
      </c>
      <c r="N196" s="8">
        <v>0</v>
      </c>
      <c r="O196" s="8">
        <v>0</v>
      </c>
      <c r="P196" s="9">
        <v>2</v>
      </c>
      <c r="Q196" s="10">
        <f t="shared" si="6"/>
        <v>71</v>
      </c>
    </row>
    <row r="197" spans="1:17" x14ac:dyDescent="0.25">
      <c r="A197" s="6" t="s">
        <v>17</v>
      </c>
      <c r="B197" s="7">
        <v>40003</v>
      </c>
      <c r="C197" s="7" t="s">
        <v>32</v>
      </c>
      <c r="D197" s="7" t="s">
        <v>19</v>
      </c>
      <c r="E197" s="7"/>
      <c r="F197" s="8">
        <v>21</v>
      </c>
      <c r="G197" s="8">
        <v>15</v>
      </c>
      <c r="H197" s="8">
        <v>34</v>
      </c>
      <c r="I197" s="8">
        <v>4</v>
      </c>
      <c r="J197" s="8">
        <v>1</v>
      </c>
      <c r="K197" s="8">
        <v>7</v>
      </c>
      <c r="L197" s="8">
        <v>2</v>
      </c>
      <c r="M197" s="8">
        <v>3</v>
      </c>
      <c r="N197" s="8">
        <v>0</v>
      </c>
      <c r="O197" s="8">
        <v>0</v>
      </c>
      <c r="P197" s="9">
        <v>3</v>
      </c>
      <c r="Q197" s="10">
        <f t="shared" si="6"/>
        <v>90</v>
      </c>
    </row>
    <row r="198" spans="1:17" x14ac:dyDescent="0.25">
      <c r="A198" s="11" t="s">
        <v>20</v>
      </c>
      <c r="B198" s="12">
        <v>40004</v>
      </c>
      <c r="C198" s="12" t="s">
        <v>25</v>
      </c>
      <c r="D198" s="13" t="s">
        <v>37</v>
      </c>
      <c r="E198" s="12"/>
      <c r="F198" s="14">
        <v>15</v>
      </c>
      <c r="G198" s="14">
        <v>7</v>
      </c>
      <c r="H198" s="14">
        <v>19</v>
      </c>
      <c r="I198" s="14">
        <v>6</v>
      </c>
      <c r="J198" s="14">
        <v>6</v>
      </c>
      <c r="K198" s="14">
        <v>4</v>
      </c>
      <c r="L198" s="14">
        <v>12</v>
      </c>
      <c r="M198" s="14">
        <v>5</v>
      </c>
      <c r="N198" s="14">
        <v>0</v>
      </c>
      <c r="O198" s="14">
        <v>0</v>
      </c>
      <c r="P198" s="15">
        <v>0</v>
      </c>
      <c r="Q198" s="10">
        <f t="shared" si="6"/>
        <v>74</v>
      </c>
    </row>
    <row r="199" spans="1:17" x14ac:dyDescent="0.25">
      <c r="A199" s="11" t="s">
        <v>24</v>
      </c>
      <c r="B199" s="12">
        <v>40005</v>
      </c>
      <c r="C199" s="12" t="s">
        <v>32</v>
      </c>
      <c r="D199" s="13" t="s">
        <v>37</v>
      </c>
      <c r="E199" s="12"/>
      <c r="F199" s="14">
        <v>17</v>
      </c>
      <c r="G199" s="14">
        <v>4</v>
      </c>
      <c r="H199" s="14">
        <v>15</v>
      </c>
      <c r="I199" s="14">
        <v>3</v>
      </c>
      <c r="J199" s="14">
        <v>2</v>
      </c>
      <c r="K199" s="14">
        <v>5</v>
      </c>
      <c r="L199" s="14">
        <v>12</v>
      </c>
      <c r="M199" s="14">
        <v>0</v>
      </c>
      <c r="N199" s="14">
        <v>0</v>
      </c>
      <c r="O199" s="14">
        <v>0</v>
      </c>
      <c r="P199" s="15">
        <v>2</v>
      </c>
      <c r="Q199" s="10">
        <f t="shared" si="6"/>
        <v>60</v>
      </c>
    </row>
    <row r="200" spans="1:17" x14ac:dyDescent="0.25">
      <c r="A200" s="6" t="s">
        <v>26</v>
      </c>
      <c r="B200" s="7">
        <v>40006</v>
      </c>
      <c r="C200" s="7" t="s">
        <v>25</v>
      </c>
      <c r="D200" s="7" t="s">
        <v>19</v>
      </c>
      <c r="E200" s="7"/>
      <c r="F200" s="8">
        <v>15</v>
      </c>
      <c r="G200" s="8">
        <v>5</v>
      </c>
      <c r="H200" s="8">
        <v>56</v>
      </c>
      <c r="I200" s="8">
        <v>3</v>
      </c>
      <c r="J200" s="8">
        <v>0</v>
      </c>
      <c r="K200" s="8">
        <v>6</v>
      </c>
      <c r="L200" s="8">
        <v>6</v>
      </c>
      <c r="M200" s="8">
        <v>12</v>
      </c>
      <c r="N200" s="8">
        <v>9</v>
      </c>
      <c r="O200" s="8">
        <v>0</v>
      </c>
      <c r="P200" s="9">
        <v>1</v>
      </c>
      <c r="Q200" s="10">
        <f t="shared" si="6"/>
        <v>113</v>
      </c>
    </row>
    <row r="201" spans="1:17" x14ac:dyDescent="0.25">
      <c r="A201" s="6" t="s">
        <v>29</v>
      </c>
      <c r="B201" s="7">
        <v>40007</v>
      </c>
      <c r="C201" s="7" t="s">
        <v>32</v>
      </c>
      <c r="D201" s="7" t="s">
        <v>19</v>
      </c>
      <c r="E201" s="7"/>
      <c r="F201" s="8">
        <v>22</v>
      </c>
      <c r="G201" s="8">
        <v>22</v>
      </c>
      <c r="H201" s="8">
        <v>18</v>
      </c>
      <c r="I201" s="8">
        <v>1</v>
      </c>
      <c r="J201" s="8">
        <v>3</v>
      </c>
      <c r="K201" s="8">
        <v>10</v>
      </c>
      <c r="L201" s="8">
        <v>8</v>
      </c>
      <c r="M201" s="8">
        <v>6</v>
      </c>
      <c r="N201" s="8">
        <v>0</v>
      </c>
      <c r="O201" s="8">
        <v>0</v>
      </c>
      <c r="P201" s="9">
        <v>4</v>
      </c>
      <c r="Q201" s="10">
        <f t="shared" ref="Q201:Q266" si="9">SUM(F201:P201)</f>
        <v>94</v>
      </c>
    </row>
    <row r="202" spans="1:17" x14ac:dyDescent="0.25">
      <c r="A202" s="6" t="s">
        <v>31</v>
      </c>
      <c r="B202" s="7">
        <v>40008</v>
      </c>
      <c r="C202" s="7" t="s">
        <v>32</v>
      </c>
      <c r="D202" s="7" t="s">
        <v>19</v>
      </c>
      <c r="E202" s="7"/>
      <c r="F202" s="8">
        <v>26</v>
      </c>
      <c r="G202" s="8">
        <v>18</v>
      </c>
      <c r="H202" s="8">
        <v>24</v>
      </c>
      <c r="I202" s="8">
        <v>0</v>
      </c>
      <c r="J202" s="8">
        <v>7</v>
      </c>
      <c r="K202" s="8">
        <v>7</v>
      </c>
      <c r="L202" s="8">
        <v>7</v>
      </c>
      <c r="M202" s="8">
        <v>3</v>
      </c>
      <c r="N202" s="8">
        <v>2</v>
      </c>
      <c r="O202" s="8">
        <v>0</v>
      </c>
      <c r="P202" s="9">
        <v>5</v>
      </c>
      <c r="Q202" s="10">
        <f t="shared" si="9"/>
        <v>99</v>
      </c>
    </row>
    <row r="203" spans="1:17" x14ac:dyDescent="0.25">
      <c r="A203" s="6" t="s">
        <v>33</v>
      </c>
      <c r="B203" s="7">
        <v>40009</v>
      </c>
      <c r="C203" s="7" t="s">
        <v>32</v>
      </c>
      <c r="D203" s="7" t="s">
        <v>19</v>
      </c>
      <c r="E203" s="7"/>
      <c r="F203" s="8">
        <v>21</v>
      </c>
      <c r="G203" s="8">
        <v>13</v>
      </c>
      <c r="H203" s="8">
        <v>30</v>
      </c>
      <c r="I203" s="8">
        <v>2</v>
      </c>
      <c r="J203" s="8">
        <v>1</v>
      </c>
      <c r="K203" s="8">
        <v>16</v>
      </c>
      <c r="L203" s="8">
        <v>12</v>
      </c>
      <c r="M203" s="8">
        <v>8</v>
      </c>
      <c r="N203" s="8">
        <v>0</v>
      </c>
      <c r="O203" s="8">
        <v>0</v>
      </c>
      <c r="P203" s="9">
        <v>1</v>
      </c>
      <c r="Q203" s="10">
        <f t="shared" si="9"/>
        <v>104</v>
      </c>
    </row>
    <row r="204" spans="1:17" x14ac:dyDescent="0.25">
      <c r="A204" s="6" t="s">
        <v>17</v>
      </c>
      <c r="B204" s="7">
        <v>40010</v>
      </c>
      <c r="C204" s="7" t="s">
        <v>32</v>
      </c>
      <c r="D204" s="7" t="s">
        <v>19</v>
      </c>
      <c r="E204" s="7"/>
      <c r="F204" s="8">
        <v>23</v>
      </c>
      <c r="G204" s="8">
        <v>14</v>
      </c>
      <c r="H204" s="8">
        <v>40</v>
      </c>
      <c r="I204" s="8">
        <v>0</v>
      </c>
      <c r="J204" s="8">
        <v>1</v>
      </c>
      <c r="K204" s="8">
        <v>16</v>
      </c>
      <c r="L204" s="8">
        <v>8</v>
      </c>
      <c r="M204" s="8">
        <v>5</v>
      </c>
      <c r="N204" s="8">
        <v>0</v>
      </c>
      <c r="O204" s="8">
        <v>0</v>
      </c>
      <c r="P204" s="9">
        <v>2</v>
      </c>
      <c r="Q204" s="10">
        <f t="shared" si="9"/>
        <v>109</v>
      </c>
    </row>
    <row r="205" spans="1:17" x14ac:dyDescent="0.25">
      <c r="A205" s="11" t="s">
        <v>20</v>
      </c>
      <c r="B205" s="12">
        <v>40011</v>
      </c>
      <c r="C205" s="12" t="s">
        <v>32</v>
      </c>
      <c r="D205" s="13" t="s">
        <v>19</v>
      </c>
      <c r="E205" s="12"/>
      <c r="F205" s="14">
        <v>12</v>
      </c>
      <c r="G205" s="14">
        <v>20</v>
      </c>
      <c r="H205" s="14">
        <v>22</v>
      </c>
      <c r="I205" s="14">
        <v>3</v>
      </c>
      <c r="J205" s="14">
        <v>3</v>
      </c>
      <c r="K205" s="14">
        <v>3</v>
      </c>
      <c r="L205" s="14">
        <v>9</v>
      </c>
      <c r="M205" s="14">
        <v>1</v>
      </c>
      <c r="N205" s="14">
        <v>0</v>
      </c>
      <c r="O205" s="14">
        <v>0</v>
      </c>
      <c r="P205" s="15">
        <v>0</v>
      </c>
      <c r="Q205" s="10">
        <f t="shared" si="9"/>
        <v>73</v>
      </c>
    </row>
    <row r="206" spans="1:17" x14ac:dyDescent="0.25">
      <c r="A206" s="11" t="s">
        <v>24</v>
      </c>
      <c r="B206" s="12">
        <v>40012</v>
      </c>
      <c r="C206" s="12" t="s">
        <v>32</v>
      </c>
      <c r="D206" s="13" t="s">
        <v>37</v>
      </c>
      <c r="E206" s="12"/>
      <c r="F206" s="14">
        <v>22</v>
      </c>
      <c r="G206" s="14">
        <v>4</v>
      </c>
      <c r="H206" s="14">
        <v>17</v>
      </c>
      <c r="I206" s="14">
        <v>5</v>
      </c>
      <c r="J206" s="14">
        <v>1</v>
      </c>
      <c r="K206" s="14">
        <v>22</v>
      </c>
      <c r="L206" s="14">
        <v>1</v>
      </c>
      <c r="M206" s="14">
        <v>5</v>
      </c>
      <c r="N206" s="14">
        <v>0</v>
      </c>
      <c r="O206" s="14">
        <v>0</v>
      </c>
      <c r="P206" s="15">
        <v>4</v>
      </c>
      <c r="Q206" s="10">
        <f t="shared" si="9"/>
        <v>81</v>
      </c>
    </row>
    <row r="207" spans="1:17" x14ac:dyDescent="0.25">
      <c r="A207" s="6" t="s">
        <v>26</v>
      </c>
      <c r="B207" s="7">
        <v>40013</v>
      </c>
      <c r="C207" s="7" t="s">
        <v>32</v>
      </c>
      <c r="D207" s="7" t="s">
        <v>19</v>
      </c>
      <c r="E207" s="7" t="s">
        <v>137</v>
      </c>
      <c r="F207" s="8">
        <v>15</v>
      </c>
      <c r="G207" s="8">
        <v>14</v>
      </c>
      <c r="H207" s="8">
        <v>6</v>
      </c>
      <c r="I207" s="8">
        <v>1</v>
      </c>
      <c r="J207" s="8">
        <v>0</v>
      </c>
      <c r="K207" s="8">
        <v>7</v>
      </c>
      <c r="L207" s="8">
        <v>6</v>
      </c>
      <c r="M207" s="8">
        <v>14</v>
      </c>
      <c r="N207" s="8">
        <v>2</v>
      </c>
      <c r="O207" s="8">
        <v>23</v>
      </c>
      <c r="P207" s="9">
        <v>6</v>
      </c>
      <c r="Q207" s="10">
        <f t="shared" si="9"/>
        <v>94</v>
      </c>
    </row>
    <row r="208" spans="1:17" x14ac:dyDescent="0.25">
      <c r="A208" s="6" t="s">
        <v>29</v>
      </c>
      <c r="B208" s="7">
        <v>40014</v>
      </c>
      <c r="C208" s="7" t="s">
        <v>32</v>
      </c>
      <c r="D208" s="7" t="s">
        <v>19</v>
      </c>
      <c r="E208" s="7"/>
      <c r="F208" s="8">
        <v>18</v>
      </c>
      <c r="G208" s="8">
        <v>13</v>
      </c>
      <c r="H208" s="8">
        <v>38</v>
      </c>
      <c r="I208" s="8">
        <v>6</v>
      </c>
      <c r="J208" s="8">
        <v>3</v>
      </c>
      <c r="K208" s="8">
        <v>8</v>
      </c>
      <c r="L208" s="8">
        <v>2</v>
      </c>
      <c r="M208" s="8">
        <v>0</v>
      </c>
      <c r="N208" s="8">
        <v>0</v>
      </c>
      <c r="O208" s="8">
        <v>0</v>
      </c>
      <c r="P208" s="9">
        <v>12</v>
      </c>
      <c r="Q208" s="10">
        <f t="shared" si="9"/>
        <v>100</v>
      </c>
    </row>
    <row r="209" spans="1:17" x14ac:dyDescent="0.25">
      <c r="A209" s="6" t="s">
        <v>31</v>
      </c>
      <c r="B209" s="7">
        <v>40015</v>
      </c>
      <c r="C209" s="7" t="s">
        <v>32</v>
      </c>
      <c r="D209" s="7" t="s">
        <v>19</v>
      </c>
      <c r="E209" s="7"/>
      <c r="F209" s="8">
        <v>5</v>
      </c>
      <c r="G209" s="8">
        <v>2</v>
      </c>
      <c r="H209" s="8">
        <v>42</v>
      </c>
      <c r="I209" s="8">
        <v>2</v>
      </c>
      <c r="J209" s="8">
        <v>2</v>
      </c>
      <c r="K209" s="8">
        <v>13</v>
      </c>
      <c r="L209" s="8">
        <v>4</v>
      </c>
      <c r="M209" s="8">
        <v>8</v>
      </c>
      <c r="N209" s="8">
        <v>0</v>
      </c>
      <c r="O209" s="8">
        <v>0</v>
      </c>
      <c r="P209" s="9">
        <v>5</v>
      </c>
      <c r="Q209" s="10">
        <f t="shared" si="9"/>
        <v>83</v>
      </c>
    </row>
    <row r="210" spans="1:17" x14ac:dyDescent="0.25">
      <c r="A210" s="6" t="s">
        <v>33</v>
      </c>
      <c r="B210" s="7">
        <v>40016</v>
      </c>
      <c r="C210" s="7" t="s">
        <v>32</v>
      </c>
      <c r="D210" s="7" t="s">
        <v>19</v>
      </c>
      <c r="E210" s="7"/>
      <c r="F210" s="8">
        <v>10</v>
      </c>
      <c r="G210" s="8">
        <v>6</v>
      </c>
      <c r="H210" s="8">
        <v>43</v>
      </c>
      <c r="I210" s="8">
        <v>2</v>
      </c>
      <c r="J210" s="8">
        <v>3</v>
      </c>
      <c r="K210" s="8">
        <v>11</v>
      </c>
      <c r="L210" s="8">
        <v>0</v>
      </c>
      <c r="M210" s="8">
        <v>5</v>
      </c>
      <c r="N210" s="8">
        <v>2</v>
      </c>
      <c r="O210" s="8">
        <v>0</v>
      </c>
      <c r="P210" s="9">
        <v>7</v>
      </c>
      <c r="Q210" s="10">
        <f t="shared" si="9"/>
        <v>89</v>
      </c>
    </row>
    <row r="211" spans="1:17" x14ac:dyDescent="0.25">
      <c r="A211" s="6" t="s">
        <v>17</v>
      </c>
      <c r="B211" s="7">
        <v>40017</v>
      </c>
      <c r="C211" s="7" t="s">
        <v>32</v>
      </c>
      <c r="D211" s="7" t="s">
        <v>19</v>
      </c>
      <c r="E211" s="7"/>
      <c r="F211" s="8">
        <v>15</v>
      </c>
      <c r="G211" s="8">
        <v>13</v>
      </c>
      <c r="H211" s="8">
        <v>48</v>
      </c>
      <c r="I211" s="8">
        <v>2</v>
      </c>
      <c r="J211" s="8">
        <v>1</v>
      </c>
      <c r="K211" s="8">
        <v>7</v>
      </c>
      <c r="L211" s="8">
        <v>0</v>
      </c>
      <c r="M211" s="8">
        <v>3</v>
      </c>
      <c r="N211" s="8">
        <v>0</v>
      </c>
      <c r="O211" s="8">
        <v>0</v>
      </c>
      <c r="P211" s="9">
        <v>5</v>
      </c>
      <c r="Q211" s="10">
        <f t="shared" si="9"/>
        <v>94</v>
      </c>
    </row>
    <row r="212" spans="1:17" x14ac:dyDescent="0.25">
      <c r="A212" s="11" t="s">
        <v>20</v>
      </c>
      <c r="B212" s="12">
        <v>40018</v>
      </c>
      <c r="C212" s="12" t="s">
        <v>32</v>
      </c>
      <c r="D212" s="13" t="s">
        <v>37</v>
      </c>
      <c r="E212" s="12"/>
      <c r="F212" s="14">
        <v>8</v>
      </c>
      <c r="G212" s="14">
        <v>10</v>
      </c>
      <c r="H212" s="14">
        <v>28</v>
      </c>
      <c r="I212" s="14">
        <v>0</v>
      </c>
      <c r="J212" s="14">
        <v>1</v>
      </c>
      <c r="K212" s="14">
        <v>4</v>
      </c>
      <c r="L212" s="14">
        <v>2</v>
      </c>
      <c r="M212" s="14">
        <v>2</v>
      </c>
      <c r="N212" s="14">
        <v>0</v>
      </c>
      <c r="O212" s="14">
        <v>0</v>
      </c>
      <c r="P212" s="15">
        <v>2</v>
      </c>
      <c r="Q212" s="10">
        <f t="shared" si="9"/>
        <v>57</v>
      </c>
    </row>
    <row r="213" spans="1:17" x14ac:dyDescent="0.25">
      <c r="A213" s="11" t="s">
        <v>24</v>
      </c>
      <c r="B213" s="12">
        <v>40019</v>
      </c>
      <c r="C213" s="12" t="s">
        <v>32</v>
      </c>
      <c r="D213" s="13" t="s">
        <v>37</v>
      </c>
      <c r="E213" s="12"/>
      <c r="F213" s="14">
        <v>18</v>
      </c>
      <c r="G213" s="14">
        <v>6</v>
      </c>
      <c r="H213" s="14">
        <v>30</v>
      </c>
      <c r="I213" s="14">
        <v>1</v>
      </c>
      <c r="J213" s="14">
        <v>6</v>
      </c>
      <c r="K213" s="14">
        <v>3</v>
      </c>
      <c r="L213" s="14">
        <v>2</v>
      </c>
      <c r="M213" s="14">
        <v>2</v>
      </c>
      <c r="N213" s="14">
        <v>0</v>
      </c>
      <c r="O213" s="14">
        <v>0</v>
      </c>
      <c r="P213" s="15">
        <v>5</v>
      </c>
      <c r="Q213" s="10">
        <f t="shared" si="9"/>
        <v>73</v>
      </c>
    </row>
    <row r="214" spans="1:17" x14ac:dyDescent="0.25">
      <c r="A214" s="6" t="s">
        <v>26</v>
      </c>
      <c r="B214" s="7">
        <v>40020</v>
      </c>
      <c r="C214" s="7" t="s">
        <v>25</v>
      </c>
      <c r="D214" s="7" t="s">
        <v>19</v>
      </c>
      <c r="E214" s="7"/>
      <c r="F214" s="8">
        <v>27</v>
      </c>
      <c r="G214" s="8">
        <v>6</v>
      </c>
      <c r="H214" s="8">
        <v>44</v>
      </c>
      <c r="I214" s="8">
        <v>4</v>
      </c>
      <c r="J214" s="8">
        <v>4</v>
      </c>
      <c r="K214" s="8">
        <v>18</v>
      </c>
      <c r="L214" s="8">
        <v>4</v>
      </c>
      <c r="M214" s="8">
        <v>2</v>
      </c>
      <c r="N214" s="8">
        <v>0</v>
      </c>
      <c r="O214" s="8">
        <v>0</v>
      </c>
      <c r="P214" s="9">
        <v>2</v>
      </c>
      <c r="Q214" s="10">
        <f t="shared" si="9"/>
        <v>111</v>
      </c>
    </row>
    <row r="215" spans="1:17" x14ac:dyDescent="0.25">
      <c r="A215" s="6" t="s">
        <v>29</v>
      </c>
      <c r="B215" s="7">
        <v>40021</v>
      </c>
      <c r="C215" s="7" t="s">
        <v>32</v>
      </c>
      <c r="D215" s="7" t="s">
        <v>19</v>
      </c>
      <c r="E215" s="7"/>
      <c r="F215" s="8">
        <v>25</v>
      </c>
      <c r="G215" s="8">
        <v>21</v>
      </c>
      <c r="H215" s="8">
        <v>49</v>
      </c>
      <c r="I215" s="8">
        <v>6</v>
      </c>
      <c r="J215" s="8">
        <v>1</v>
      </c>
      <c r="K215" s="8">
        <v>9</v>
      </c>
      <c r="L215" s="8">
        <v>3</v>
      </c>
      <c r="M215" s="8">
        <v>7</v>
      </c>
      <c r="N215" s="8">
        <v>1</v>
      </c>
      <c r="O215" s="8">
        <v>0</v>
      </c>
      <c r="P215" s="9">
        <v>3</v>
      </c>
      <c r="Q215" s="10">
        <f t="shared" si="9"/>
        <v>125</v>
      </c>
    </row>
    <row r="216" spans="1:17" x14ac:dyDescent="0.25">
      <c r="A216" s="6" t="s">
        <v>31</v>
      </c>
      <c r="B216" s="7">
        <v>40022</v>
      </c>
      <c r="C216" s="7" t="s">
        <v>32</v>
      </c>
      <c r="D216" s="7" t="s">
        <v>19</v>
      </c>
      <c r="E216" s="7"/>
      <c r="F216" s="8">
        <v>17</v>
      </c>
      <c r="G216" s="8">
        <v>6</v>
      </c>
      <c r="H216" s="8">
        <v>38</v>
      </c>
      <c r="I216" s="8">
        <v>3</v>
      </c>
      <c r="J216" s="8">
        <v>6</v>
      </c>
      <c r="K216" s="8">
        <v>5</v>
      </c>
      <c r="L216" s="8">
        <v>5</v>
      </c>
      <c r="M216" s="8">
        <v>9</v>
      </c>
      <c r="N216" s="8">
        <v>0</v>
      </c>
      <c r="O216" s="8">
        <v>0</v>
      </c>
      <c r="P216" s="9">
        <v>7</v>
      </c>
      <c r="Q216" s="10">
        <f t="shared" si="9"/>
        <v>96</v>
      </c>
    </row>
    <row r="217" spans="1:17" x14ac:dyDescent="0.25">
      <c r="A217" s="6" t="s">
        <v>33</v>
      </c>
      <c r="B217" s="7">
        <v>40023</v>
      </c>
      <c r="C217" s="7" t="s">
        <v>138</v>
      </c>
      <c r="D217" s="7" t="s">
        <v>19</v>
      </c>
      <c r="E217" s="7"/>
      <c r="F217" s="8">
        <v>18</v>
      </c>
      <c r="G217" s="8">
        <v>17</v>
      </c>
      <c r="H217" s="8">
        <v>59</v>
      </c>
      <c r="I217" s="8">
        <v>2</v>
      </c>
      <c r="J217" s="8">
        <v>8</v>
      </c>
      <c r="K217" s="8">
        <v>8</v>
      </c>
      <c r="L217" s="8">
        <v>2</v>
      </c>
      <c r="M217" s="8">
        <v>9</v>
      </c>
      <c r="N217" s="8">
        <v>0</v>
      </c>
      <c r="O217" s="8">
        <v>0</v>
      </c>
      <c r="P217" s="9">
        <v>12</v>
      </c>
      <c r="Q217" s="10">
        <f t="shared" si="9"/>
        <v>135</v>
      </c>
    </row>
    <row r="218" spans="1:17" x14ac:dyDescent="0.25">
      <c r="A218" s="6" t="s">
        <v>17</v>
      </c>
      <c r="B218" s="7">
        <v>40024</v>
      </c>
      <c r="C218" s="7" t="s">
        <v>138</v>
      </c>
      <c r="D218" s="7" t="s">
        <v>19</v>
      </c>
      <c r="E218" s="7"/>
      <c r="F218" s="8">
        <v>25</v>
      </c>
      <c r="G218" s="8">
        <v>11</v>
      </c>
      <c r="H218" s="8">
        <v>46</v>
      </c>
      <c r="I218" s="8">
        <v>3</v>
      </c>
      <c r="J218" s="8">
        <v>1</v>
      </c>
      <c r="K218" s="8">
        <v>7</v>
      </c>
      <c r="L218" s="8">
        <v>5</v>
      </c>
      <c r="M218" s="8">
        <v>7</v>
      </c>
      <c r="N218" s="8">
        <v>2</v>
      </c>
      <c r="O218" s="8">
        <v>0</v>
      </c>
      <c r="P218" s="9">
        <v>4</v>
      </c>
      <c r="Q218" s="10">
        <f t="shared" si="9"/>
        <v>111</v>
      </c>
    </row>
    <row r="219" spans="1:17" x14ac:dyDescent="0.25">
      <c r="A219" s="11" t="s">
        <v>20</v>
      </c>
      <c r="B219" s="12">
        <v>40025</v>
      </c>
      <c r="C219" s="12" t="s">
        <v>32</v>
      </c>
      <c r="D219" s="13" t="s">
        <v>37</v>
      </c>
      <c r="E219" s="12"/>
      <c r="F219" s="14">
        <v>9</v>
      </c>
      <c r="G219" s="14">
        <v>10</v>
      </c>
      <c r="H219" s="14">
        <v>33</v>
      </c>
      <c r="I219" s="14">
        <v>2</v>
      </c>
      <c r="J219" s="14">
        <v>6</v>
      </c>
      <c r="K219" s="14">
        <v>5</v>
      </c>
      <c r="L219" s="14">
        <v>6</v>
      </c>
      <c r="M219" s="14">
        <v>4</v>
      </c>
      <c r="N219" s="14">
        <v>0</v>
      </c>
      <c r="O219" s="14">
        <v>0</v>
      </c>
      <c r="P219" s="15">
        <v>0</v>
      </c>
      <c r="Q219" s="10">
        <f t="shared" si="9"/>
        <v>75</v>
      </c>
    </row>
    <row r="220" spans="1:17" x14ac:dyDescent="0.25">
      <c r="A220" s="7" t="s">
        <v>45</v>
      </c>
      <c r="B220" s="8"/>
      <c r="C220" s="8"/>
      <c r="D220" s="8"/>
      <c r="E220" s="8"/>
      <c r="F220" s="18">
        <f>SUM(F189:F219)</f>
        <v>573</v>
      </c>
      <c r="G220" s="18">
        <f t="shared" ref="G220:N220" si="10">SUM(G189:G219)</f>
        <v>315</v>
      </c>
      <c r="H220" s="18">
        <f t="shared" si="10"/>
        <v>1017</v>
      </c>
      <c r="I220" s="18">
        <f t="shared" si="10"/>
        <v>77</v>
      </c>
      <c r="J220" s="18">
        <f t="shared" si="10"/>
        <v>86</v>
      </c>
      <c r="K220" s="18">
        <f t="shared" si="10"/>
        <v>237</v>
      </c>
      <c r="L220" s="18">
        <f t="shared" si="10"/>
        <v>157</v>
      </c>
      <c r="M220" s="18">
        <f t="shared" si="10"/>
        <v>155</v>
      </c>
      <c r="N220" s="18">
        <f t="shared" si="10"/>
        <v>24</v>
      </c>
      <c r="O220" s="18">
        <f>SUM(O189:O219)</f>
        <v>27</v>
      </c>
      <c r="P220" s="18">
        <f>SUM(P189:P219)</f>
        <v>104</v>
      </c>
      <c r="Q220" s="17">
        <f>SUM(Q189:Q219)</f>
        <v>2772</v>
      </c>
    </row>
    <row r="221" spans="1:17" x14ac:dyDescent="0.25">
      <c r="A221" s="11" t="s">
        <v>24</v>
      </c>
      <c r="B221" s="12">
        <v>40026</v>
      </c>
      <c r="C221" s="12" t="s">
        <v>32</v>
      </c>
      <c r="D221" s="13" t="s">
        <v>37</v>
      </c>
      <c r="E221" s="12"/>
      <c r="F221" s="14">
        <v>12</v>
      </c>
      <c r="G221" s="14">
        <v>12</v>
      </c>
      <c r="H221" s="14">
        <v>22</v>
      </c>
      <c r="I221" s="14">
        <v>0</v>
      </c>
      <c r="J221" s="14">
        <v>6</v>
      </c>
      <c r="K221" s="14">
        <v>19</v>
      </c>
      <c r="L221" s="14">
        <v>2</v>
      </c>
      <c r="M221" s="14">
        <v>3</v>
      </c>
      <c r="N221" s="14">
        <v>0</v>
      </c>
      <c r="O221" s="14">
        <v>0</v>
      </c>
      <c r="P221" s="15">
        <v>3</v>
      </c>
      <c r="Q221" s="10">
        <f t="shared" si="9"/>
        <v>79</v>
      </c>
    </row>
    <row r="222" spans="1:17" x14ac:dyDescent="0.25">
      <c r="A222" s="6" t="s">
        <v>26</v>
      </c>
      <c r="B222" s="7">
        <v>40027</v>
      </c>
      <c r="C222" s="7" t="s">
        <v>136</v>
      </c>
      <c r="D222" s="7" t="s">
        <v>19</v>
      </c>
      <c r="E222" s="7"/>
      <c r="F222" s="8">
        <v>24</v>
      </c>
      <c r="G222" s="8">
        <v>19</v>
      </c>
      <c r="H222" s="8">
        <v>28</v>
      </c>
      <c r="I222" s="8">
        <v>1</v>
      </c>
      <c r="J222" s="8">
        <v>3</v>
      </c>
      <c r="K222" s="8">
        <v>14</v>
      </c>
      <c r="L222" s="8">
        <v>2</v>
      </c>
      <c r="M222" s="8">
        <v>4</v>
      </c>
      <c r="N222" s="8">
        <v>0</v>
      </c>
      <c r="O222" s="8">
        <v>0</v>
      </c>
      <c r="P222" s="9">
        <v>1</v>
      </c>
      <c r="Q222" s="10">
        <f t="shared" si="9"/>
        <v>96</v>
      </c>
    </row>
    <row r="223" spans="1:17" x14ac:dyDescent="0.25">
      <c r="A223" s="6" t="s">
        <v>29</v>
      </c>
      <c r="B223" s="7">
        <v>40028</v>
      </c>
      <c r="C223" s="7" t="s">
        <v>99</v>
      </c>
      <c r="D223" s="7" t="s">
        <v>19</v>
      </c>
      <c r="E223" s="7"/>
      <c r="F223" s="8">
        <v>26</v>
      </c>
      <c r="G223" s="8">
        <v>16</v>
      </c>
      <c r="H223" s="8">
        <v>32</v>
      </c>
      <c r="I223" s="8">
        <v>2</v>
      </c>
      <c r="J223" s="8">
        <v>3</v>
      </c>
      <c r="K223" s="8">
        <v>20</v>
      </c>
      <c r="L223" s="8">
        <v>6</v>
      </c>
      <c r="M223" s="8">
        <v>12</v>
      </c>
      <c r="N223" s="8">
        <v>0</v>
      </c>
      <c r="O223" s="8">
        <v>0</v>
      </c>
      <c r="P223" s="9">
        <v>4</v>
      </c>
      <c r="Q223" s="10">
        <f t="shared" si="9"/>
        <v>121</v>
      </c>
    </row>
    <row r="224" spans="1:17" x14ac:dyDescent="0.25">
      <c r="A224" s="6" t="s">
        <v>31</v>
      </c>
      <c r="B224" s="7">
        <v>40029</v>
      </c>
      <c r="C224" s="7" t="s">
        <v>32</v>
      </c>
      <c r="D224" s="7" t="s">
        <v>19</v>
      </c>
      <c r="E224" s="7"/>
      <c r="F224" s="8">
        <v>14</v>
      </c>
      <c r="G224" s="8">
        <v>30</v>
      </c>
      <c r="H224" s="8">
        <v>60</v>
      </c>
      <c r="I224" s="8">
        <v>3</v>
      </c>
      <c r="J224" s="8">
        <v>1</v>
      </c>
      <c r="K224" s="8">
        <v>6</v>
      </c>
      <c r="L224" s="8">
        <v>7</v>
      </c>
      <c r="M224" s="8">
        <v>13</v>
      </c>
      <c r="N224" s="8">
        <v>0</v>
      </c>
      <c r="O224" s="8">
        <v>0</v>
      </c>
      <c r="P224" s="9">
        <v>4</v>
      </c>
      <c r="Q224" s="10">
        <f t="shared" si="9"/>
        <v>138</v>
      </c>
    </row>
    <row r="225" spans="1:17" x14ac:dyDescent="0.25">
      <c r="A225" s="6" t="s">
        <v>33</v>
      </c>
      <c r="B225" s="7">
        <v>40030</v>
      </c>
      <c r="C225" s="6" t="s">
        <v>32</v>
      </c>
      <c r="D225" s="7" t="s">
        <v>19</v>
      </c>
      <c r="E225" s="6"/>
      <c r="F225" s="8">
        <v>19</v>
      </c>
      <c r="G225" s="8">
        <v>26</v>
      </c>
      <c r="H225" s="8">
        <v>60</v>
      </c>
      <c r="I225" s="8">
        <v>7</v>
      </c>
      <c r="J225" s="8">
        <v>1</v>
      </c>
      <c r="K225" s="8">
        <v>6</v>
      </c>
      <c r="L225" s="8">
        <v>19</v>
      </c>
      <c r="M225" s="8">
        <v>4</v>
      </c>
      <c r="N225" s="8">
        <v>5</v>
      </c>
      <c r="O225" s="8">
        <v>0</v>
      </c>
      <c r="P225" s="9">
        <v>10</v>
      </c>
      <c r="Q225" s="10">
        <f t="shared" si="9"/>
        <v>157</v>
      </c>
    </row>
    <row r="226" spans="1:17" x14ac:dyDescent="0.25">
      <c r="A226" s="6" t="s">
        <v>17</v>
      </c>
      <c r="B226" s="7">
        <v>40031</v>
      </c>
      <c r="C226" s="7" t="s">
        <v>32</v>
      </c>
      <c r="D226" s="7" t="s">
        <v>19</v>
      </c>
      <c r="E226" s="7"/>
      <c r="F226" s="8">
        <v>32</v>
      </c>
      <c r="G226" s="8">
        <v>13</v>
      </c>
      <c r="H226" s="8">
        <v>51</v>
      </c>
      <c r="I226" s="8">
        <v>1</v>
      </c>
      <c r="J226" s="8">
        <v>1</v>
      </c>
      <c r="K226" s="8">
        <v>11</v>
      </c>
      <c r="L226" s="8">
        <v>8</v>
      </c>
      <c r="M226" s="8">
        <v>19</v>
      </c>
      <c r="N226" s="8">
        <v>0</v>
      </c>
      <c r="O226" s="8">
        <v>0</v>
      </c>
      <c r="P226" s="9">
        <v>4</v>
      </c>
      <c r="Q226" s="10">
        <f t="shared" si="9"/>
        <v>140</v>
      </c>
    </row>
    <row r="227" spans="1:17" x14ac:dyDescent="0.25">
      <c r="A227" s="11" t="s">
        <v>20</v>
      </c>
      <c r="B227" s="12">
        <v>40032</v>
      </c>
      <c r="C227" s="12" t="s">
        <v>32</v>
      </c>
      <c r="D227" s="13" t="s">
        <v>37</v>
      </c>
      <c r="E227" s="12"/>
      <c r="F227" s="14">
        <v>6</v>
      </c>
      <c r="G227" s="14">
        <v>17</v>
      </c>
      <c r="H227" s="14">
        <v>38</v>
      </c>
      <c r="I227" s="14">
        <v>3</v>
      </c>
      <c r="J227" s="14">
        <v>1</v>
      </c>
      <c r="K227" s="14">
        <v>13</v>
      </c>
      <c r="L227" s="14">
        <v>5</v>
      </c>
      <c r="M227" s="14">
        <v>1</v>
      </c>
      <c r="N227" s="14">
        <v>2</v>
      </c>
      <c r="O227" s="14">
        <v>0</v>
      </c>
      <c r="P227" s="15">
        <v>16</v>
      </c>
      <c r="Q227" s="10">
        <f t="shared" si="9"/>
        <v>102</v>
      </c>
    </row>
    <row r="228" spans="1:17" x14ac:dyDescent="0.25">
      <c r="A228" s="11" t="s">
        <v>24</v>
      </c>
      <c r="B228" s="12">
        <v>40033</v>
      </c>
      <c r="C228" s="12" t="s">
        <v>32</v>
      </c>
      <c r="D228" s="13" t="s">
        <v>37</v>
      </c>
      <c r="E228" s="12"/>
      <c r="F228" s="14">
        <v>10</v>
      </c>
      <c r="G228" s="14">
        <v>19</v>
      </c>
      <c r="H228" s="14">
        <v>26</v>
      </c>
      <c r="I228" s="14">
        <v>4</v>
      </c>
      <c r="J228" s="14">
        <v>1</v>
      </c>
      <c r="K228" s="14">
        <v>11</v>
      </c>
      <c r="L228" s="14">
        <v>2</v>
      </c>
      <c r="M228" s="14">
        <v>5</v>
      </c>
      <c r="N228" s="14">
        <v>0</v>
      </c>
      <c r="O228" s="14">
        <v>0</v>
      </c>
      <c r="P228" s="15">
        <v>3</v>
      </c>
      <c r="Q228" s="10">
        <f t="shared" si="9"/>
        <v>81</v>
      </c>
    </row>
    <row r="229" spans="1:17" x14ac:dyDescent="0.25">
      <c r="A229" s="6" t="s">
        <v>26</v>
      </c>
      <c r="B229" s="7">
        <v>40034</v>
      </c>
      <c r="C229" s="7" t="s">
        <v>32</v>
      </c>
      <c r="D229" s="7" t="s">
        <v>19</v>
      </c>
      <c r="E229" s="7"/>
      <c r="F229" s="8">
        <v>24</v>
      </c>
      <c r="G229" s="8">
        <v>12</v>
      </c>
      <c r="H229" s="8">
        <v>63</v>
      </c>
      <c r="I229" s="8">
        <v>9</v>
      </c>
      <c r="J229" s="8">
        <v>2</v>
      </c>
      <c r="K229" s="8">
        <v>15</v>
      </c>
      <c r="L229" s="8">
        <v>11</v>
      </c>
      <c r="M229" s="8">
        <v>7</v>
      </c>
      <c r="N229" s="8">
        <v>0</v>
      </c>
      <c r="O229" s="8">
        <v>0</v>
      </c>
      <c r="P229" s="9">
        <v>1</v>
      </c>
      <c r="Q229" s="10">
        <f t="shared" si="9"/>
        <v>144</v>
      </c>
    </row>
    <row r="230" spans="1:17" x14ac:dyDescent="0.25">
      <c r="A230" s="6" t="s">
        <v>29</v>
      </c>
      <c r="B230" s="7">
        <v>40035</v>
      </c>
      <c r="C230" s="7" t="s">
        <v>25</v>
      </c>
      <c r="D230" s="7" t="s">
        <v>19</v>
      </c>
      <c r="E230" s="7"/>
      <c r="F230" s="8">
        <v>32</v>
      </c>
      <c r="G230" s="8">
        <v>28</v>
      </c>
      <c r="H230" s="8">
        <v>66</v>
      </c>
      <c r="I230" s="8">
        <v>6</v>
      </c>
      <c r="J230" s="8">
        <v>8</v>
      </c>
      <c r="K230" s="8">
        <v>13</v>
      </c>
      <c r="L230" s="8">
        <v>3</v>
      </c>
      <c r="M230" s="8">
        <v>8</v>
      </c>
      <c r="N230" s="8">
        <v>0</v>
      </c>
      <c r="O230" s="8">
        <v>0</v>
      </c>
      <c r="P230" s="9">
        <v>3</v>
      </c>
      <c r="Q230" s="10">
        <f t="shared" si="9"/>
        <v>167</v>
      </c>
    </row>
    <row r="231" spans="1:17" x14ac:dyDescent="0.25">
      <c r="A231" s="6" t="s">
        <v>31</v>
      </c>
      <c r="B231" s="7">
        <v>40036</v>
      </c>
      <c r="C231" s="7" t="s">
        <v>25</v>
      </c>
      <c r="D231" s="7" t="s">
        <v>19</v>
      </c>
      <c r="E231" s="7"/>
      <c r="F231" s="8">
        <v>19</v>
      </c>
      <c r="G231" s="8">
        <v>22</v>
      </c>
      <c r="H231" s="8">
        <v>73</v>
      </c>
      <c r="I231" s="8">
        <v>4</v>
      </c>
      <c r="J231" s="8">
        <v>3</v>
      </c>
      <c r="K231" s="8">
        <v>12</v>
      </c>
      <c r="L231" s="8">
        <v>2</v>
      </c>
      <c r="M231" s="8">
        <v>8</v>
      </c>
      <c r="N231" s="8">
        <v>0</v>
      </c>
      <c r="O231" s="8">
        <v>0</v>
      </c>
      <c r="P231" s="9">
        <v>21</v>
      </c>
      <c r="Q231" s="10">
        <f t="shared" si="9"/>
        <v>164</v>
      </c>
    </row>
    <row r="232" spans="1:17" x14ac:dyDescent="0.25">
      <c r="A232" s="6" t="s">
        <v>33</v>
      </c>
      <c r="B232" s="7">
        <v>40037</v>
      </c>
      <c r="C232" s="7" t="s">
        <v>32</v>
      </c>
      <c r="D232" s="7" t="s">
        <v>19</v>
      </c>
      <c r="E232" s="7"/>
      <c r="F232" s="8">
        <v>21</v>
      </c>
      <c r="G232" s="8">
        <v>28</v>
      </c>
      <c r="H232" s="8">
        <v>46</v>
      </c>
      <c r="I232" s="8">
        <v>3</v>
      </c>
      <c r="J232" s="8">
        <v>2</v>
      </c>
      <c r="K232" s="8">
        <v>8</v>
      </c>
      <c r="L232" s="8">
        <v>24</v>
      </c>
      <c r="M232" s="8">
        <v>15</v>
      </c>
      <c r="N232" s="8">
        <v>3</v>
      </c>
      <c r="O232" s="8">
        <v>0</v>
      </c>
      <c r="P232" s="9">
        <v>2</v>
      </c>
      <c r="Q232" s="10">
        <f t="shared" si="9"/>
        <v>152</v>
      </c>
    </row>
    <row r="233" spans="1:17" x14ac:dyDescent="0.25">
      <c r="A233" s="6" t="s">
        <v>17</v>
      </c>
      <c r="B233" s="7">
        <v>40038</v>
      </c>
      <c r="C233" s="7" t="s">
        <v>25</v>
      </c>
      <c r="D233" s="7" t="s">
        <v>19</v>
      </c>
      <c r="E233" s="7"/>
      <c r="F233" s="8">
        <v>24</v>
      </c>
      <c r="G233" s="8">
        <v>25</v>
      </c>
      <c r="H233" s="8">
        <v>67</v>
      </c>
      <c r="I233" s="8">
        <v>2</v>
      </c>
      <c r="J233" s="8">
        <v>2</v>
      </c>
      <c r="K233" s="8">
        <v>12</v>
      </c>
      <c r="L233" s="8">
        <v>9</v>
      </c>
      <c r="M233" s="8">
        <v>12</v>
      </c>
      <c r="N233" s="8">
        <v>0</v>
      </c>
      <c r="O233" s="8">
        <v>0</v>
      </c>
      <c r="P233" s="9">
        <v>6</v>
      </c>
      <c r="Q233" s="10">
        <f t="shared" si="9"/>
        <v>159</v>
      </c>
    </row>
    <row r="234" spans="1:17" x14ac:dyDescent="0.25">
      <c r="A234" s="11" t="s">
        <v>20</v>
      </c>
      <c r="B234" s="12">
        <v>40039</v>
      </c>
      <c r="C234" s="12" t="s">
        <v>25</v>
      </c>
      <c r="D234" s="13" t="s">
        <v>37</v>
      </c>
      <c r="E234" s="12"/>
      <c r="F234" s="14">
        <v>0</v>
      </c>
      <c r="G234" s="14">
        <v>2</v>
      </c>
      <c r="H234" s="14">
        <v>10</v>
      </c>
      <c r="I234" s="14">
        <v>5</v>
      </c>
      <c r="J234" s="14">
        <v>0</v>
      </c>
      <c r="K234" s="14">
        <v>0</v>
      </c>
      <c r="L234" s="14">
        <v>3</v>
      </c>
      <c r="M234" s="14">
        <v>1</v>
      </c>
      <c r="N234" s="14">
        <v>0</v>
      </c>
      <c r="O234" s="14">
        <v>0</v>
      </c>
      <c r="P234" s="15">
        <v>0</v>
      </c>
      <c r="Q234" s="10">
        <f t="shared" si="9"/>
        <v>21</v>
      </c>
    </row>
    <row r="235" spans="1:17" x14ac:dyDescent="0.25">
      <c r="A235" s="11" t="s">
        <v>24</v>
      </c>
      <c r="B235" s="12">
        <v>40040</v>
      </c>
      <c r="C235" s="12" t="s">
        <v>139</v>
      </c>
      <c r="D235" s="13" t="s">
        <v>37</v>
      </c>
      <c r="E235" s="12" t="s">
        <v>140</v>
      </c>
      <c r="F235" s="14">
        <v>20</v>
      </c>
      <c r="G235" s="14">
        <v>11</v>
      </c>
      <c r="H235" s="14">
        <v>56</v>
      </c>
      <c r="I235" s="14">
        <v>1</v>
      </c>
      <c r="J235" s="14">
        <v>1</v>
      </c>
      <c r="K235" s="14">
        <v>8</v>
      </c>
      <c r="L235" s="14">
        <v>9</v>
      </c>
      <c r="M235" s="14">
        <v>16</v>
      </c>
      <c r="N235" s="14"/>
      <c r="O235" s="14"/>
      <c r="P235" s="15">
        <v>1</v>
      </c>
      <c r="Q235" s="10">
        <f t="shared" si="9"/>
        <v>123</v>
      </c>
    </row>
    <row r="236" spans="1:17" x14ac:dyDescent="0.25">
      <c r="A236" s="6" t="s">
        <v>26</v>
      </c>
      <c r="B236" s="7">
        <v>40041</v>
      </c>
      <c r="C236" s="7" t="s">
        <v>32</v>
      </c>
      <c r="D236" s="7" t="s">
        <v>19</v>
      </c>
      <c r="E236" s="7"/>
      <c r="F236" s="8">
        <v>19</v>
      </c>
      <c r="G236" s="8">
        <v>18</v>
      </c>
      <c r="H236" s="8">
        <v>70</v>
      </c>
      <c r="I236" s="8">
        <v>0</v>
      </c>
      <c r="J236" s="8">
        <v>0</v>
      </c>
      <c r="K236" s="8">
        <v>13</v>
      </c>
      <c r="L236" s="8">
        <v>4</v>
      </c>
      <c r="M236" s="8">
        <v>10</v>
      </c>
      <c r="N236" s="8">
        <v>0</v>
      </c>
      <c r="O236" s="8">
        <v>0</v>
      </c>
      <c r="P236" s="9">
        <v>6</v>
      </c>
      <c r="Q236" s="10">
        <f t="shared" si="9"/>
        <v>140</v>
      </c>
    </row>
    <row r="237" spans="1:17" x14ac:dyDescent="0.25">
      <c r="A237" s="6" t="s">
        <v>29</v>
      </c>
      <c r="B237" s="7">
        <v>40042</v>
      </c>
      <c r="C237" s="7" t="s">
        <v>25</v>
      </c>
      <c r="D237" s="7" t="s">
        <v>19</v>
      </c>
      <c r="E237" s="7"/>
      <c r="F237" s="8">
        <v>22</v>
      </c>
      <c r="G237" s="8">
        <v>28</v>
      </c>
      <c r="H237" s="8">
        <v>64</v>
      </c>
      <c r="I237" s="8">
        <v>0</v>
      </c>
      <c r="J237" s="8">
        <v>8</v>
      </c>
      <c r="K237" s="8">
        <v>17</v>
      </c>
      <c r="L237" s="8">
        <v>9</v>
      </c>
      <c r="M237" s="8">
        <v>10</v>
      </c>
      <c r="N237" s="8">
        <v>0</v>
      </c>
      <c r="O237" s="8">
        <v>0</v>
      </c>
      <c r="P237" s="9">
        <v>4</v>
      </c>
      <c r="Q237" s="10">
        <f t="shared" si="9"/>
        <v>162</v>
      </c>
    </row>
    <row r="238" spans="1:17" x14ac:dyDescent="0.25">
      <c r="A238" s="6" t="s">
        <v>31</v>
      </c>
      <c r="B238" s="7">
        <v>40043</v>
      </c>
      <c r="C238" s="7" t="s">
        <v>32</v>
      </c>
      <c r="D238" s="7" t="s">
        <v>19</v>
      </c>
      <c r="E238" s="7"/>
      <c r="F238" s="8">
        <v>17</v>
      </c>
      <c r="G238" s="8">
        <v>5</v>
      </c>
      <c r="H238" s="8">
        <v>74</v>
      </c>
      <c r="I238" s="8">
        <v>1</v>
      </c>
      <c r="J238" s="8">
        <v>1</v>
      </c>
      <c r="K238" s="8">
        <v>6</v>
      </c>
      <c r="L238" s="8">
        <v>12</v>
      </c>
      <c r="M238" s="8">
        <v>9</v>
      </c>
      <c r="N238" s="8"/>
      <c r="O238" s="8"/>
      <c r="P238" s="9">
        <v>4</v>
      </c>
      <c r="Q238" s="10">
        <f t="shared" si="9"/>
        <v>129</v>
      </c>
    </row>
    <row r="239" spans="1:17" x14ac:dyDescent="0.25">
      <c r="A239" s="6" t="s">
        <v>33</v>
      </c>
      <c r="B239" s="7">
        <v>40044</v>
      </c>
      <c r="C239" s="7" t="s">
        <v>32</v>
      </c>
      <c r="D239" s="7" t="s">
        <v>19</v>
      </c>
      <c r="E239" s="7"/>
      <c r="F239" s="8">
        <v>17</v>
      </c>
      <c r="G239" s="8">
        <v>12</v>
      </c>
      <c r="H239" s="8">
        <v>57</v>
      </c>
      <c r="I239" s="8">
        <v>1</v>
      </c>
      <c r="J239" s="8">
        <v>4</v>
      </c>
      <c r="K239" s="8">
        <v>10</v>
      </c>
      <c r="L239" s="8">
        <v>5</v>
      </c>
      <c r="M239" s="8">
        <v>17</v>
      </c>
      <c r="N239" s="8"/>
      <c r="O239" s="8"/>
      <c r="P239" s="9">
        <v>9</v>
      </c>
      <c r="Q239" s="10">
        <f t="shared" si="9"/>
        <v>132</v>
      </c>
    </row>
    <row r="240" spans="1:17" x14ac:dyDescent="0.25">
      <c r="A240" s="6" t="s">
        <v>17</v>
      </c>
      <c r="B240" s="7">
        <v>40045</v>
      </c>
      <c r="C240" s="7" t="s">
        <v>141</v>
      </c>
      <c r="D240" s="7" t="s">
        <v>19</v>
      </c>
      <c r="E240" s="7"/>
      <c r="F240" s="8">
        <v>17</v>
      </c>
      <c r="G240" s="8">
        <v>12</v>
      </c>
      <c r="H240" s="8">
        <v>29</v>
      </c>
      <c r="I240" s="8">
        <v>0</v>
      </c>
      <c r="J240" s="8">
        <v>0</v>
      </c>
      <c r="K240" s="8">
        <v>17</v>
      </c>
      <c r="L240" s="8">
        <v>5</v>
      </c>
      <c r="M240" s="8">
        <v>7</v>
      </c>
      <c r="N240" s="8">
        <v>0</v>
      </c>
      <c r="O240" s="8">
        <v>0</v>
      </c>
      <c r="P240" s="9">
        <v>6</v>
      </c>
      <c r="Q240" s="10">
        <f t="shared" si="9"/>
        <v>93</v>
      </c>
    </row>
    <row r="241" spans="1:17" x14ac:dyDescent="0.25">
      <c r="A241" s="11" t="s">
        <v>20</v>
      </c>
      <c r="B241" s="12">
        <v>40046</v>
      </c>
      <c r="C241" s="12" t="s">
        <v>32</v>
      </c>
      <c r="D241" s="13" t="s">
        <v>37</v>
      </c>
      <c r="E241" s="12"/>
      <c r="F241" s="14">
        <v>13</v>
      </c>
      <c r="G241" s="14">
        <v>12</v>
      </c>
      <c r="H241" s="14">
        <v>29</v>
      </c>
      <c r="I241" s="14">
        <v>3</v>
      </c>
      <c r="J241" s="14">
        <v>1</v>
      </c>
      <c r="K241" s="14">
        <v>6</v>
      </c>
      <c r="L241" s="14">
        <v>0</v>
      </c>
      <c r="M241" s="14">
        <v>2</v>
      </c>
      <c r="N241" s="14">
        <v>0</v>
      </c>
      <c r="O241" s="14">
        <v>0</v>
      </c>
      <c r="P241" s="15">
        <v>0</v>
      </c>
      <c r="Q241" s="10">
        <f t="shared" si="9"/>
        <v>66</v>
      </c>
    </row>
    <row r="242" spans="1:17" x14ac:dyDescent="0.25">
      <c r="A242" s="11" t="s">
        <v>24</v>
      </c>
      <c r="B242" s="12">
        <v>40047</v>
      </c>
      <c r="C242" s="12" t="s">
        <v>32</v>
      </c>
      <c r="D242" s="13" t="s">
        <v>37</v>
      </c>
      <c r="E242" s="12"/>
      <c r="F242" s="14">
        <v>8</v>
      </c>
      <c r="G242" s="14">
        <v>5</v>
      </c>
      <c r="H242" s="14">
        <v>37</v>
      </c>
      <c r="I242" s="14">
        <v>2</v>
      </c>
      <c r="J242" s="14">
        <v>7</v>
      </c>
      <c r="K242" s="14">
        <v>3</v>
      </c>
      <c r="L242" s="14">
        <v>8</v>
      </c>
      <c r="M242" s="14">
        <v>5</v>
      </c>
      <c r="N242" s="14">
        <v>0</v>
      </c>
      <c r="O242" s="14">
        <v>0</v>
      </c>
      <c r="P242" s="15">
        <v>4</v>
      </c>
      <c r="Q242" s="10">
        <f t="shared" si="9"/>
        <v>79</v>
      </c>
    </row>
    <row r="243" spans="1:17" x14ac:dyDescent="0.25">
      <c r="A243" s="6" t="s">
        <v>26</v>
      </c>
      <c r="B243" s="7">
        <v>40048</v>
      </c>
      <c r="C243" s="7" t="s">
        <v>32</v>
      </c>
      <c r="D243" s="7" t="s">
        <v>19</v>
      </c>
      <c r="E243" s="7"/>
      <c r="F243" s="8">
        <v>22</v>
      </c>
      <c r="G243" s="8">
        <v>6</v>
      </c>
      <c r="H243" s="8">
        <v>43</v>
      </c>
      <c r="I243" s="8">
        <v>4</v>
      </c>
      <c r="J243" s="8">
        <v>0</v>
      </c>
      <c r="K243" s="8">
        <v>11</v>
      </c>
      <c r="L243" s="8">
        <v>1</v>
      </c>
      <c r="M243" s="8">
        <v>2</v>
      </c>
      <c r="N243" s="8">
        <v>2</v>
      </c>
      <c r="O243" s="8">
        <v>0</v>
      </c>
      <c r="P243" s="9">
        <v>7</v>
      </c>
      <c r="Q243" s="10">
        <f t="shared" si="9"/>
        <v>98</v>
      </c>
    </row>
    <row r="244" spans="1:17" x14ac:dyDescent="0.25">
      <c r="A244" s="6" t="s">
        <v>29</v>
      </c>
      <c r="B244" s="7">
        <v>40049</v>
      </c>
      <c r="C244" s="7" t="s">
        <v>32</v>
      </c>
      <c r="D244" s="7" t="s">
        <v>19</v>
      </c>
      <c r="E244" s="7"/>
      <c r="F244" s="8">
        <v>20</v>
      </c>
      <c r="G244" s="8">
        <v>15</v>
      </c>
      <c r="H244" s="8">
        <v>36</v>
      </c>
      <c r="I244" s="8">
        <v>6</v>
      </c>
      <c r="J244" s="8">
        <v>2</v>
      </c>
      <c r="K244" s="8">
        <v>9</v>
      </c>
      <c r="L244" s="8">
        <v>3</v>
      </c>
      <c r="M244" s="8">
        <v>4</v>
      </c>
      <c r="N244" s="8">
        <v>2</v>
      </c>
      <c r="O244" s="8">
        <v>0</v>
      </c>
      <c r="P244" s="9">
        <v>9</v>
      </c>
      <c r="Q244" s="10">
        <f t="shared" si="9"/>
        <v>106</v>
      </c>
    </row>
    <row r="245" spans="1:17" x14ac:dyDescent="0.25">
      <c r="A245" s="6" t="s">
        <v>31</v>
      </c>
      <c r="B245" s="7">
        <v>40050</v>
      </c>
      <c r="C245" s="7" t="s">
        <v>32</v>
      </c>
      <c r="D245" s="7" t="s">
        <v>19</v>
      </c>
      <c r="E245" s="7"/>
      <c r="F245" s="8">
        <v>15</v>
      </c>
      <c r="G245" s="8">
        <v>11</v>
      </c>
      <c r="H245" s="8">
        <v>38</v>
      </c>
      <c r="I245" s="8">
        <v>0</v>
      </c>
      <c r="J245" s="8">
        <v>1</v>
      </c>
      <c r="K245" s="8">
        <v>2</v>
      </c>
      <c r="L245" s="8">
        <v>5</v>
      </c>
      <c r="M245" s="8">
        <v>8</v>
      </c>
      <c r="N245" s="8">
        <v>0</v>
      </c>
      <c r="O245" s="8">
        <v>0</v>
      </c>
      <c r="P245" s="9">
        <v>9</v>
      </c>
      <c r="Q245" s="10">
        <f t="shared" si="9"/>
        <v>89</v>
      </c>
    </row>
    <row r="246" spans="1:17" x14ac:dyDescent="0.25">
      <c r="A246" s="6" t="s">
        <v>33</v>
      </c>
      <c r="B246" s="7">
        <v>40051</v>
      </c>
      <c r="C246" s="7" t="s">
        <v>99</v>
      </c>
      <c r="D246" s="7" t="s">
        <v>19</v>
      </c>
      <c r="E246" s="7"/>
      <c r="F246" s="8">
        <v>11</v>
      </c>
      <c r="G246" s="8">
        <v>8</v>
      </c>
      <c r="H246" s="8">
        <v>36</v>
      </c>
      <c r="I246" s="8">
        <v>5</v>
      </c>
      <c r="J246" s="8">
        <v>3</v>
      </c>
      <c r="K246" s="8">
        <v>3</v>
      </c>
      <c r="L246" s="8">
        <v>1</v>
      </c>
      <c r="M246" s="8">
        <v>6</v>
      </c>
      <c r="N246" s="8">
        <v>0</v>
      </c>
      <c r="O246" s="8">
        <v>0</v>
      </c>
      <c r="P246" s="9">
        <v>8</v>
      </c>
      <c r="Q246" s="10">
        <f t="shared" si="9"/>
        <v>81</v>
      </c>
    </row>
    <row r="247" spans="1:17" x14ac:dyDescent="0.25">
      <c r="A247" s="6" t="s">
        <v>17</v>
      </c>
      <c r="B247" s="7">
        <v>40052</v>
      </c>
      <c r="C247" s="7" t="s">
        <v>81</v>
      </c>
      <c r="D247" s="7" t="s">
        <v>19</v>
      </c>
      <c r="E247" s="7"/>
      <c r="F247" s="8">
        <v>29</v>
      </c>
      <c r="G247" s="8">
        <v>10</v>
      </c>
      <c r="H247" s="8">
        <v>40</v>
      </c>
      <c r="I247" s="8">
        <v>2</v>
      </c>
      <c r="J247" s="8">
        <v>0</v>
      </c>
      <c r="K247" s="8">
        <v>12</v>
      </c>
      <c r="L247" s="8">
        <v>12</v>
      </c>
      <c r="M247" s="8">
        <v>9</v>
      </c>
      <c r="N247" s="8">
        <v>2</v>
      </c>
      <c r="O247" s="8">
        <v>0</v>
      </c>
      <c r="P247" s="9">
        <v>3</v>
      </c>
      <c r="Q247" s="10">
        <f t="shared" si="9"/>
        <v>119</v>
      </c>
    </row>
    <row r="248" spans="1:17" x14ac:dyDescent="0.25">
      <c r="A248" s="11" t="s">
        <v>20</v>
      </c>
      <c r="B248" s="12">
        <v>40053</v>
      </c>
      <c r="C248" s="12" t="s">
        <v>81</v>
      </c>
      <c r="D248" s="13" t="s">
        <v>37</v>
      </c>
      <c r="E248" s="12"/>
      <c r="F248" s="14">
        <v>14</v>
      </c>
      <c r="G248" s="14">
        <v>6</v>
      </c>
      <c r="H248" s="14">
        <v>29</v>
      </c>
      <c r="I248" s="14">
        <v>0</v>
      </c>
      <c r="J248" s="14">
        <v>2</v>
      </c>
      <c r="K248" s="14">
        <v>3</v>
      </c>
      <c r="L248" s="14">
        <v>7</v>
      </c>
      <c r="M248" s="14">
        <v>6</v>
      </c>
      <c r="N248" s="14">
        <v>0</v>
      </c>
      <c r="O248" s="14">
        <v>0</v>
      </c>
      <c r="P248" s="15">
        <v>0</v>
      </c>
      <c r="Q248" s="10">
        <f t="shared" si="9"/>
        <v>67</v>
      </c>
    </row>
    <row r="249" spans="1:17" x14ac:dyDescent="0.25">
      <c r="A249" s="11" t="s">
        <v>24</v>
      </c>
      <c r="B249" s="12">
        <v>40054</v>
      </c>
      <c r="C249" s="12" t="s">
        <v>81</v>
      </c>
      <c r="D249" s="13" t="s">
        <v>37</v>
      </c>
      <c r="E249" s="12"/>
      <c r="F249" s="14">
        <v>12</v>
      </c>
      <c r="G249" s="14">
        <v>3</v>
      </c>
      <c r="H249" s="14">
        <v>16</v>
      </c>
      <c r="I249" s="14">
        <v>1</v>
      </c>
      <c r="J249" s="14">
        <v>0</v>
      </c>
      <c r="K249" s="14">
        <v>6</v>
      </c>
      <c r="L249" s="14">
        <v>6</v>
      </c>
      <c r="M249" s="14">
        <v>3</v>
      </c>
      <c r="N249" s="14">
        <v>0</v>
      </c>
      <c r="O249" s="14">
        <v>0</v>
      </c>
      <c r="P249" s="15">
        <v>0</v>
      </c>
      <c r="Q249" s="10">
        <f t="shared" si="9"/>
        <v>47</v>
      </c>
    </row>
    <row r="250" spans="1:17" x14ac:dyDescent="0.25">
      <c r="A250" s="6" t="s">
        <v>26</v>
      </c>
      <c r="B250" s="7">
        <v>40055</v>
      </c>
      <c r="C250" s="7" t="s">
        <v>81</v>
      </c>
      <c r="D250" s="7" t="s">
        <v>19</v>
      </c>
      <c r="E250" s="7"/>
      <c r="F250" s="8">
        <v>25</v>
      </c>
      <c r="G250" s="8">
        <v>21</v>
      </c>
      <c r="H250" s="8">
        <v>37</v>
      </c>
      <c r="I250" s="8">
        <v>1</v>
      </c>
      <c r="J250" s="8">
        <v>0</v>
      </c>
      <c r="K250" s="8">
        <v>1</v>
      </c>
      <c r="L250" s="8">
        <v>5</v>
      </c>
      <c r="M250" s="8">
        <v>2</v>
      </c>
      <c r="N250" s="8">
        <v>0</v>
      </c>
      <c r="O250" s="8">
        <v>0</v>
      </c>
      <c r="P250" s="9">
        <v>6</v>
      </c>
      <c r="Q250" s="10">
        <f t="shared" si="9"/>
        <v>98</v>
      </c>
    </row>
    <row r="251" spans="1:17" x14ac:dyDescent="0.25">
      <c r="A251" s="6" t="s">
        <v>29</v>
      </c>
      <c r="B251" s="7">
        <v>40056</v>
      </c>
      <c r="C251" s="7" t="s">
        <v>32</v>
      </c>
      <c r="D251" s="7" t="s">
        <v>19</v>
      </c>
      <c r="E251" s="7"/>
      <c r="F251" s="8">
        <v>22</v>
      </c>
      <c r="G251" s="8">
        <v>15</v>
      </c>
      <c r="H251" s="8">
        <v>26</v>
      </c>
      <c r="I251" s="8">
        <v>1</v>
      </c>
      <c r="J251" s="8">
        <v>0</v>
      </c>
      <c r="K251" s="8">
        <v>0</v>
      </c>
      <c r="L251" s="8">
        <v>0</v>
      </c>
      <c r="M251" s="8">
        <v>5</v>
      </c>
      <c r="N251" s="8">
        <v>2</v>
      </c>
      <c r="O251" s="8">
        <v>0</v>
      </c>
      <c r="P251" s="9">
        <v>2</v>
      </c>
      <c r="Q251" s="10">
        <f t="shared" si="9"/>
        <v>73</v>
      </c>
    </row>
    <row r="252" spans="1:17" x14ac:dyDescent="0.25">
      <c r="A252" s="7" t="s">
        <v>45</v>
      </c>
      <c r="B252" s="7"/>
      <c r="C252" s="7"/>
      <c r="D252" s="7"/>
      <c r="E252" s="7"/>
      <c r="F252" s="18">
        <f>SUM(F221:F251)</f>
        <v>566</v>
      </c>
      <c r="G252" s="18">
        <f t="shared" ref="G252:P252" si="11">SUM(G221:G251)</f>
        <v>467</v>
      </c>
      <c r="H252" s="18">
        <f t="shared" si="11"/>
        <v>1359</v>
      </c>
      <c r="I252" s="18">
        <f t="shared" si="11"/>
        <v>78</v>
      </c>
      <c r="J252" s="18">
        <f t="shared" si="11"/>
        <v>64</v>
      </c>
      <c r="K252" s="18">
        <f t="shared" si="11"/>
        <v>287</v>
      </c>
      <c r="L252" s="18">
        <f t="shared" si="11"/>
        <v>195</v>
      </c>
      <c r="M252" s="18">
        <f t="shared" si="11"/>
        <v>233</v>
      </c>
      <c r="N252" s="18">
        <f t="shared" si="11"/>
        <v>18</v>
      </c>
      <c r="O252" s="18">
        <f t="shared" si="11"/>
        <v>0</v>
      </c>
      <c r="P252" s="18">
        <f t="shared" si="11"/>
        <v>156</v>
      </c>
      <c r="Q252" s="17">
        <f>SUM(Q221:Q251)</f>
        <v>3423</v>
      </c>
    </row>
    <row r="253" spans="1:17" x14ac:dyDescent="0.25">
      <c r="A253" s="6" t="s">
        <v>31</v>
      </c>
      <c r="B253" s="7">
        <v>40057</v>
      </c>
      <c r="C253" s="7" t="s">
        <v>32</v>
      </c>
      <c r="D253" s="7" t="s">
        <v>19</v>
      </c>
      <c r="E253" s="7"/>
      <c r="F253" s="8">
        <v>23</v>
      </c>
      <c r="G253" s="8">
        <v>14</v>
      </c>
      <c r="H253" s="8">
        <v>49</v>
      </c>
      <c r="I253" s="8">
        <v>0</v>
      </c>
      <c r="J253" s="8">
        <v>0</v>
      </c>
      <c r="K253" s="8">
        <v>8</v>
      </c>
      <c r="L253" s="8">
        <v>0</v>
      </c>
      <c r="M253" s="8">
        <v>7</v>
      </c>
      <c r="N253" s="8">
        <v>4</v>
      </c>
      <c r="O253" s="8">
        <v>0</v>
      </c>
      <c r="P253" s="9">
        <v>3</v>
      </c>
      <c r="Q253" s="10">
        <f t="shared" si="9"/>
        <v>108</v>
      </c>
    </row>
    <row r="254" spans="1:17" x14ac:dyDescent="0.25">
      <c r="A254" s="6" t="s">
        <v>33</v>
      </c>
      <c r="B254" s="7">
        <v>40058</v>
      </c>
      <c r="C254" s="7" t="s">
        <v>25</v>
      </c>
      <c r="D254" s="7" t="s">
        <v>19</v>
      </c>
      <c r="E254" s="7"/>
      <c r="F254" s="8">
        <v>15</v>
      </c>
      <c r="G254" s="8">
        <v>32</v>
      </c>
      <c r="H254" s="8">
        <v>38</v>
      </c>
      <c r="I254" s="8">
        <v>0</v>
      </c>
      <c r="J254" s="8">
        <v>3</v>
      </c>
      <c r="K254" s="8">
        <v>4</v>
      </c>
      <c r="L254" s="8">
        <v>12</v>
      </c>
      <c r="M254" s="8">
        <v>7</v>
      </c>
      <c r="N254" s="8">
        <v>8</v>
      </c>
      <c r="O254" s="8">
        <v>0</v>
      </c>
      <c r="P254" s="9">
        <v>3</v>
      </c>
      <c r="Q254" s="10">
        <f t="shared" si="9"/>
        <v>122</v>
      </c>
    </row>
    <row r="255" spans="1:17" x14ac:dyDescent="0.25">
      <c r="A255" s="6" t="s">
        <v>17</v>
      </c>
      <c r="B255" s="7">
        <v>40059</v>
      </c>
      <c r="C255" s="7" t="s">
        <v>32</v>
      </c>
      <c r="D255" s="7" t="s">
        <v>19</v>
      </c>
      <c r="E255" s="7"/>
      <c r="F255" s="8">
        <v>34</v>
      </c>
      <c r="G255" s="8">
        <v>15</v>
      </c>
      <c r="H255" s="8">
        <v>57</v>
      </c>
      <c r="I255" s="8">
        <v>3</v>
      </c>
      <c r="J255" s="8">
        <v>3</v>
      </c>
      <c r="K255" s="8">
        <v>1</v>
      </c>
      <c r="L255" s="8">
        <v>12</v>
      </c>
      <c r="M255" s="8">
        <v>8</v>
      </c>
      <c r="N255" s="8">
        <v>0</v>
      </c>
      <c r="O255" s="8">
        <v>0</v>
      </c>
      <c r="P255" s="9">
        <v>10</v>
      </c>
      <c r="Q255" s="10">
        <f t="shared" si="9"/>
        <v>143</v>
      </c>
    </row>
    <row r="256" spans="1:17" x14ac:dyDescent="0.25">
      <c r="A256" s="11" t="s">
        <v>20</v>
      </c>
      <c r="B256" s="12">
        <v>40060</v>
      </c>
      <c r="C256" s="12" t="s">
        <v>32</v>
      </c>
      <c r="D256" s="13" t="s">
        <v>37</v>
      </c>
      <c r="E256" s="12" t="s">
        <v>142</v>
      </c>
      <c r="F256" s="14">
        <v>16</v>
      </c>
      <c r="G256" s="14">
        <v>16</v>
      </c>
      <c r="H256" s="14">
        <v>35</v>
      </c>
      <c r="I256" s="14">
        <v>1</v>
      </c>
      <c r="J256" s="14">
        <v>2</v>
      </c>
      <c r="K256" s="14">
        <v>5</v>
      </c>
      <c r="L256" s="14">
        <v>6</v>
      </c>
      <c r="M256" s="14">
        <v>4</v>
      </c>
      <c r="N256" s="14">
        <v>13</v>
      </c>
      <c r="O256" s="14">
        <v>21</v>
      </c>
      <c r="P256" s="15">
        <v>3</v>
      </c>
      <c r="Q256" s="10">
        <f t="shared" si="9"/>
        <v>122</v>
      </c>
    </row>
    <row r="257" spans="1:17" x14ac:dyDescent="0.25">
      <c r="A257" s="11" t="s">
        <v>24</v>
      </c>
      <c r="B257" s="12">
        <v>40061</v>
      </c>
      <c r="C257" s="12" t="s">
        <v>32</v>
      </c>
      <c r="D257" s="13" t="s">
        <v>37</v>
      </c>
      <c r="E257" s="12" t="s">
        <v>143</v>
      </c>
      <c r="F257" s="14">
        <v>18</v>
      </c>
      <c r="G257" s="14">
        <v>16</v>
      </c>
      <c r="H257" s="14">
        <v>25</v>
      </c>
      <c r="I257" s="14">
        <v>0</v>
      </c>
      <c r="J257" s="14">
        <v>0</v>
      </c>
      <c r="K257" s="14">
        <v>9</v>
      </c>
      <c r="L257" s="14">
        <v>4</v>
      </c>
      <c r="M257" s="14">
        <v>4</v>
      </c>
      <c r="N257" s="14">
        <v>0</v>
      </c>
      <c r="O257" s="14">
        <v>27</v>
      </c>
      <c r="P257" s="15">
        <v>6</v>
      </c>
      <c r="Q257" s="10">
        <f t="shared" si="9"/>
        <v>109</v>
      </c>
    </row>
    <row r="258" spans="1:17" x14ac:dyDescent="0.25">
      <c r="A258" s="6" t="s">
        <v>26</v>
      </c>
      <c r="B258" s="7">
        <v>40062</v>
      </c>
      <c r="C258" s="7" t="s">
        <v>32</v>
      </c>
      <c r="D258" s="7" t="s">
        <v>27</v>
      </c>
      <c r="E258" s="7" t="s">
        <v>144</v>
      </c>
      <c r="F258" s="8">
        <v>21</v>
      </c>
      <c r="G258" s="8">
        <v>3</v>
      </c>
      <c r="H258" s="8">
        <v>13</v>
      </c>
      <c r="I258" s="8">
        <v>3</v>
      </c>
      <c r="J258" s="8">
        <v>0</v>
      </c>
      <c r="K258" s="8">
        <v>9</v>
      </c>
      <c r="L258" s="8">
        <v>11</v>
      </c>
      <c r="M258" s="8">
        <v>2</v>
      </c>
      <c r="N258" s="8">
        <v>2</v>
      </c>
      <c r="O258" s="8">
        <v>0</v>
      </c>
      <c r="P258" s="9">
        <v>0</v>
      </c>
      <c r="Q258" s="10">
        <f t="shared" si="9"/>
        <v>64</v>
      </c>
    </row>
    <row r="259" spans="1:17" x14ac:dyDescent="0.25">
      <c r="A259" s="6" t="s">
        <v>29</v>
      </c>
      <c r="B259" s="7">
        <v>40063</v>
      </c>
      <c r="C259" s="7" t="s">
        <v>18</v>
      </c>
      <c r="D259" s="7" t="s">
        <v>27</v>
      </c>
      <c r="E259" s="7" t="s">
        <v>144</v>
      </c>
      <c r="F259" s="8">
        <v>14</v>
      </c>
      <c r="G259" s="8">
        <v>2</v>
      </c>
      <c r="H259" s="8">
        <v>13</v>
      </c>
      <c r="I259" s="8">
        <v>1</v>
      </c>
      <c r="J259" s="8">
        <v>0</v>
      </c>
      <c r="K259" s="8">
        <v>4</v>
      </c>
      <c r="L259" s="8">
        <v>4</v>
      </c>
      <c r="M259" s="8">
        <v>2</v>
      </c>
      <c r="N259" s="8">
        <v>4</v>
      </c>
      <c r="O259" s="8">
        <v>0</v>
      </c>
      <c r="P259" s="9">
        <v>0</v>
      </c>
      <c r="Q259" s="10">
        <f t="shared" si="9"/>
        <v>44</v>
      </c>
    </row>
    <row r="260" spans="1:17" x14ac:dyDescent="0.25">
      <c r="A260" s="6" t="s">
        <v>31</v>
      </c>
      <c r="B260" s="7">
        <v>40064</v>
      </c>
      <c r="C260" s="7" t="s">
        <v>25</v>
      </c>
      <c r="D260" s="7" t="s">
        <v>27</v>
      </c>
      <c r="E260" s="7" t="s">
        <v>144</v>
      </c>
      <c r="F260" s="8">
        <v>11</v>
      </c>
      <c r="G260" s="8">
        <v>2</v>
      </c>
      <c r="H260" s="8">
        <v>10</v>
      </c>
      <c r="I260" s="8">
        <v>0</v>
      </c>
      <c r="J260" s="8">
        <v>0</v>
      </c>
      <c r="K260" s="8">
        <v>3</v>
      </c>
      <c r="L260" s="8">
        <v>0</v>
      </c>
      <c r="M260" s="8">
        <v>2</v>
      </c>
      <c r="N260" s="8">
        <v>4</v>
      </c>
      <c r="O260" s="8">
        <v>0</v>
      </c>
      <c r="P260" s="9">
        <v>1</v>
      </c>
      <c r="Q260" s="10">
        <f t="shared" si="9"/>
        <v>33</v>
      </c>
    </row>
    <row r="261" spans="1:17" x14ac:dyDescent="0.25">
      <c r="A261" s="6" t="s">
        <v>33</v>
      </c>
      <c r="B261" s="7">
        <v>40065</v>
      </c>
      <c r="C261" s="7" t="s">
        <v>25</v>
      </c>
      <c r="D261" s="7" t="s">
        <v>27</v>
      </c>
      <c r="E261" s="7"/>
      <c r="F261" s="8">
        <v>19</v>
      </c>
      <c r="G261" s="8">
        <v>2</v>
      </c>
      <c r="H261" s="8">
        <v>46</v>
      </c>
      <c r="I261" s="8">
        <v>4</v>
      </c>
      <c r="J261" s="8">
        <v>3</v>
      </c>
      <c r="K261" s="8">
        <v>15</v>
      </c>
      <c r="L261" s="8">
        <v>9</v>
      </c>
      <c r="M261" s="8">
        <v>3</v>
      </c>
      <c r="N261" s="8">
        <v>2</v>
      </c>
      <c r="O261" s="8">
        <v>0</v>
      </c>
      <c r="P261" s="9">
        <v>0</v>
      </c>
      <c r="Q261" s="10">
        <f t="shared" si="9"/>
        <v>103</v>
      </c>
    </row>
    <row r="262" spans="1:17" x14ac:dyDescent="0.25">
      <c r="A262" s="6" t="s">
        <v>17</v>
      </c>
      <c r="B262" s="7">
        <v>40066</v>
      </c>
      <c r="C262" s="7" t="s">
        <v>32</v>
      </c>
      <c r="D262" s="7" t="s">
        <v>27</v>
      </c>
      <c r="E262" s="7"/>
      <c r="F262" s="8">
        <v>40</v>
      </c>
      <c r="G262" s="8">
        <v>8</v>
      </c>
      <c r="H262" s="8">
        <v>58</v>
      </c>
      <c r="I262" s="8">
        <v>0</v>
      </c>
      <c r="J262" s="8">
        <v>0</v>
      </c>
      <c r="K262" s="8">
        <v>12</v>
      </c>
      <c r="L262" s="8">
        <v>16</v>
      </c>
      <c r="M262" s="8">
        <v>5</v>
      </c>
      <c r="N262" s="8">
        <v>0</v>
      </c>
      <c r="O262" s="8">
        <v>0</v>
      </c>
      <c r="P262" s="9">
        <v>0</v>
      </c>
      <c r="Q262" s="10">
        <f t="shared" si="9"/>
        <v>139</v>
      </c>
    </row>
    <row r="263" spans="1:17" x14ac:dyDescent="0.25">
      <c r="A263" s="11" t="s">
        <v>20</v>
      </c>
      <c r="B263" s="12">
        <v>40067</v>
      </c>
      <c r="C263" s="12" t="s">
        <v>32</v>
      </c>
      <c r="D263" s="13" t="s">
        <v>37</v>
      </c>
      <c r="E263" s="12"/>
      <c r="F263" s="14">
        <v>15</v>
      </c>
      <c r="G263" s="14">
        <v>4</v>
      </c>
      <c r="H263" s="14">
        <v>34</v>
      </c>
      <c r="I263" s="14">
        <v>6</v>
      </c>
      <c r="J263" s="14">
        <v>6</v>
      </c>
      <c r="K263" s="14">
        <v>2</v>
      </c>
      <c r="L263" s="14">
        <v>6</v>
      </c>
      <c r="M263" s="14">
        <v>10</v>
      </c>
      <c r="N263" s="14">
        <v>4</v>
      </c>
      <c r="O263" s="14">
        <v>0</v>
      </c>
      <c r="P263" s="15">
        <v>3</v>
      </c>
      <c r="Q263" s="10">
        <f t="shared" si="9"/>
        <v>90</v>
      </c>
    </row>
    <row r="264" spans="1:17" x14ac:dyDescent="0.25">
      <c r="A264" s="11" t="s">
        <v>24</v>
      </c>
      <c r="B264" s="12">
        <v>40068</v>
      </c>
      <c r="C264" s="12" t="s">
        <v>32</v>
      </c>
      <c r="D264" s="13" t="s">
        <v>37</v>
      </c>
      <c r="E264" s="12"/>
      <c r="F264" s="14">
        <v>18</v>
      </c>
      <c r="G264" s="14">
        <v>2</v>
      </c>
      <c r="H264" s="14">
        <v>35</v>
      </c>
      <c r="I264" s="14">
        <v>3</v>
      </c>
      <c r="J264" s="14">
        <v>6</v>
      </c>
      <c r="K264" s="14">
        <v>2</v>
      </c>
      <c r="L264" s="14">
        <v>4</v>
      </c>
      <c r="M264" s="14">
        <v>9</v>
      </c>
      <c r="N264" s="14">
        <v>0</v>
      </c>
      <c r="O264" s="14">
        <v>0</v>
      </c>
      <c r="P264" s="15">
        <v>1</v>
      </c>
      <c r="Q264" s="10">
        <f t="shared" si="9"/>
        <v>80</v>
      </c>
    </row>
    <row r="265" spans="1:17" x14ac:dyDescent="0.25">
      <c r="A265" s="6" t="s">
        <v>26</v>
      </c>
      <c r="B265" s="7">
        <v>40069</v>
      </c>
      <c r="C265" s="7" t="s">
        <v>32</v>
      </c>
      <c r="D265" s="7" t="s">
        <v>27</v>
      </c>
      <c r="E265" s="7" t="s">
        <v>145</v>
      </c>
      <c r="F265" s="8">
        <v>52</v>
      </c>
      <c r="G265" s="8">
        <v>24</v>
      </c>
      <c r="H265" s="8">
        <v>34</v>
      </c>
      <c r="I265" s="8">
        <v>4</v>
      </c>
      <c r="J265" s="8">
        <v>2</v>
      </c>
      <c r="K265" s="8">
        <v>2</v>
      </c>
      <c r="L265" s="8">
        <v>4</v>
      </c>
      <c r="M265" s="8">
        <v>7</v>
      </c>
      <c r="N265" s="8">
        <v>0</v>
      </c>
      <c r="O265" s="8">
        <v>0</v>
      </c>
      <c r="P265" s="9">
        <v>1</v>
      </c>
      <c r="Q265" s="10">
        <f t="shared" si="9"/>
        <v>130</v>
      </c>
    </row>
    <row r="266" spans="1:17" x14ac:dyDescent="0.25">
      <c r="A266" s="6" t="s">
        <v>29</v>
      </c>
      <c r="B266" s="7">
        <v>40070</v>
      </c>
      <c r="C266" s="7" t="s">
        <v>32</v>
      </c>
      <c r="D266" s="7" t="s">
        <v>27</v>
      </c>
      <c r="E266" s="7"/>
      <c r="F266" s="8">
        <v>30</v>
      </c>
      <c r="G266" s="8">
        <v>4</v>
      </c>
      <c r="H266" s="8">
        <v>65</v>
      </c>
      <c r="I266" s="8">
        <v>4</v>
      </c>
      <c r="J266" s="8">
        <v>2</v>
      </c>
      <c r="K266" s="8">
        <v>2</v>
      </c>
      <c r="L266" s="8">
        <v>4</v>
      </c>
      <c r="M266" s="8">
        <v>10</v>
      </c>
      <c r="N266" s="8">
        <v>0</v>
      </c>
      <c r="O266" s="8">
        <v>0</v>
      </c>
      <c r="P266" s="9">
        <v>2</v>
      </c>
      <c r="Q266" s="10">
        <f t="shared" si="9"/>
        <v>123</v>
      </c>
    </row>
    <row r="267" spans="1:17" x14ac:dyDescent="0.25">
      <c r="A267" s="6" t="s">
        <v>31</v>
      </c>
      <c r="B267" s="7">
        <v>40071</v>
      </c>
      <c r="C267" s="7" t="s">
        <v>32</v>
      </c>
      <c r="D267" s="7" t="s">
        <v>27</v>
      </c>
      <c r="E267" s="7"/>
      <c r="F267" s="8">
        <v>22</v>
      </c>
      <c r="G267" s="8">
        <v>21</v>
      </c>
      <c r="H267" s="8">
        <v>46</v>
      </c>
      <c r="I267" s="8">
        <v>1</v>
      </c>
      <c r="J267" s="8">
        <v>1</v>
      </c>
      <c r="K267" s="8">
        <v>2</v>
      </c>
      <c r="L267" s="8">
        <v>6</v>
      </c>
      <c r="M267" s="8">
        <v>15</v>
      </c>
      <c r="N267" s="8">
        <v>2</v>
      </c>
      <c r="O267" s="8">
        <v>0</v>
      </c>
      <c r="P267" s="9">
        <v>4</v>
      </c>
      <c r="Q267" s="10">
        <f t="shared" ref="Q267:Q332" si="12">SUM(F267:P267)</f>
        <v>120</v>
      </c>
    </row>
    <row r="268" spans="1:17" x14ac:dyDescent="0.25">
      <c r="A268" s="6" t="s">
        <v>33</v>
      </c>
      <c r="B268" s="7">
        <v>40072</v>
      </c>
      <c r="C268" s="7" t="s">
        <v>32</v>
      </c>
      <c r="D268" s="7" t="s">
        <v>27</v>
      </c>
      <c r="E268" s="7"/>
      <c r="F268" s="8">
        <v>22</v>
      </c>
      <c r="G268" s="8">
        <v>8</v>
      </c>
      <c r="H268" s="8">
        <v>67</v>
      </c>
      <c r="I268" s="8">
        <v>0</v>
      </c>
      <c r="J268" s="8">
        <v>1</v>
      </c>
      <c r="K268" s="8">
        <v>10</v>
      </c>
      <c r="L268" s="8">
        <v>0</v>
      </c>
      <c r="M268" s="8">
        <v>12</v>
      </c>
      <c r="N268" s="8">
        <v>2</v>
      </c>
      <c r="O268" s="8">
        <v>0</v>
      </c>
      <c r="P268" s="9">
        <v>2</v>
      </c>
      <c r="Q268" s="10">
        <f t="shared" si="12"/>
        <v>124</v>
      </c>
    </row>
    <row r="269" spans="1:17" x14ac:dyDescent="0.25">
      <c r="A269" s="6" t="s">
        <v>17</v>
      </c>
      <c r="B269" s="7">
        <v>40073</v>
      </c>
      <c r="C269" s="7" t="s">
        <v>146</v>
      </c>
      <c r="D269" s="7" t="s">
        <v>27</v>
      </c>
      <c r="E269" s="7"/>
      <c r="F269" s="8">
        <v>16</v>
      </c>
      <c r="G269" s="8">
        <v>6</v>
      </c>
      <c r="H269" s="8">
        <v>56</v>
      </c>
      <c r="I269" s="8">
        <v>1</v>
      </c>
      <c r="J269" s="8">
        <v>0</v>
      </c>
      <c r="K269" s="8">
        <v>4</v>
      </c>
      <c r="L269" s="8">
        <v>2</v>
      </c>
      <c r="M269" s="8">
        <v>4</v>
      </c>
      <c r="N269" s="8">
        <v>4</v>
      </c>
      <c r="O269" s="8">
        <v>0</v>
      </c>
      <c r="P269" s="9">
        <v>2</v>
      </c>
      <c r="Q269" s="10">
        <f t="shared" si="12"/>
        <v>95</v>
      </c>
    </row>
    <row r="270" spans="1:17" x14ac:dyDescent="0.25">
      <c r="A270" s="11" t="s">
        <v>20</v>
      </c>
      <c r="B270" s="12">
        <v>40074</v>
      </c>
      <c r="C270" s="12" t="s">
        <v>25</v>
      </c>
      <c r="D270" s="13" t="s">
        <v>37</v>
      </c>
      <c r="E270" s="12" t="s">
        <v>147</v>
      </c>
      <c r="F270" s="14">
        <v>17</v>
      </c>
      <c r="G270" s="14">
        <v>8</v>
      </c>
      <c r="H270" s="14">
        <v>33</v>
      </c>
      <c r="I270" s="14">
        <v>3</v>
      </c>
      <c r="J270" s="14">
        <v>20</v>
      </c>
      <c r="K270" s="14">
        <v>1</v>
      </c>
      <c r="L270" s="14">
        <v>0</v>
      </c>
      <c r="M270" s="14">
        <v>8</v>
      </c>
      <c r="N270" s="14">
        <v>2</v>
      </c>
      <c r="O270" s="14">
        <v>0</v>
      </c>
      <c r="P270" s="15">
        <v>2</v>
      </c>
      <c r="Q270" s="10">
        <f t="shared" si="12"/>
        <v>94</v>
      </c>
    </row>
    <row r="271" spans="1:17" x14ac:dyDescent="0.25">
      <c r="A271" s="11" t="s">
        <v>24</v>
      </c>
      <c r="B271" s="12">
        <v>40075</v>
      </c>
      <c r="C271" s="12" t="s">
        <v>32</v>
      </c>
      <c r="D271" s="13" t="s">
        <v>37</v>
      </c>
      <c r="E271" s="12" t="s">
        <v>148</v>
      </c>
      <c r="F271" s="14">
        <v>34</v>
      </c>
      <c r="G271" s="14">
        <v>4</v>
      </c>
      <c r="H271" s="14">
        <v>30</v>
      </c>
      <c r="I271" s="14">
        <v>0</v>
      </c>
      <c r="J271" s="14">
        <v>0</v>
      </c>
      <c r="K271" s="14">
        <v>2</v>
      </c>
      <c r="L271" s="14">
        <v>5</v>
      </c>
      <c r="M271" s="14">
        <v>1</v>
      </c>
      <c r="N271" s="14">
        <v>2</v>
      </c>
      <c r="O271" s="14">
        <v>18</v>
      </c>
      <c r="P271" s="15">
        <v>0</v>
      </c>
      <c r="Q271" s="10">
        <f t="shared" si="12"/>
        <v>96</v>
      </c>
    </row>
    <row r="272" spans="1:17" x14ac:dyDescent="0.25">
      <c r="A272" s="6" t="s">
        <v>26</v>
      </c>
      <c r="B272" s="7">
        <v>40076</v>
      </c>
      <c r="C272" s="7" t="s">
        <v>149</v>
      </c>
      <c r="D272" s="7" t="s">
        <v>27</v>
      </c>
      <c r="E272" s="7" t="s">
        <v>150</v>
      </c>
      <c r="F272" s="8">
        <v>9</v>
      </c>
      <c r="G272" s="8">
        <v>6</v>
      </c>
      <c r="H272" s="8">
        <v>9</v>
      </c>
      <c r="I272" s="8">
        <v>0</v>
      </c>
      <c r="J272" s="8">
        <v>0</v>
      </c>
      <c r="K272" s="8">
        <v>3</v>
      </c>
      <c r="L272" s="8">
        <v>0</v>
      </c>
      <c r="M272" s="8">
        <v>5</v>
      </c>
      <c r="N272" s="8">
        <v>0</v>
      </c>
      <c r="O272" s="8">
        <v>0</v>
      </c>
      <c r="P272" s="9">
        <v>1</v>
      </c>
      <c r="Q272" s="10">
        <f t="shared" si="12"/>
        <v>33</v>
      </c>
    </row>
    <row r="273" spans="1:17" x14ac:dyDescent="0.25">
      <c r="A273" s="6" t="s">
        <v>29</v>
      </c>
      <c r="B273" s="7">
        <v>40077</v>
      </c>
      <c r="C273" s="7" t="s">
        <v>25</v>
      </c>
      <c r="D273" s="7" t="s">
        <v>27</v>
      </c>
      <c r="E273" s="7"/>
      <c r="F273" s="8">
        <v>42</v>
      </c>
      <c r="G273" s="8">
        <v>13</v>
      </c>
      <c r="H273" s="8">
        <v>41</v>
      </c>
      <c r="I273" s="8">
        <v>1</v>
      </c>
      <c r="J273" s="8">
        <v>4</v>
      </c>
      <c r="K273" s="8">
        <v>1</v>
      </c>
      <c r="L273" s="8">
        <v>7</v>
      </c>
      <c r="M273" s="8">
        <v>5</v>
      </c>
      <c r="N273" s="8">
        <v>4</v>
      </c>
      <c r="O273" s="8">
        <v>0</v>
      </c>
      <c r="P273" s="9">
        <v>4</v>
      </c>
      <c r="Q273" s="10">
        <f t="shared" si="12"/>
        <v>122</v>
      </c>
    </row>
    <row r="274" spans="1:17" x14ac:dyDescent="0.25">
      <c r="A274" s="6" t="s">
        <v>31</v>
      </c>
      <c r="B274" s="7">
        <v>40078</v>
      </c>
      <c r="C274" s="7" t="s">
        <v>32</v>
      </c>
      <c r="D274" s="7" t="s">
        <v>27</v>
      </c>
      <c r="E274" s="7"/>
      <c r="F274" s="8">
        <v>32</v>
      </c>
      <c r="G274" s="8">
        <v>10</v>
      </c>
      <c r="H274" s="8">
        <v>66</v>
      </c>
      <c r="I274" s="8">
        <v>5</v>
      </c>
      <c r="J274" s="8">
        <v>0</v>
      </c>
      <c r="K274" s="8">
        <v>6</v>
      </c>
      <c r="L274" s="8">
        <v>4</v>
      </c>
      <c r="M274" s="8">
        <v>6</v>
      </c>
      <c r="N274" s="8">
        <v>4</v>
      </c>
      <c r="O274" s="8">
        <v>0</v>
      </c>
      <c r="P274" s="9">
        <v>0</v>
      </c>
      <c r="Q274" s="10">
        <f t="shared" si="12"/>
        <v>133</v>
      </c>
    </row>
    <row r="275" spans="1:17" x14ac:dyDescent="0.25">
      <c r="A275" s="6" t="s">
        <v>33</v>
      </c>
      <c r="B275" s="7">
        <v>40079</v>
      </c>
      <c r="C275" s="7" t="s">
        <v>32</v>
      </c>
      <c r="D275" s="7" t="s">
        <v>27</v>
      </c>
      <c r="E275" s="7"/>
      <c r="F275" s="8">
        <v>38</v>
      </c>
      <c r="G275" s="8">
        <v>26</v>
      </c>
      <c r="H275" s="8">
        <v>56</v>
      </c>
      <c r="I275" s="8">
        <v>4</v>
      </c>
      <c r="J275" s="8">
        <v>0</v>
      </c>
      <c r="K275" s="8">
        <v>3</v>
      </c>
      <c r="L275" s="8">
        <v>10</v>
      </c>
      <c r="M275" s="8">
        <v>5</v>
      </c>
      <c r="N275" s="8">
        <v>4</v>
      </c>
      <c r="O275" s="8">
        <v>0</v>
      </c>
      <c r="P275" s="9">
        <v>4</v>
      </c>
      <c r="Q275" s="10">
        <f t="shared" si="12"/>
        <v>150</v>
      </c>
    </row>
    <row r="276" spans="1:17" x14ac:dyDescent="0.25">
      <c r="A276" s="6" t="s">
        <v>17</v>
      </c>
      <c r="B276" s="7">
        <v>40080</v>
      </c>
      <c r="C276" s="7" t="s">
        <v>151</v>
      </c>
      <c r="D276" s="7" t="s">
        <v>27</v>
      </c>
      <c r="E276" s="7"/>
      <c r="F276" s="8">
        <v>32</v>
      </c>
      <c r="G276" s="8">
        <v>4</v>
      </c>
      <c r="H276" s="8">
        <v>51</v>
      </c>
      <c r="I276" s="8">
        <v>1</v>
      </c>
      <c r="J276" s="8">
        <v>4</v>
      </c>
      <c r="K276" s="8">
        <v>4</v>
      </c>
      <c r="L276" s="8">
        <v>5</v>
      </c>
      <c r="M276" s="8">
        <v>4</v>
      </c>
      <c r="N276" s="8">
        <v>0</v>
      </c>
      <c r="O276" s="8">
        <v>0</v>
      </c>
      <c r="P276" s="9">
        <v>0</v>
      </c>
      <c r="Q276" s="10">
        <f t="shared" si="12"/>
        <v>105</v>
      </c>
    </row>
    <row r="277" spans="1:17" x14ac:dyDescent="0.25">
      <c r="A277" s="11" t="s">
        <v>20</v>
      </c>
      <c r="B277" s="12">
        <v>40081</v>
      </c>
      <c r="C277" s="12" t="s">
        <v>81</v>
      </c>
      <c r="D277" s="13" t="s">
        <v>37</v>
      </c>
      <c r="E277" s="12" t="s">
        <v>152</v>
      </c>
      <c r="F277" s="14">
        <v>26</v>
      </c>
      <c r="G277" s="14">
        <v>24</v>
      </c>
      <c r="H277" s="14">
        <v>17</v>
      </c>
      <c r="I277" s="14">
        <v>1</v>
      </c>
      <c r="J277" s="14">
        <v>41</v>
      </c>
      <c r="K277" s="14">
        <v>3</v>
      </c>
      <c r="L277" s="14">
        <v>11</v>
      </c>
      <c r="M277" s="14">
        <v>2</v>
      </c>
      <c r="N277" s="14">
        <v>9</v>
      </c>
      <c r="O277" s="14">
        <v>0</v>
      </c>
      <c r="P277" s="15">
        <v>2</v>
      </c>
      <c r="Q277" s="10">
        <f t="shared" si="12"/>
        <v>136</v>
      </c>
    </row>
    <row r="278" spans="1:17" x14ac:dyDescent="0.25">
      <c r="A278" s="11" t="s">
        <v>24</v>
      </c>
      <c r="B278" s="12">
        <v>40082</v>
      </c>
      <c r="C278" s="12" t="s">
        <v>32</v>
      </c>
      <c r="D278" s="13" t="s">
        <v>37</v>
      </c>
      <c r="E278" s="12"/>
      <c r="F278" s="14">
        <v>34</v>
      </c>
      <c r="G278" s="14">
        <v>15</v>
      </c>
      <c r="H278" s="14">
        <v>44</v>
      </c>
      <c r="I278" s="14">
        <v>4</v>
      </c>
      <c r="J278" s="14">
        <v>2</v>
      </c>
      <c r="K278" s="14">
        <v>2</v>
      </c>
      <c r="L278" s="14">
        <v>6</v>
      </c>
      <c r="M278" s="14">
        <v>14</v>
      </c>
      <c r="N278" s="14">
        <v>2</v>
      </c>
      <c r="O278" s="14">
        <v>0</v>
      </c>
      <c r="P278" s="15">
        <v>2</v>
      </c>
      <c r="Q278" s="10">
        <f t="shared" si="12"/>
        <v>125</v>
      </c>
    </row>
    <row r="279" spans="1:17" x14ac:dyDescent="0.25">
      <c r="A279" s="6" t="s">
        <v>26</v>
      </c>
      <c r="B279" s="7">
        <v>40083</v>
      </c>
      <c r="C279" s="7" t="s">
        <v>81</v>
      </c>
      <c r="D279" s="7" t="s">
        <v>27</v>
      </c>
      <c r="E279" s="7"/>
      <c r="F279" s="8">
        <v>42</v>
      </c>
      <c r="G279" s="8">
        <v>6</v>
      </c>
      <c r="H279" s="8">
        <v>47</v>
      </c>
      <c r="I279" s="8">
        <v>2</v>
      </c>
      <c r="J279" s="8">
        <v>0</v>
      </c>
      <c r="K279" s="8">
        <v>10</v>
      </c>
      <c r="L279" s="8">
        <v>4</v>
      </c>
      <c r="M279" s="8">
        <v>5</v>
      </c>
      <c r="N279" s="8">
        <v>6</v>
      </c>
      <c r="O279" s="8">
        <v>0</v>
      </c>
      <c r="P279" s="9">
        <v>1</v>
      </c>
      <c r="Q279" s="10">
        <f t="shared" si="12"/>
        <v>123</v>
      </c>
    </row>
    <row r="280" spans="1:17" x14ac:dyDescent="0.25">
      <c r="A280" s="6" t="s">
        <v>29</v>
      </c>
      <c r="B280" s="7">
        <v>40084</v>
      </c>
      <c r="C280" s="7" t="s">
        <v>32</v>
      </c>
      <c r="D280" s="7" t="s">
        <v>27</v>
      </c>
      <c r="E280" s="7"/>
      <c r="F280" s="8">
        <v>40</v>
      </c>
      <c r="G280" s="8">
        <v>2</v>
      </c>
      <c r="H280" s="8">
        <v>52</v>
      </c>
      <c r="I280" s="8">
        <v>0</v>
      </c>
      <c r="J280" s="8">
        <v>5</v>
      </c>
      <c r="K280" s="8">
        <v>2</v>
      </c>
      <c r="L280" s="8">
        <v>8</v>
      </c>
      <c r="M280" s="8">
        <v>4</v>
      </c>
      <c r="N280" s="8">
        <v>7</v>
      </c>
      <c r="O280" s="8">
        <v>0</v>
      </c>
      <c r="P280" s="9">
        <v>0</v>
      </c>
      <c r="Q280" s="10">
        <f t="shared" si="12"/>
        <v>120</v>
      </c>
    </row>
    <row r="281" spans="1:17" x14ac:dyDescent="0.25">
      <c r="A281" s="6" t="s">
        <v>31</v>
      </c>
      <c r="B281" s="7">
        <v>40085</v>
      </c>
      <c r="C281" s="7" t="s">
        <v>32</v>
      </c>
      <c r="D281" s="7" t="s">
        <v>27</v>
      </c>
      <c r="E281" s="7"/>
      <c r="F281" s="8">
        <v>30</v>
      </c>
      <c r="G281" s="8">
        <v>7</v>
      </c>
      <c r="H281" s="8">
        <v>59</v>
      </c>
      <c r="I281" s="8">
        <v>0</v>
      </c>
      <c r="J281" s="8">
        <v>0</v>
      </c>
      <c r="K281" s="8">
        <v>1</v>
      </c>
      <c r="L281" s="8">
        <v>3</v>
      </c>
      <c r="M281" s="8">
        <v>16</v>
      </c>
      <c r="N281" s="8">
        <v>2</v>
      </c>
      <c r="O281" s="8">
        <v>0</v>
      </c>
      <c r="P281" s="9">
        <v>0</v>
      </c>
      <c r="Q281" s="10">
        <f t="shared" si="12"/>
        <v>118</v>
      </c>
    </row>
    <row r="282" spans="1:17" x14ac:dyDescent="0.25">
      <c r="A282" s="6" t="s">
        <v>33</v>
      </c>
      <c r="B282" s="7">
        <v>40086</v>
      </c>
      <c r="C282" s="7" t="s">
        <v>32</v>
      </c>
      <c r="D282" s="7" t="s">
        <v>27</v>
      </c>
      <c r="E282" s="7"/>
      <c r="F282" s="8">
        <v>38</v>
      </c>
      <c r="G282" s="8">
        <v>9</v>
      </c>
      <c r="H282" s="8">
        <v>63</v>
      </c>
      <c r="I282" s="8">
        <v>0</v>
      </c>
      <c r="J282" s="8">
        <v>0</v>
      </c>
      <c r="K282" s="8">
        <v>2</v>
      </c>
      <c r="L282" s="8">
        <v>6</v>
      </c>
      <c r="M282" s="8">
        <v>13</v>
      </c>
      <c r="N282" s="8">
        <v>4</v>
      </c>
      <c r="O282" s="8">
        <v>0</v>
      </c>
      <c r="P282" s="9">
        <v>2</v>
      </c>
      <c r="Q282" s="10">
        <f t="shared" si="12"/>
        <v>137</v>
      </c>
    </row>
    <row r="283" spans="1:17" x14ac:dyDescent="0.25">
      <c r="A283" s="7" t="s">
        <v>45</v>
      </c>
      <c r="B283" s="7"/>
      <c r="C283" s="7"/>
      <c r="D283" s="7"/>
      <c r="E283" s="7"/>
      <c r="F283" s="18">
        <f>SUM(F253:F282)</f>
        <v>800</v>
      </c>
      <c r="G283" s="18">
        <f t="shared" ref="G283:M283" si="13">SUM(G253:G282)</f>
        <v>313</v>
      </c>
      <c r="H283" s="18">
        <f t="shared" si="13"/>
        <v>1249</v>
      </c>
      <c r="I283" s="18">
        <f t="shared" si="13"/>
        <v>52</v>
      </c>
      <c r="J283" s="18">
        <f t="shared" si="13"/>
        <v>105</v>
      </c>
      <c r="K283" s="18">
        <f t="shared" si="13"/>
        <v>134</v>
      </c>
      <c r="L283" s="18">
        <f t="shared" si="13"/>
        <v>169</v>
      </c>
      <c r="M283" s="18">
        <f t="shared" si="13"/>
        <v>199</v>
      </c>
      <c r="N283" s="18">
        <f>SUM(N253:N282)</f>
        <v>95</v>
      </c>
      <c r="O283" s="18">
        <f>SUM(O253:O282)</f>
        <v>66</v>
      </c>
      <c r="P283" s="18">
        <f>SUM(P253:P282)</f>
        <v>59</v>
      </c>
      <c r="Q283" s="17">
        <f>SUM(Q253:Q282)</f>
        <v>3241</v>
      </c>
    </row>
    <row r="284" spans="1:17" x14ac:dyDescent="0.25">
      <c r="A284" s="6" t="s">
        <v>17</v>
      </c>
      <c r="B284" s="7">
        <v>40087</v>
      </c>
      <c r="C284" s="7" t="s">
        <v>153</v>
      </c>
      <c r="D284" s="7" t="s">
        <v>27</v>
      </c>
      <c r="E284" s="7"/>
      <c r="F284" s="8">
        <v>45</v>
      </c>
      <c r="G284" s="8">
        <v>11</v>
      </c>
      <c r="H284" s="8">
        <v>61</v>
      </c>
      <c r="I284" s="8">
        <v>1</v>
      </c>
      <c r="J284" s="8">
        <v>3</v>
      </c>
      <c r="K284" s="8">
        <v>4</v>
      </c>
      <c r="L284" s="8">
        <v>8</v>
      </c>
      <c r="M284" s="8">
        <v>5</v>
      </c>
      <c r="N284" s="8">
        <v>0</v>
      </c>
      <c r="O284" s="8">
        <v>0</v>
      </c>
      <c r="P284" s="9">
        <v>0</v>
      </c>
      <c r="Q284" s="10">
        <f t="shared" si="12"/>
        <v>138</v>
      </c>
    </row>
    <row r="285" spans="1:17" x14ac:dyDescent="0.25">
      <c r="A285" s="11" t="s">
        <v>20</v>
      </c>
      <c r="B285" s="12">
        <v>40088</v>
      </c>
      <c r="C285" s="12" t="s">
        <v>153</v>
      </c>
      <c r="D285" s="13" t="s">
        <v>37</v>
      </c>
      <c r="E285" s="12" t="s">
        <v>154</v>
      </c>
      <c r="F285" s="14">
        <v>24</v>
      </c>
      <c r="G285" s="14">
        <v>0</v>
      </c>
      <c r="H285" s="14">
        <v>87</v>
      </c>
      <c r="I285" s="14">
        <v>0</v>
      </c>
      <c r="J285" s="14">
        <v>7</v>
      </c>
      <c r="K285" s="14">
        <v>8</v>
      </c>
      <c r="L285" s="14">
        <v>2</v>
      </c>
      <c r="M285" s="14">
        <v>5</v>
      </c>
      <c r="N285" s="14">
        <v>2</v>
      </c>
      <c r="O285" s="14">
        <v>0</v>
      </c>
      <c r="P285" s="15">
        <v>0</v>
      </c>
      <c r="Q285" s="10">
        <f t="shared" si="12"/>
        <v>135</v>
      </c>
    </row>
    <row r="286" spans="1:17" x14ac:dyDescent="0.25">
      <c r="A286" s="11" t="s">
        <v>24</v>
      </c>
      <c r="B286" s="12">
        <v>40089</v>
      </c>
      <c r="C286" s="12" t="s">
        <v>153</v>
      </c>
      <c r="D286" s="13" t="s">
        <v>37</v>
      </c>
      <c r="E286" s="12"/>
      <c r="F286" s="14">
        <v>21</v>
      </c>
      <c r="G286" s="14">
        <v>2</v>
      </c>
      <c r="H286" s="14">
        <v>72</v>
      </c>
      <c r="I286" s="14">
        <v>0</v>
      </c>
      <c r="J286" s="14">
        <v>6</v>
      </c>
      <c r="K286" s="14">
        <v>17</v>
      </c>
      <c r="L286" s="14">
        <v>5</v>
      </c>
      <c r="M286" s="14">
        <v>7</v>
      </c>
      <c r="N286" s="14">
        <v>0</v>
      </c>
      <c r="O286" s="14">
        <v>0</v>
      </c>
      <c r="P286" s="15">
        <v>2</v>
      </c>
      <c r="Q286" s="10">
        <f t="shared" si="12"/>
        <v>132</v>
      </c>
    </row>
    <row r="287" spans="1:17" x14ac:dyDescent="0.25">
      <c r="A287" s="6" t="s">
        <v>26</v>
      </c>
      <c r="B287" s="7">
        <v>40090</v>
      </c>
      <c r="C287" s="7" t="s">
        <v>155</v>
      </c>
      <c r="D287" s="7" t="s">
        <v>27</v>
      </c>
      <c r="E287" s="7"/>
      <c r="F287" s="8">
        <v>25</v>
      </c>
      <c r="G287" s="8">
        <v>2</v>
      </c>
      <c r="H287" s="8">
        <v>6</v>
      </c>
      <c r="I287" s="8">
        <v>2</v>
      </c>
      <c r="J287" s="8">
        <v>0</v>
      </c>
      <c r="K287" s="8">
        <v>0</v>
      </c>
      <c r="L287" s="8">
        <v>2</v>
      </c>
      <c r="M287" s="8">
        <v>5</v>
      </c>
      <c r="N287" s="8">
        <v>0</v>
      </c>
      <c r="O287" s="8">
        <v>0</v>
      </c>
      <c r="P287" s="9">
        <v>2</v>
      </c>
      <c r="Q287" s="10">
        <f t="shared" si="12"/>
        <v>44</v>
      </c>
    </row>
    <row r="288" spans="1:17" x14ac:dyDescent="0.25">
      <c r="A288" s="6" t="s">
        <v>29</v>
      </c>
      <c r="B288" s="7">
        <v>40091</v>
      </c>
      <c r="C288" s="7" t="s">
        <v>156</v>
      </c>
      <c r="D288" s="7" t="s">
        <v>27</v>
      </c>
      <c r="E288" s="7"/>
      <c r="F288" s="8">
        <v>43</v>
      </c>
      <c r="G288" s="8">
        <v>6</v>
      </c>
      <c r="H288" s="8">
        <v>50</v>
      </c>
      <c r="I288" s="8">
        <v>1</v>
      </c>
      <c r="J288" s="8">
        <v>4</v>
      </c>
      <c r="K288" s="8">
        <v>1</v>
      </c>
      <c r="L288" s="8">
        <v>4</v>
      </c>
      <c r="M288" s="8">
        <v>2</v>
      </c>
      <c r="N288" s="8">
        <v>0</v>
      </c>
      <c r="O288" s="8">
        <v>0</v>
      </c>
      <c r="P288" s="9">
        <v>2</v>
      </c>
      <c r="Q288" s="10">
        <f t="shared" si="12"/>
        <v>113</v>
      </c>
    </row>
    <row r="289" spans="1:17" x14ac:dyDescent="0.25">
      <c r="A289" s="6" t="s">
        <v>31</v>
      </c>
      <c r="B289" s="7">
        <v>40092</v>
      </c>
      <c r="C289" s="7" t="s">
        <v>156</v>
      </c>
      <c r="D289" s="7" t="s">
        <v>27</v>
      </c>
      <c r="E289" s="7"/>
      <c r="F289" s="8">
        <v>46</v>
      </c>
      <c r="G289" s="8">
        <v>6</v>
      </c>
      <c r="H289" s="8">
        <v>49</v>
      </c>
      <c r="I289" s="8">
        <v>3</v>
      </c>
      <c r="J289" s="8">
        <v>0</v>
      </c>
      <c r="K289" s="8">
        <v>4</v>
      </c>
      <c r="L289" s="8">
        <v>2</v>
      </c>
      <c r="M289" s="8">
        <v>5</v>
      </c>
      <c r="N289" s="8">
        <v>0</v>
      </c>
      <c r="O289" s="8">
        <v>0</v>
      </c>
      <c r="P289" s="9">
        <v>7</v>
      </c>
      <c r="Q289" s="10">
        <f t="shared" si="12"/>
        <v>122</v>
      </c>
    </row>
    <row r="290" spans="1:17" x14ac:dyDescent="0.25">
      <c r="A290" s="6" t="s">
        <v>33</v>
      </c>
      <c r="B290" s="7">
        <v>40093</v>
      </c>
      <c r="C290" s="7" t="s">
        <v>32</v>
      </c>
      <c r="D290" s="7" t="s">
        <v>27</v>
      </c>
      <c r="E290" s="7"/>
      <c r="F290" s="8">
        <v>34</v>
      </c>
      <c r="G290" s="8">
        <v>4</v>
      </c>
      <c r="H290" s="8">
        <v>78</v>
      </c>
      <c r="I290" s="8">
        <v>0</v>
      </c>
      <c r="J290" s="8">
        <v>1</v>
      </c>
      <c r="K290" s="8">
        <v>2</v>
      </c>
      <c r="L290" s="8">
        <v>5</v>
      </c>
      <c r="M290" s="8">
        <v>11</v>
      </c>
      <c r="N290" s="8">
        <v>0</v>
      </c>
      <c r="O290" s="8">
        <v>0</v>
      </c>
      <c r="P290" s="9">
        <v>5</v>
      </c>
      <c r="Q290" s="10">
        <f t="shared" si="12"/>
        <v>140</v>
      </c>
    </row>
    <row r="291" spans="1:17" x14ac:dyDescent="0.25">
      <c r="A291" s="6" t="s">
        <v>17</v>
      </c>
      <c r="B291" s="7">
        <v>40094</v>
      </c>
      <c r="C291" s="7" t="s">
        <v>25</v>
      </c>
      <c r="D291" s="7" t="s">
        <v>27</v>
      </c>
      <c r="E291" s="7"/>
      <c r="F291" s="8">
        <v>49</v>
      </c>
      <c r="G291" s="8">
        <v>6</v>
      </c>
      <c r="H291" s="8">
        <v>49</v>
      </c>
      <c r="I291" s="8">
        <v>0</v>
      </c>
      <c r="J291" s="8">
        <v>2</v>
      </c>
      <c r="K291" s="8">
        <v>4</v>
      </c>
      <c r="L291" s="8">
        <v>5</v>
      </c>
      <c r="M291" s="8">
        <v>5</v>
      </c>
      <c r="N291" s="8">
        <v>2</v>
      </c>
      <c r="O291" s="8">
        <v>0</v>
      </c>
      <c r="P291" s="9">
        <v>9</v>
      </c>
      <c r="Q291" s="10">
        <f t="shared" si="12"/>
        <v>131</v>
      </c>
    </row>
    <row r="292" spans="1:17" x14ac:dyDescent="0.25">
      <c r="A292" s="11" t="s">
        <v>20</v>
      </c>
      <c r="B292" s="12">
        <v>40095</v>
      </c>
      <c r="C292" s="12" t="s">
        <v>32</v>
      </c>
      <c r="D292" s="13" t="s">
        <v>37</v>
      </c>
      <c r="E292" s="12"/>
      <c r="F292" s="14">
        <v>23</v>
      </c>
      <c r="G292" s="14">
        <v>10</v>
      </c>
      <c r="H292" s="14">
        <v>58</v>
      </c>
      <c r="I292" s="14">
        <v>2</v>
      </c>
      <c r="J292" s="14">
        <v>12</v>
      </c>
      <c r="K292" s="14">
        <v>9</v>
      </c>
      <c r="L292" s="14">
        <v>9</v>
      </c>
      <c r="M292" s="14">
        <v>2</v>
      </c>
      <c r="N292" s="14">
        <v>0</v>
      </c>
      <c r="O292" s="14">
        <v>0</v>
      </c>
      <c r="P292" s="15">
        <v>3</v>
      </c>
      <c r="Q292" s="10">
        <f t="shared" si="12"/>
        <v>128</v>
      </c>
    </row>
    <row r="293" spans="1:17" x14ac:dyDescent="0.25">
      <c r="A293" s="11" t="s">
        <v>24</v>
      </c>
      <c r="B293" s="12">
        <v>40096</v>
      </c>
      <c r="C293" s="12" t="s">
        <v>157</v>
      </c>
      <c r="D293" s="13" t="s">
        <v>37</v>
      </c>
      <c r="E293" s="12"/>
      <c r="F293" s="14">
        <v>16</v>
      </c>
      <c r="G293" s="14">
        <v>5</v>
      </c>
      <c r="H293" s="14">
        <v>53</v>
      </c>
      <c r="I293" s="14">
        <v>2</v>
      </c>
      <c r="J293" s="14">
        <v>0</v>
      </c>
      <c r="K293" s="14">
        <v>0</v>
      </c>
      <c r="L293" s="14">
        <v>9</v>
      </c>
      <c r="M293" s="14">
        <v>6</v>
      </c>
      <c r="N293" s="14">
        <v>1</v>
      </c>
      <c r="O293" s="14">
        <v>0</v>
      </c>
      <c r="P293" s="15">
        <v>7</v>
      </c>
      <c r="Q293" s="10">
        <f t="shared" si="12"/>
        <v>99</v>
      </c>
    </row>
    <row r="294" spans="1:17" x14ac:dyDescent="0.25">
      <c r="A294" s="6" t="s">
        <v>26</v>
      </c>
      <c r="B294" s="7">
        <v>40097</v>
      </c>
      <c r="C294" s="7" t="s">
        <v>18</v>
      </c>
      <c r="D294" s="7" t="s">
        <v>27</v>
      </c>
      <c r="E294" s="7" t="s">
        <v>145</v>
      </c>
      <c r="F294" s="8">
        <v>25</v>
      </c>
      <c r="G294" s="8">
        <v>0</v>
      </c>
      <c r="H294" s="8">
        <v>6</v>
      </c>
      <c r="I294" s="8">
        <v>0</v>
      </c>
      <c r="J294" s="8">
        <v>0</v>
      </c>
      <c r="K294" s="8">
        <v>4</v>
      </c>
      <c r="L294" s="8">
        <v>9</v>
      </c>
      <c r="M294" s="8">
        <v>3</v>
      </c>
      <c r="N294" s="8">
        <v>0</v>
      </c>
      <c r="O294" s="8">
        <v>0</v>
      </c>
      <c r="P294" s="9">
        <v>0</v>
      </c>
      <c r="Q294" s="10">
        <f t="shared" si="12"/>
        <v>47</v>
      </c>
    </row>
    <row r="295" spans="1:17" x14ac:dyDescent="0.25">
      <c r="A295" s="6" t="s">
        <v>29</v>
      </c>
      <c r="B295" s="7">
        <v>40098</v>
      </c>
      <c r="C295" s="7" t="s">
        <v>48</v>
      </c>
      <c r="D295" s="7" t="s">
        <v>27</v>
      </c>
      <c r="E295" s="7"/>
      <c r="F295" s="8">
        <v>51</v>
      </c>
      <c r="G295" s="8">
        <v>0</v>
      </c>
      <c r="H295" s="8">
        <v>38</v>
      </c>
      <c r="I295" s="8">
        <v>3</v>
      </c>
      <c r="J295" s="8">
        <v>3</v>
      </c>
      <c r="K295" s="8">
        <v>0</v>
      </c>
      <c r="L295" s="8">
        <v>7</v>
      </c>
      <c r="M295" s="8">
        <v>12</v>
      </c>
      <c r="N295" s="8">
        <v>2</v>
      </c>
      <c r="O295" s="8"/>
      <c r="P295" s="9">
        <v>2</v>
      </c>
      <c r="Q295" s="10">
        <f t="shared" si="12"/>
        <v>118</v>
      </c>
    </row>
    <row r="296" spans="1:17" x14ac:dyDescent="0.25">
      <c r="A296" s="6" t="s">
        <v>31</v>
      </c>
      <c r="B296" s="7">
        <v>40099</v>
      </c>
      <c r="C296" s="7" t="s">
        <v>158</v>
      </c>
      <c r="D296" s="7" t="s">
        <v>27</v>
      </c>
      <c r="E296" s="7"/>
      <c r="F296" s="8">
        <v>26</v>
      </c>
      <c r="G296" s="8">
        <v>0</v>
      </c>
      <c r="H296" s="8">
        <v>47</v>
      </c>
      <c r="I296" s="8">
        <v>0</v>
      </c>
      <c r="J296" s="8">
        <v>0</v>
      </c>
      <c r="K296" s="8">
        <v>3</v>
      </c>
      <c r="L296" s="8">
        <v>6</v>
      </c>
      <c r="M296" s="8">
        <v>6</v>
      </c>
      <c r="N296" s="8">
        <v>0</v>
      </c>
      <c r="O296" s="8">
        <v>0</v>
      </c>
      <c r="P296" s="9">
        <v>5</v>
      </c>
      <c r="Q296" s="10">
        <f t="shared" si="12"/>
        <v>93</v>
      </c>
    </row>
    <row r="297" spans="1:17" x14ac:dyDescent="0.25">
      <c r="A297" s="6" t="s">
        <v>33</v>
      </c>
      <c r="B297" s="7">
        <v>40100</v>
      </c>
      <c r="C297" s="7" t="s">
        <v>159</v>
      </c>
      <c r="D297" s="7" t="s">
        <v>27</v>
      </c>
      <c r="E297" s="7" t="s">
        <v>160</v>
      </c>
      <c r="F297" s="8">
        <v>35</v>
      </c>
      <c r="G297" s="8">
        <v>20</v>
      </c>
      <c r="H297" s="8">
        <v>42</v>
      </c>
      <c r="I297" s="8">
        <v>0</v>
      </c>
      <c r="J297" s="8">
        <v>2</v>
      </c>
      <c r="K297" s="8">
        <v>8</v>
      </c>
      <c r="L297" s="8">
        <v>12</v>
      </c>
      <c r="M297" s="8">
        <v>4</v>
      </c>
      <c r="N297" s="8">
        <v>2</v>
      </c>
      <c r="O297" s="8"/>
      <c r="P297" s="9">
        <v>5</v>
      </c>
      <c r="Q297" s="10">
        <f t="shared" si="12"/>
        <v>130</v>
      </c>
    </row>
    <row r="298" spans="1:17" x14ac:dyDescent="0.25">
      <c r="A298" s="6" t="s">
        <v>17</v>
      </c>
      <c r="B298" s="7">
        <v>40101</v>
      </c>
      <c r="C298" s="7" t="s">
        <v>159</v>
      </c>
      <c r="D298" s="7" t="s">
        <v>27</v>
      </c>
      <c r="E298" s="7"/>
      <c r="F298" s="8">
        <v>46</v>
      </c>
      <c r="G298" s="8">
        <v>10</v>
      </c>
      <c r="H298" s="8">
        <v>61</v>
      </c>
      <c r="I298" s="8">
        <v>0</v>
      </c>
      <c r="J298" s="8">
        <v>1</v>
      </c>
      <c r="K298" s="8">
        <v>3</v>
      </c>
      <c r="L298" s="8">
        <v>10</v>
      </c>
      <c r="M298" s="8">
        <v>1</v>
      </c>
      <c r="N298" s="8">
        <v>0</v>
      </c>
      <c r="O298" s="8">
        <v>0</v>
      </c>
      <c r="P298" s="9">
        <v>2</v>
      </c>
      <c r="Q298" s="10">
        <f t="shared" si="12"/>
        <v>134</v>
      </c>
    </row>
    <row r="299" spans="1:17" x14ac:dyDescent="0.25">
      <c r="A299" s="11" t="s">
        <v>20</v>
      </c>
      <c r="B299" s="12">
        <v>40102</v>
      </c>
      <c r="C299" s="12" t="s">
        <v>25</v>
      </c>
      <c r="D299" s="13" t="s">
        <v>37</v>
      </c>
      <c r="E299" s="12" t="s">
        <v>161</v>
      </c>
      <c r="F299" s="14">
        <v>19</v>
      </c>
      <c r="G299" s="14">
        <v>0</v>
      </c>
      <c r="H299" s="14">
        <v>36</v>
      </c>
      <c r="I299" s="14">
        <v>0</v>
      </c>
      <c r="J299" s="14">
        <v>46</v>
      </c>
      <c r="K299" s="14">
        <v>3</v>
      </c>
      <c r="L299" s="14">
        <v>12</v>
      </c>
      <c r="M299" s="14">
        <v>2</v>
      </c>
      <c r="N299" s="14">
        <v>0</v>
      </c>
      <c r="O299" s="14">
        <v>0</v>
      </c>
      <c r="P299" s="15">
        <v>4</v>
      </c>
      <c r="Q299" s="10">
        <f t="shared" si="12"/>
        <v>122</v>
      </c>
    </row>
    <row r="300" spans="1:17" x14ac:dyDescent="0.25">
      <c r="A300" s="11" t="s">
        <v>24</v>
      </c>
      <c r="B300" s="12">
        <v>40103</v>
      </c>
      <c r="C300" s="12" t="s">
        <v>25</v>
      </c>
      <c r="D300" s="13" t="s">
        <v>37</v>
      </c>
      <c r="E300" s="12" t="s">
        <v>162</v>
      </c>
      <c r="F300" s="14">
        <v>19</v>
      </c>
      <c r="G300" s="14">
        <v>0</v>
      </c>
      <c r="H300" s="14">
        <v>44</v>
      </c>
      <c r="I300" s="14">
        <v>1</v>
      </c>
      <c r="J300" s="14">
        <v>1</v>
      </c>
      <c r="K300" s="14">
        <v>4</v>
      </c>
      <c r="L300" s="14">
        <v>10</v>
      </c>
      <c r="M300" s="14">
        <v>0</v>
      </c>
      <c r="N300" s="14">
        <v>2</v>
      </c>
      <c r="O300" s="14">
        <v>0</v>
      </c>
      <c r="P300" s="15">
        <v>4</v>
      </c>
      <c r="Q300" s="10">
        <f t="shared" si="12"/>
        <v>85</v>
      </c>
    </row>
    <row r="301" spans="1:17" x14ac:dyDescent="0.25">
      <c r="A301" s="6" t="s">
        <v>26</v>
      </c>
      <c r="B301" s="7">
        <v>40104</v>
      </c>
      <c r="C301" s="7" t="s">
        <v>25</v>
      </c>
      <c r="D301" s="7" t="s">
        <v>27</v>
      </c>
      <c r="E301" s="7"/>
      <c r="F301" s="8">
        <v>32</v>
      </c>
      <c r="G301" s="8">
        <v>4</v>
      </c>
      <c r="H301" s="8">
        <v>30</v>
      </c>
      <c r="I301" s="8">
        <v>0</v>
      </c>
      <c r="J301" s="8">
        <v>8</v>
      </c>
      <c r="K301" s="8">
        <v>2</v>
      </c>
      <c r="L301" s="8">
        <v>1</v>
      </c>
      <c r="M301" s="8">
        <v>2</v>
      </c>
      <c r="N301" s="8">
        <v>0</v>
      </c>
      <c r="O301" s="8">
        <v>0</v>
      </c>
      <c r="P301" s="9">
        <v>13</v>
      </c>
      <c r="Q301" s="10">
        <f t="shared" si="12"/>
        <v>92</v>
      </c>
    </row>
    <row r="302" spans="1:17" x14ac:dyDescent="0.25">
      <c r="A302" s="6" t="s">
        <v>29</v>
      </c>
      <c r="B302" s="7">
        <v>40105</v>
      </c>
      <c r="C302" s="7" t="s">
        <v>32</v>
      </c>
      <c r="D302" s="7" t="s">
        <v>27</v>
      </c>
      <c r="E302" s="7"/>
      <c r="F302" s="8">
        <v>43</v>
      </c>
      <c r="G302" s="8">
        <v>0</v>
      </c>
      <c r="H302" s="8">
        <v>50</v>
      </c>
      <c r="I302" s="8">
        <v>3</v>
      </c>
      <c r="J302" s="8">
        <v>3</v>
      </c>
      <c r="K302" s="8">
        <v>3</v>
      </c>
      <c r="L302" s="8">
        <v>0</v>
      </c>
      <c r="M302" s="8">
        <v>2</v>
      </c>
      <c r="N302" s="8">
        <v>0</v>
      </c>
      <c r="O302" s="8">
        <v>0</v>
      </c>
      <c r="P302" s="9">
        <v>0</v>
      </c>
      <c r="Q302" s="10">
        <f t="shared" si="12"/>
        <v>104</v>
      </c>
    </row>
    <row r="303" spans="1:17" x14ac:dyDescent="0.25">
      <c r="A303" s="6" t="s">
        <v>31</v>
      </c>
      <c r="B303" s="7">
        <v>40106</v>
      </c>
      <c r="C303" s="7" t="s">
        <v>163</v>
      </c>
      <c r="D303" s="7" t="s">
        <v>27</v>
      </c>
      <c r="E303" s="7"/>
      <c r="F303" s="8">
        <v>31</v>
      </c>
      <c r="G303" s="8">
        <v>0</v>
      </c>
      <c r="H303" s="8">
        <v>25</v>
      </c>
      <c r="I303" s="8">
        <v>0</v>
      </c>
      <c r="J303" s="8">
        <v>4</v>
      </c>
      <c r="K303" s="8">
        <v>1</v>
      </c>
      <c r="L303" s="8">
        <v>0</v>
      </c>
      <c r="M303" s="8">
        <v>4</v>
      </c>
      <c r="N303" s="8">
        <v>4</v>
      </c>
      <c r="O303" s="8">
        <v>0</v>
      </c>
      <c r="P303" s="9">
        <v>0</v>
      </c>
      <c r="Q303" s="10">
        <f t="shared" si="12"/>
        <v>69</v>
      </c>
    </row>
    <row r="304" spans="1:17" x14ac:dyDescent="0.25">
      <c r="A304" s="6" t="s">
        <v>33</v>
      </c>
      <c r="B304" s="7">
        <v>40107</v>
      </c>
      <c r="C304" s="7" t="s">
        <v>32</v>
      </c>
      <c r="D304" s="7" t="s">
        <v>27</v>
      </c>
      <c r="E304" s="7"/>
      <c r="F304" s="8">
        <v>30</v>
      </c>
      <c r="G304" s="8">
        <v>0</v>
      </c>
      <c r="H304" s="8">
        <v>34</v>
      </c>
      <c r="I304" s="8">
        <v>1</v>
      </c>
      <c r="J304" s="8">
        <v>3</v>
      </c>
      <c r="K304" s="8">
        <v>4</v>
      </c>
      <c r="L304" s="8">
        <v>0</v>
      </c>
      <c r="M304" s="8">
        <v>3</v>
      </c>
      <c r="N304" s="8">
        <v>4</v>
      </c>
      <c r="O304" s="8">
        <v>0</v>
      </c>
      <c r="P304" s="9">
        <v>3</v>
      </c>
      <c r="Q304" s="10">
        <f t="shared" si="12"/>
        <v>82</v>
      </c>
    </row>
    <row r="305" spans="1:17" x14ac:dyDescent="0.25">
      <c r="A305" s="6" t="s">
        <v>17</v>
      </c>
      <c r="B305" s="7">
        <v>40108</v>
      </c>
      <c r="C305" s="7" t="s">
        <v>32</v>
      </c>
      <c r="D305" s="7" t="s">
        <v>27</v>
      </c>
      <c r="E305" s="7"/>
      <c r="F305" s="8">
        <v>29</v>
      </c>
      <c r="G305" s="8">
        <v>0</v>
      </c>
      <c r="H305" s="8">
        <v>23</v>
      </c>
      <c r="I305" s="8">
        <v>0</v>
      </c>
      <c r="J305" s="8">
        <v>5</v>
      </c>
      <c r="K305" s="8">
        <v>1</v>
      </c>
      <c r="L305" s="8">
        <v>0</v>
      </c>
      <c r="M305" s="8">
        <v>2</v>
      </c>
      <c r="N305" s="8">
        <v>2</v>
      </c>
      <c r="O305" s="8"/>
      <c r="P305" s="9">
        <v>1</v>
      </c>
      <c r="Q305" s="10">
        <f t="shared" si="12"/>
        <v>63</v>
      </c>
    </row>
    <row r="306" spans="1:17" x14ac:dyDescent="0.25">
      <c r="A306" s="11" t="s">
        <v>20</v>
      </c>
      <c r="B306" s="12">
        <v>40109</v>
      </c>
      <c r="C306" s="12" t="s">
        <v>25</v>
      </c>
      <c r="D306" s="13" t="s">
        <v>37</v>
      </c>
      <c r="E306" s="12" t="s">
        <v>164</v>
      </c>
      <c r="F306" s="14">
        <v>23</v>
      </c>
      <c r="G306" s="14">
        <v>0</v>
      </c>
      <c r="H306" s="14">
        <v>50</v>
      </c>
      <c r="I306" s="14">
        <v>0</v>
      </c>
      <c r="J306" s="14">
        <v>1</v>
      </c>
      <c r="K306" s="14">
        <v>2</v>
      </c>
      <c r="L306" s="14">
        <v>7</v>
      </c>
      <c r="M306" s="14">
        <v>3</v>
      </c>
      <c r="N306" s="14">
        <v>4</v>
      </c>
      <c r="O306" s="14"/>
      <c r="P306" s="15">
        <v>0</v>
      </c>
      <c r="Q306" s="10">
        <f t="shared" si="12"/>
        <v>90</v>
      </c>
    </row>
    <row r="307" spans="1:17" x14ac:dyDescent="0.25">
      <c r="A307" s="11" t="s">
        <v>24</v>
      </c>
      <c r="B307" s="12">
        <v>40110</v>
      </c>
      <c r="C307" s="12" t="s">
        <v>25</v>
      </c>
      <c r="D307" s="13" t="s">
        <v>37</v>
      </c>
      <c r="E307" s="12" t="s">
        <v>165</v>
      </c>
      <c r="F307" s="14">
        <v>51</v>
      </c>
      <c r="G307" s="14">
        <v>2</v>
      </c>
      <c r="H307" s="14">
        <v>21</v>
      </c>
      <c r="I307" s="14"/>
      <c r="J307" s="14">
        <v>1</v>
      </c>
      <c r="K307" s="14">
        <v>4</v>
      </c>
      <c r="L307" s="14">
        <v>5</v>
      </c>
      <c r="M307" s="14">
        <v>5</v>
      </c>
      <c r="N307" s="14"/>
      <c r="O307" s="14"/>
      <c r="P307" s="15"/>
      <c r="Q307" s="10">
        <f t="shared" si="12"/>
        <v>89</v>
      </c>
    </row>
    <row r="308" spans="1:17" x14ac:dyDescent="0.25">
      <c r="A308" s="6" t="s">
        <v>26</v>
      </c>
      <c r="B308" s="7">
        <v>40111</v>
      </c>
      <c r="C308" s="7" t="s">
        <v>85</v>
      </c>
      <c r="D308" s="7" t="s">
        <v>27</v>
      </c>
      <c r="E308" s="7"/>
      <c r="F308" s="8">
        <v>5</v>
      </c>
      <c r="G308" s="8"/>
      <c r="H308" s="8">
        <v>6</v>
      </c>
      <c r="I308" s="8"/>
      <c r="J308" s="8"/>
      <c r="K308" s="8"/>
      <c r="L308" s="8"/>
      <c r="M308" s="8"/>
      <c r="N308" s="8"/>
      <c r="O308" s="8"/>
      <c r="P308" s="9"/>
      <c r="Q308" s="10">
        <f t="shared" si="12"/>
        <v>11</v>
      </c>
    </row>
    <row r="309" spans="1:17" x14ac:dyDescent="0.25">
      <c r="A309" s="6" t="s">
        <v>29</v>
      </c>
      <c r="B309" s="7">
        <v>40112</v>
      </c>
      <c r="C309" s="7" t="s">
        <v>32</v>
      </c>
      <c r="D309" s="7" t="s">
        <v>27</v>
      </c>
      <c r="E309" s="7"/>
      <c r="F309" s="8">
        <v>49</v>
      </c>
      <c r="G309" s="8">
        <v>6</v>
      </c>
      <c r="H309" s="8">
        <v>40</v>
      </c>
      <c r="I309" s="8"/>
      <c r="J309" s="8">
        <v>8</v>
      </c>
      <c r="K309" s="8">
        <v>7</v>
      </c>
      <c r="L309" s="8">
        <v>2</v>
      </c>
      <c r="M309" s="8">
        <v>9</v>
      </c>
      <c r="N309" s="8"/>
      <c r="O309" s="8"/>
      <c r="P309" s="9"/>
      <c r="Q309" s="10">
        <f t="shared" si="12"/>
        <v>121</v>
      </c>
    </row>
    <row r="310" spans="1:17" x14ac:dyDescent="0.25">
      <c r="A310" s="6" t="s">
        <v>31</v>
      </c>
      <c r="B310" s="7">
        <v>40113</v>
      </c>
      <c r="C310" s="7" t="s">
        <v>32</v>
      </c>
      <c r="D310" s="7" t="s">
        <v>27</v>
      </c>
      <c r="E310" s="7"/>
      <c r="F310" s="8">
        <v>30</v>
      </c>
      <c r="G310" s="8"/>
      <c r="H310" s="8">
        <v>47</v>
      </c>
      <c r="I310" s="8"/>
      <c r="J310" s="8">
        <v>14</v>
      </c>
      <c r="K310" s="8">
        <v>3</v>
      </c>
      <c r="L310" s="8">
        <v>1</v>
      </c>
      <c r="M310" s="8">
        <v>2</v>
      </c>
      <c r="N310" s="8"/>
      <c r="O310" s="8"/>
      <c r="P310" s="9">
        <v>1</v>
      </c>
      <c r="Q310" s="10">
        <f t="shared" si="12"/>
        <v>98</v>
      </c>
    </row>
    <row r="311" spans="1:17" x14ac:dyDescent="0.25">
      <c r="A311" s="6" t="s">
        <v>33</v>
      </c>
      <c r="B311" s="7">
        <v>40114</v>
      </c>
      <c r="C311" s="7" t="s">
        <v>32</v>
      </c>
      <c r="D311" s="7" t="s">
        <v>27</v>
      </c>
      <c r="E311" s="7" t="s">
        <v>166</v>
      </c>
      <c r="F311" s="8">
        <v>40</v>
      </c>
      <c r="G311" s="8"/>
      <c r="H311" s="8">
        <v>46</v>
      </c>
      <c r="I311" s="8">
        <v>3</v>
      </c>
      <c r="J311" s="8">
        <v>1</v>
      </c>
      <c r="K311" s="8">
        <v>11</v>
      </c>
      <c r="L311" s="8"/>
      <c r="M311" s="8">
        <v>9</v>
      </c>
      <c r="N311" s="8"/>
      <c r="O311" s="8">
        <v>8</v>
      </c>
      <c r="P311" s="9"/>
      <c r="Q311" s="10">
        <f t="shared" si="12"/>
        <v>118</v>
      </c>
    </row>
    <row r="312" spans="1:17" x14ac:dyDescent="0.25">
      <c r="A312" s="6" t="s">
        <v>17</v>
      </c>
      <c r="B312" s="7">
        <v>40115</v>
      </c>
      <c r="C312" s="7" t="s">
        <v>25</v>
      </c>
      <c r="D312" s="7" t="s">
        <v>27</v>
      </c>
      <c r="E312" s="7" t="s">
        <v>167</v>
      </c>
      <c r="F312" s="8">
        <v>42</v>
      </c>
      <c r="G312" s="8">
        <v>2</v>
      </c>
      <c r="H312" s="8">
        <v>47</v>
      </c>
      <c r="I312" s="8">
        <v>1</v>
      </c>
      <c r="J312" s="8">
        <v>3</v>
      </c>
      <c r="K312" s="8">
        <v>9</v>
      </c>
      <c r="L312" s="8"/>
      <c r="M312" s="8">
        <v>12</v>
      </c>
      <c r="N312" s="8"/>
      <c r="O312" s="8"/>
      <c r="P312" s="9"/>
      <c r="Q312" s="10">
        <f t="shared" si="12"/>
        <v>116</v>
      </c>
    </row>
    <row r="313" spans="1:17" x14ac:dyDescent="0.25">
      <c r="A313" s="11" t="s">
        <v>20</v>
      </c>
      <c r="B313" s="12">
        <v>40116</v>
      </c>
      <c r="C313" s="12" t="s">
        <v>18</v>
      </c>
      <c r="D313" s="13" t="s">
        <v>37</v>
      </c>
      <c r="E313" s="12" t="s">
        <v>168</v>
      </c>
      <c r="F313" s="14">
        <v>17</v>
      </c>
      <c r="G313" s="14">
        <v>2</v>
      </c>
      <c r="H313" s="14">
        <v>18</v>
      </c>
      <c r="I313" s="14"/>
      <c r="J313" s="14">
        <v>60</v>
      </c>
      <c r="K313" s="14">
        <v>3</v>
      </c>
      <c r="L313" s="14"/>
      <c r="M313" s="14">
        <v>3</v>
      </c>
      <c r="N313" s="14"/>
      <c r="O313" s="14"/>
      <c r="P313" s="15"/>
      <c r="Q313" s="10">
        <f t="shared" si="12"/>
        <v>103</v>
      </c>
    </row>
    <row r="314" spans="1:17" x14ac:dyDescent="0.25">
      <c r="A314" s="11" t="s">
        <v>24</v>
      </c>
      <c r="B314" s="12">
        <v>40117</v>
      </c>
      <c r="C314" s="12" t="s">
        <v>18</v>
      </c>
      <c r="D314" s="13" t="s">
        <v>37</v>
      </c>
      <c r="E314" s="12"/>
      <c r="F314" s="14"/>
      <c r="G314" s="14"/>
      <c r="H314" s="14">
        <v>6</v>
      </c>
      <c r="I314" s="14"/>
      <c r="J314" s="14">
        <v>7</v>
      </c>
      <c r="K314" s="14"/>
      <c r="L314" s="14">
        <v>1</v>
      </c>
      <c r="M314" s="14"/>
      <c r="N314" s="14"/>
      <c r="O314" s="14"/>
      <c r="P314" s="15"/>
      <c r="Q314" s="10">
        <f t="shared" si="12"/>
        <v>14</v>
      </c>
    </row>
    <row r="315" spans="1:17" x14ac:dyDescent="0.25">
      <c r="A315" s="7" t="s">
        <v>45</v>
      </c>
      <c r="B315" s="7"/>
      <c r="C315" s="7"/>
      <c r="D315" s="7"/>
      <c r="E315" s="7"/>
      <c r="F315" s="16">
        <f>SUM(F284:F314)</f>
        <v>969</v>
      </c>
      <c r="G315" s="16">
        <f t="shared" ref="G315:N315" si="14">SUM(G284:G314)</f>
        <v>98</v>
      </c>
      <c r="H315" s="16">
        <f t="shared" si="14"/>
        <v>1280</v>
      </c>
      <c r="I315" s="16">
        <f t="shared" si="14"/>
        <v>23</v>
      </c>
      <c r="J315" s="16">
        <f t="shared" si="14"/>
        <v>206</v>
      </c>
      <c r="K315" s="16">
        <f t="shared" si="14"/>
        <v>124</v>
      </c>
      <c r="L315" s="16">
        <f t="shared" si="14"/>
        <v>134</v>
      </c>
      <c r="M315" s="16">
        <f t="shared" si="14"/>
        <v>137</v>
      </c>
      <c r="N315" s="16">
        <f t="shared" si="14"/>
        <v>25</v>
      </c>
      <c r="O315" s="16">
        <f>SUM(O284:O314)</f>
        <v>8</v>
      </c>
      <c r="P315" s="16">
        <f>SUM(P284:P314)</f>
        <v>77</v>
      </c>
      <c r="Q315" s="17">
        <f>SUM(Q284:Q314)</f>
        <v>3081</v>
      </c>
    </row>
    <row r="316" spans="1:17" x14ac:dyDescent="0.25">
      <c r="A316" s="6" t="s">
        <v>26</v>
      </c>
      <c r="B316" s="7">
        <v>40118</v>
      </c>
      <c r="C316" s="7" t="s">
        <v>18</v>
      </c>
      <c r="D316" s="7" t="s">
        <v>27</v>
      </c>
      <c r="E316" s="7"/>
      <c r="F316" s="8"/>
      <c r="G316" s="8"/>
      <c r="H316" s="8">
        <v>2</v>
      </c>
      <c r="I316" s="8"/>
      <c r="J316" s="8"/>
      <c r="K316" s="8">
        <v>4</v>
      </c>
      <c r="L316" s="8"/>
      <c r="M316" s="8">
        <v>1</v>
      </c>
      <c r="N316" s="8"/>
      <c r="O316" s="8"/>
      <c r="P316" s="9"/>
      <c r="Q316" s="10">
        <f t="shared" si="12"/>
        <v>7</v>
      </c>
    </row>
    <row r="317" spans="1:17" x14ac:dyDescent="0.25">
      <c r="A317" s="6" t="s">
        <v>29</v>
      </c>
      <c r="B317" s="7">
        <v>40119</v>
      </c>
      <c r="C317" s="7" t="s">
        <v>25</v>
      </c>
      <c r="D317" s="7" t="s">
        <v>27</v>
      </c>
      <c r="E317" s="7"/>
      <c r="F317" s="8">
        <v>24</v>
      </c>
      <c r="G317" s="8">
        <v>1</v>
      </c>
      <c r="H317" s="8">
        <v>28</v>
      </c>
      <c r="I317" s="8">
        <v>6</v>
      </c>
      <c r="J317" s="8">
        <v>1</v>
      </c>
      <c r="K317" s="8">
        <v>3</v>
      </c>
      <c r="L317" s="8">
        <v>2</v>
      </c>
      <c r="M317" s="8">
        <v>3</v>
      </c>
      <c r="N317" s="8"/>
      <c r="O317" s="8"/>
      <c r="P317" s="9"/>
      <c r="Q317" s="10">
        <f t="shared" si="12"/>
        <v>68</v>
      </c>
    </row>
    <row r="318" spans="1:17" x14ac:dyDescent="0.25">
      <c r="A318" s="6" t="s">
        <v>31</v>
      </c>
      <c r="B318" s="7">
        <v>40120</v>
      </c>
      <c r="C318" s="7" t="s">
        <v>32</v>
      </c>
      <c r="D318" s="7" t="s">
        <v>27</v>
      </c>
      <c r="E318" s="7"/>
      <c r="F318" s="8">
        <v>16</v>
      </c>
      <c r="G318" s="8"/>
      <c r="H318" s="8">
        <v>33</v>
      </c>
      <c r="I318" s="8"/>
      <c r="J318" s="8">
        <v>6</v>
      </c>
      <c r="K318" s="8">
        <v>4</v>
      </c>
      <c r="L318" s="8"/>
      <c r="M318" s="8">
        <v>5</v>
      </c>
      <c r="N318" s="8"/>
      <c r="O318" s="8"/>
      <c r="P318" s="9">
        <v>4</v>
      </c>
      <c r="Q318" s="10">
        <f t="shared" si="12"/>
        <v>68</v>
      </c>
    </row>
    <row r="319" spans="1:17" x14ac:dyDescent="0.25">
      <c r="A319" s="6" t="s">
        <v>33</v>
      </c>
      <c r="B319" s="7">
        <v>40121</v>
      </c>
      <c r="C319" s="7" t="s">
        <v>32</v>
      </c>
      <c r="D319" s="7" t="s">
        <v>27</v>
      </c>
      <c r="E319" s="7"/>
      <c r="F319" s="8">
        <v>31</v>
      </c>
      <c r="G319" s="8"/>
      <c r="H319" s="8">
        <v>19</v>
      </c>
      <c r="I319" s="8"/>
      <c r="J319" s="8">
        <v>2</v>
      </c>
      <c r="K319" s="8">
        <v>8</v>
      </c>
      <c r="L319" s="8">
        <v>2</v>
      </c>
      <c r="M319" s="8">
        <v>6</v>
      </c>
      <c r="N319" s="8"/>
      <c r="O319" s="8"/>
      <c r="P319" s="9">
        <v>2</v>
      </c>
      <c r="Q319" s="10">
        <f t="shared" si="12"/>
        <v>70</v>
      </c>
    </row>
    <row r="320" spans="1:17" x14ac:dyDescent="0.25">
      <c r="A320" s="6" t="s">
        <v>17</v>
      </c>
      <c r="B320" s="7">
        <v>40122</v>
      </c>
      <c r="C320" s="7" t="s">
        <v>25</v>
      </c>
      <c r="D320" s="7" t="s">
        <v>27</v>
      </c>
      <c r="E320" s="7"/>
      <c r="F320" s="8">
        <v>39</v>
      </c>
      <c r="G320" s="8"/>
      <c r="H320" s="8">
        <v>30</v>
      </c>
      <c r="I320" s="8"/>
      <c r="J320" s="8">
        <v>8</v>
      </c>
      <c r="K320" s="8">
        <v>1</v>
      </c>
      <c r="L320" s="8">
        <v>16</v>
      </c>
      <c r="M320" s="8">
        <v>2</v>
      </c>
      <c r="N320" s="8"/>
      <c r="O320" s="8"/>
      <c r="P320" s="9">
        <v>2</v>
      </c>
      <c r="Q320" s="10">
        <f t="shared" si="12"/>
        <v>98</v>
      </c>
    </row>
    <row r="321" spans="1:17" x14ac:dyDescent="0.25">
      <c r="A321" s="11" t="s">
        <v>20</v>
      </c>
      <c r="B321" s="12">
        <v>40123</v>
      </c>
      <c r="C321" s="12" t="s">
        <v>32</v>
      </c>
      <c r="D321" s="13" t="s">
        <v>37</v>
      </c>
      <c r="E321" s="12"/>
      <c r="F321" s="14">
        <v>32</v>
      </c>
      <c r="G321" s="14"/>
      <c r="H321" s="14">
        <v>42</v>
      </c>
      <c r="I321" s="14"/>
      <c r="J321" s="14">
        <v>9</v>
      </c>
      <c r="K321" s="14">
        <v>9</v>
      </c>
      <c r="L321" s="14">
        <v>14</v>
      </c>
      <c r="M321" s="14">
        <v>2</v>
      </c>
      <c r="N321" s="14"/>
      <c r="O321" s="14"/>
      <c r="P321" s="15"/>
      <c r="Q321" s="10">
        <f t="shared" si="12"/>
        <v>108</v>
      </c>
    </row>
    <row r="322" spans="1:17" x14ac:dyDescent="0.25">
      <c r="A322" s="11" t="s">
        <v>24</v>
      </c>
      <c r="B322" s="12">
        <v>40124</v>
      </c>
      <c r="C322" s="12" t="s">
        <v>25</v>
      </c>
      <c r="D322" s="13" t="s">
        <v>37</v>
      </c>
      <c r="E322" s="12" t="s">
        <v>80</v>
      </c>
      <c r="F322" s="14">
        <v>15</v>
      </c>
      <c r="G322" s="14"/>
      <c r="H322" s="14">
        <v>24</v>
      </c>
      <c r="I322" s="14">
        <v>1</v>
      </c>
      <c r="J322" s="14">
        <v>1</v>
      </c>
      <c r="K322" s="14">
        <v>3</v>
      </c>
      <c r="L322" s="14">
        <v>15</v>
      </c>
      <c r="M322" s="14">
        <v>2</v>
      </c>
      <c r="N322" s="14"/>
      <c r="O322" s="14"/>
      <c r="P322" s="15"/>
      <c r="Q322" s="10">
        <f t="shared" si="12"/>
        <v>61</v>
      </c>
    </row>
    <row r="323" spans="1:17" x14ac:dyDescent="0.25">
      <c r="A323" s="6" t="s">
        <v>26</v>
      </c>
      <c r="B323" s="7">
        <v>40125</v>
      </c>
      <c r="C323" s="7" t="s">
        <v>169</v>
      </c>
      <c r="D323" s="7" t="s">
        <v>27</v>
      </c>
      <c r="E323" s="7" t="s">
        <v>170</v>
      </c>
      <c r="F323" s="8">
        <v>50</v>
      </c>
      <c r="G323" s="8">
        <v>2</v>
      </c>
      <c r="H323" s="8">
        <v>10</v>
      </c>
      <c r="I323" s="8"/>
      <c r="J323" s="8">
        <v>2</v>
      </c>
      <c r="K323" s="8">
        <v>2</v>
      </c>
      <c r="L323" s="8">
        <v>8</v>
      </c>
      <c r="M323" s="8">
        <v>2</v>
      </c>
      <c r="N323" s="8"/>
      <c r="O323" s="8"/>
      <c r="P323" s="9"/>
      <c r="Q323" s="10">
        <f t="shared" si="12"/>
        <v>76</v>
      </c>
    </row>
    <row r="324" spans="1:17" x14ac:dyDescent="0.25">
      <c r="A324" s="6" t="s">
        <v>29</v>
      </c>
      <c r="B324" s="7">
        <v>40126</v>
      </c>
      <c r="C324" s="7" t="s">
        <v>32</v>
      </c>
      <c r="D324" s="7" t="s">
        <v>27</v>
      </c>
      <c r="E324" s="7"/>
      <c r="F324" s="8">
        <v>21</v>
      </c>
      <c r="G324" s="8"/>
      <c r="H324" s="8">
        <v>21</v>
      </c>
      <c r="I324" s="8"/>
      <c r="J324" s="8"/>
      <c r="K324" s="8"/>
      <c r="L324" s="8">
        <v>8</v>
      </c>
      <c r="M324" s="8"/>
      <c r="N324" s="8"/>
      <c r="O324" s="8"/>
      <c r="P324" s="9">
        <v>4</v>
      </c>
      <c r="Q324" s="10">
        <f t="shared" si="12"/>
        <v>54</v>
      </c>
    </row>
    <row r="325" spans="1:17" x14ac:dyDescent="0.25">
      <c r="A325" s="6" t="s">
        <v>31</v>
      </c>
      <c r="B325" s="7">
        <v>40127</v>
      </c>
      <c r="C325" s="7" t="s">
        <v>171</v>
      </c>
      <c r="D325" s="7" t="s">
        <v>27</v>
      </c>
      <c r="E325" s="7"/>
      <c r="F325" s="8">
        <v>6</v>
      </c>
      <c r="G325" s="8"/>
      <c r="H325" s="8">
        <v>9</v>
      </c>
      <c r="I325" s="8"/>
      <c r="J325" s="8">
        <v>2</v>
      </c>
      <c r="K325" s="8"/>
      <c r="L325" s="8">
        <v>8</v>
      </c>
      <c r="M325" s="8">
        <v>3</v>
      </c>
      <c r="N325" s="8"/>
      <c r="O325" s="8"/>
      <c r="P325" s="9"/>
      <c r="Q325" s="10">
        <f t="shared" si="12"/>
        <v>28</v>
      </c>
    </row>
    <row r="326" spans="1:17" x14ac:dyDescent="0.25">
      <c r="A326" s="6" t="s">
        <v>33</v>
      </c>
      <c r="B326" s="7">
        <v>40128</v>
      </c>
      <c r="C326" s="7" t="s">
        <v>81</v>
      </c>
      <c r="D326" s="7" t="s">
        <v>27</v>
      </c>
      <c r="E326" s="7"/>
      <c r="F326" s="8">
        <v>32</v>
      </c>
      <c r="G326" s="8">
        <v>2</v>
      </c>
      <c r="H326" s="8">
        <v>55</v>
      </c>
      <c r="I326" s="8"/>
      <c r="J326" s="8">
        <v>11</v>
      </c>
      <c r="K326" s="8">
        <v>12</v>
      </c>
      <c r="L326" s="8">
        <v>4</v>
      </c>
      <c r="M326" s="8">
        <v>10</v>
      </c>
      <c r="N326" s="8"/>
      <c r="O326" s="8"/>
      <c r="P326" s="9"/>
      <c r="Q326" s="10">
        <f t="shared" si="12"/>
        <v>126</v>
      </c>
    </row>
    <row r="327" spans="1:17" x14ac:dyDescent="0.25">
      <c r="A327" s="6" t="s">
        <v>17</v>
      </c>
      <c r="B327" s="7">
        <v>40129</v>
      </c>
      <c r="C327" s="7" t="s">
        <v>81</v>
      </c>
      <c r="D327" s="7" t="s">
        <v>27</v>
      </c>
      <c r="E327" s="7"/>
      <c r="F327" s="8">
        <v>35</v>
      </c>
      <c r="G327" s="8">
        <v>6</v>
      </c>
      <c r="H327" s="8">
        <v>42</v>
      </c>
      <c r="I327" s="8"/>
      <c r="J327" s="8">
        <v>4</v>
      </c>
      <c r="K327" s="8">
        <v>10</v>
      </c>
      <c r="L327" s="8">
        <v>21</v>
      </c>
      <c r="M327" s="8">
        <v>11</v>
      </c>
      <c r="N327" s="8"/>
      <c r="O327" s="8"/>
      <c r="P327" s="9"/>
      <c r="Q327" s="10">
        <f t="shared" si="12"/>
        <v>129</v>
      </c>
    </row>
    <row r="328" spans="1:17" x14ac:dyDescent="0.25">
      <c r="A328" s="11" t="s">
        <v>20</v>
      </c>
      <c r="B328" s="12">
        <v>40130</v>
      </c>
      <c r="C328" s="12" t="s">
        <v>32</v>
      </c>
      <c r="D328" s="13" t="s">
        <v>37</v>
      </c>
      <c r="E328" s="12"/>
      <c r="F328" s="14"/>
      <c r="G328" s="14">
        <v>3</v>
      </c>
      <c r="H328" s="14">
        <v>11</v>
      </c>
      <c r="I328" s="14"/>
      <c r="J328" s="14">
        <v>85</v>
      </c>
      <c r="K328" s="14">
        <v>6</v>
      </c>
      <c r="L328" s="14">
        <v>12</v>
      </c>
      <c r="M328" s="14"/>
      <c r="N328" s="14"/>
      <c r="O328" s="14"/>
      <c r="P328" s="15"/>
      <c r="Q328" s="10">
        <f t="shared" si="12"/>
        <v>117</v>
      </c>
    </row>
    <row r="329" spans="1:17" x14ac:dyDescent="0.25">
      <c r="A329" s="11" t="s">
        <v>24</v>
      </c>
      <c r="B329" s="12">
        <v>40131</v>
      </c>
      <c r="C329" s="12" t="s">
        <v>172</v>
      </c>
      <c r="D329" s="13" t="s">
        <v>37</v>
      </c>
      <c r="E329" s="12"/>
      <c r="F329" s="14">
        <v>28</v>
      </c>
      <c r="G329" s="14">
        <v>1</v>
      </c>
      <c r="H329" s="14">
        <v>26</v>
      </c>
      <c r="I329" s="14">
        <v>3</v>
      </c>
      <c r="J329" s="14">
        <v>6</v>
      </c>
      <c r="K329" s="14">
        <v>1</v>
      </c>
      <c r="L329" s="14">
        <v>11</v>
      </c>
      <c r="M329" s="14">
        <v>7</v>
      </c>
      <c r="N329" s="14"/>
      <c r="O329" s="14"/>
      <c r="P329" s="15">
        <v>1</v>
      </c>
      <c r="Q329" s="10">
        <f t="shared" si="12"/>
        <v>84</v>
      </c>
    </row>
    <row r="330" spans="1:17" x14ac:dyDescent="0.25">
      <c r="A330" s="6" t="s">
        <v>26</v>
      </c>
      <c r="B330" s="7">
        <v>40132</v>
      </c>
      <c r="C330" s="7" t="s">
        <v>18</v>
      </c>
      <c r="D330" s="7" t="s">
        <v>27</v>
      </c>
      <c r="E330" s="7"/>
      <c r="F330" s="8">
        <v>15</v>
      </c>
      <c r="G330" s="8"/>
      <c r="H330" s="8">
        <v>7</v>
      </c>
      <c r="I330" s="8"/>
      <c r="J330" s="8"/>
      <c r="K330" s="8"/>
      <c r="L330" s="8">
        <v>7</v>
      </c>
      <c r="M330" s="8"/>
      <c r="N330" s="8"/>
      <c r="O330" s="8"/>
      <c r="P330" s="9"/>
      <c r="Q330" s="10">
        <f t="shared" si="12"/>
        <v>29</v>
      </c>
    </row>
    <row r="331" spans="1:17" x14ac:dyDescent="0.25">
      <c r="A331" s="6" t="s">
        <v>29</v>
      </c>
      <c r="B331" s="7">
        <v>40133</v>
      </c>
      <c r="C331" s="7" t="s">
        <v>136</v>
      </c>
      <c r="D331" s="7" t="s">
        <v>27</v>
      </c>
      <c r="E331" s="7"/>
      <c r="F331" s="8">
        <v>14</v>
      </c>
      <c r="G331" s="8"/>
      <c r="H331" s="8">
        <v>3</v>
      </c>
      <c r="I331" s="8"/>
      <c r="J331" s="8"/>
      <c r="K331" s="8"/>
      <c r="L331" s="8">
        <v>10</v>
      </c>
      <c r="M331" s="8"/>
      <c r="N331" s="8"/>
      <c r="O331" s="8"/>
      <c r="P331" s="9"/>
      <c r="Q331" s="10">
        <f t="shared" si="12"/>
        <v>27</v>
      </c>
    </row>
    <row r="332" spans="1:17" x14ac:dyDescent="0.25">
      <c r="A332" s="6" t="s">
        <v>31</v>
      </c>
      <c r="B332" s="7">
        <v>40134</v>
      </c>
      <c r="C332" s="7" t="s">
        <v>32</v>
      </c>
      <c r="D332" s="7" t="s">
        <v>27</v>
      </c>
      <c r="E332" s="7"/>
      <c r="F332" s="8">
        <v>36</v>
      </c>
      <c r="G332" s="8"/>
      <c r="H332" s="8">
        <v>18</v>
      </c>
      <c r="I332" s="8"/>
      <c r="J332" s="8">
        <v>3</v>
      </c>
      <c r="K332" s="8">
        <v>2</v>
      </c>
      <c r="L332" s="8">
        <v>10</v>
      </c>
      <c r="M332" s="8"/>
      <c r="N332" s="8"/>
      <c r="O332" s="8"/>
      <c r="P332" s="9"/>
      <c r="Q332" s="10">
        <f t="shared" si="12"/>
        <v>69</v>
      </c>
    </row>
    <row r="333" spans="1:17" x14ac:dyDescent="0.25">
      <c r="A333" s="6" t="s">
        <v>33</v>
      </c>
      <c r="B333" s="7">
        <v>40135</v>
      </c>
      <c r="C333" s="7" t="s">
        <v>25</v>
      </c>
      <c r="D333" s="7" t="s">
        <v>27</v>
      </c>
      <c r="E333" s="7"/>
      <c r="F333" s="8">
        <v>30</v>
      </c>
      <c r="G333" s="8"/>
      <c r="H333" s="8">
        <v>13</v>
      </c>
      <c r="I333" s="8"/>
      <c r="J333" s="8">
        <v>3</v>
      </c>
      <c r="K333" s="8">
        <v>3</v>
      </c>
      <c r="L333" s="8">
        <v>8</v>
      </c>
      <c r="M333" s="8">
        <v>1</v>
      </c>
      <c r="N333" s="8"/>
      <c r="O333" s="8">
        <v>12</v>
      </c>
      <c r="P333" s="9"/>
      <c r="Q333" s="10">
        <f t="shared" ref="Q333:Q376" si="15">SUM(F333:P333)</f>
        <v>70</v>
      </c>
    </row>
    <row r="334" spans="1:17" x14ac:dyDescent="0.25">
      <c r="A334" s="6" t="s">
        <v>17</v>
      </c>
      <c r="B334" s="7">
        <v>40136</v>
      </c>
      <c r="C334" s="7" t="s">
        <v>32</v>
      </c>
      <c r="D334" s="7" t="s">
        <v>27</v>
      </c>
      <c r="E334" s="7"/>
      <c r="F334" s="8">
        <v>30</v>
      </c>
      <c r="G334" s="8">
        <v>4</v>
      </c>
      <c r="H334" s="8">
        <v>23</v>
      </c>
      <c r="I334" s="8"/>
      <c r="J334" s="8">
        <v>6</v>
      </c>
      <c r="K334" s="8"/>
      <c r="L334" s="8"/>
      <c r="M334" s="8">
        <v>4</v>
      </c>
      <c r="N334" s="8"/>
      <c r="O334" s="8"/>
      <c r="P334" s="9"/>
      <c r="Q334" s="10">
        <f t="shared" si="15"/>
        <v>67</v>
      </c>
    </row>
    <row r="335" spans="1:17" x14ac:dyDescent="0.25">
      <c r="A335" s="11" t="s">
        <v>20</v>
      </c>
      <c r="B335" s="12">
        <v>40137</v>
      </c>
      <c r="C335" s="12" t="s">
        <v>18</v>
      </c>
      <c r="D335" s="13" t="s">
        <v>37</v>
      </c>
      <c r="E335" s="12"/>
      <c r="F335" s="14"/>
      <c r="G335" s="14">
        <v>4</v>
      </c>
      <c r="H335" s="14">
        <v>15</v>
      </c>
      <c r="I335" s="14"/>
      <c r="J335" s="14">
        <v>2</v>
      </c>
      <c r="K335" s="14"/>
      <c r="L335" s="14">
        <v>2</v>
      </c>
      <c r="M335" s="14"/>
      <c r="N335" s="14"/>
      <c r="O335" s="14"/>
      <c r="P335" s="15"/>
      <c r="Q335" s="10">
        <f t="shared" si="15"/>
        <v>23</v>
      </c>
    </row>
    <row r="336" spans="1:17" x14ac:dyDescent="0.25">
      <c r="A336" s="11" t="s">
        <v>24</v>
      </c>
      <c r="B336" s="12">
        <v>40138</v>
      </c>
      <c r="C336" s="12" t="s">
        <v>173</v>
      </c>
      <c r="D336" s="13" t="s">
        <v>37</v>
      </c>
      <c r="E336" s="12"/>
      <c r="F336" s="14">
        <v>6</v>
      </c>
      <c r="G336" s="14"/>
      <c r="H336" s="14">
        <v>11</v>
      </c>
      <c r="I336" s="14">
        <v>2</v>
      </c>
      <c r="J336" s="14"/>
      <c r="K336" s="14"/>
      <c r="L336" s="14">
        <v>3</v>
      </c>
      <c r="M336" s="14">
        <v>1</v>
      </c>
      <c r="N336" s="14"/>
      <c r="O336" s="14"/>
      <c r="P336" s="15"/>
      <c r="Q336" s="10">
        <f t="shared" si="15"/>
        <v>23</v>
      </c>
    </row>
    <row r="337" spans="1:17" x14ac:dyDescent="0.25">
      <c r="A337" s="6" t="s">
        <v>26</v>
      </c>
      <c r="B337" s="7">
        <v>40139</v>
      </c>
      <c r="C337" s="7" t="s">
        <v>25</v>
      </c>
      <c r="D337" s="7" t="s">
        <v>27</v>
      </c>
      <c r="E337" s="7"/>
      <c r="F337" s="8">
        <v>18</v>
      </c>
      <c r="G337" s="8"/>
      <c r="H337" s="8">
        <v>11</v>
      </c>
      <c r="I337" s="8"/>
      <c r="J337" s="8">
        <v>2</v>
      </c>
      <c r="K337" s="8">
        <v>2</v>
      </c>
      <c r="L337" s="8"/>
      <c r="M337" s="8"/>
      <c r="N337" s="8"/>
      <c r="O337" s="8"/>
      <c r="P337" s="9"/>
      <c r="Q337" s="10">
        <f t="shared" si="15"/>
        <v>33</v>
      </c>
    </row>
    <row r="338" spans="1:17" x14ac:dyDescent="0.25">
      <c r="A338" s="6" t="s">
        <v>29</v>
      </c>
      <c r="B338" s="7">
        <v>40140</v>
      </c>
      <c r="C338" s="7" t="s">
        <v>32</v>
      </c>
      <c r="D338" s="7" t="s">
        <v>27</v>
      </c>
      <c r="E338" s="7"/>
      <c r="F338" s="8">
        <v>37</v>
      </c>
      <c r="G338" s="8"/>
      <c r="H338" s="8">
        <v>38</v>
      </c>
      <c r="I338" s="8"/>
      <c r="J338" s="8">
        <v>2</v>
      </c>
      <c r="K338" s="8"/>
      <c r="L338" s="8"/>
      <c r="M338" s="8"/>
      <c r="N338" s="8"/>
      <c r="O338" s="8"/>
      <c r="P338" s="9"/>
      <c r="Q338" s="10">
        <f t="shared" si="15"/>
        <v>77</v>
      </c>
    </row>
    <row r="339" spans="1:17" x14ac:dyDescent="0.25">
      <c r="A339" s="6" t="s">
        <v>31</v>
      </c>
      <c r="B339" s="7">
        <v>40141</v>
      </c>
      <c r="C339" s="7" t="s">
        <v>174</v>
      </c>
      <c r="D339" s="7" t="s">
        <v>27</v>
      </c>
      <c r="E339" s="7"/>
      <c r="F339" s="8">
        <v>17</v>
      </c>
      <c r="G339" s="8"/>
      <c r="H339" s="8">
        <v>5</v>
      </c>
      <c r="I339" s="8"/>
      <c r="J339" s="8">
        <v>2</v>
      </c>
      <c r="K339" s="8">
        <v>2</v>
      </c>
      <c r="L339" s="8"/>
      <c r="M339" s="8"/>
      <c r="N339" s="8"/>
      <c r="O339" s="8"/>
      <c r="P339" s="9"/>
      <c r="Q339" s="10">
        <f t="shared" si="15"/>
        <v>26</v>
      </c>
    </row>
    <row r="340" spans="1:17" x14ac:dyDescent="0.25">
      <c r="A340" s="6" t="s">
        <v>33</v>
      </c>
      <c r="B340" s="7">
        <v>40142</v>
      </c>
      <c r="C340" s="7" t="s">
        <v>175</v>
      </c>
      <c r="D340" s="7" t="s">
        <v>27</v>
      </c>
      <c r="E340" s="7"/>
      <c r="F340" s="8">
        <v>18</v>
      </c>
      <c r="G340" s="8"/>
      <c r="H340" s="8">
        <v>14</v>
      </c>
      <c r="I340" s="8"/>
      <c r="J340" s="8">
        <v>4</v>
      </c>
      <c r="K340" s="8"/>
      <c r="L340" s="8"/>
      <c r="M340" s="8">
        <v>1</v>
      </c>
      <c r="N340" s="8"/>
      <c r="O340" s="8"/>
      <c r="P340" s="9"/>
      <c r="Q340" s="10">
        <f t="shared" si="15"/>
        <v>37</v>
      </c>
    </row>
    <row r="341" spans="1:17" x14ac:dyDescent="0.25">
      <c r="A341" s="6" t="s">
        <v>17</v>
      </c>
      <c r="B341" s="7">
        <v>40143</v>
      </c>
      <c r="C341" s="7" t="s">
        <v>176</v>
      </c>
      <c r="D341" s="7" t="s">
        <v>27</v>
      </c>
      <c r="E341" s="7"/>
      <c r="F341" s="8">
        <v>21</v>
      </c>
      <c r="G341" s="8"/>
      <c r="H341" s="8">
        <v>6</v>
      </c>
      <c r="I341" s="8"/>
      <c r="J341" s="8">
        <v>2</v>
      </c>
      <c r="K341" s="8"/>
      <c r="L341" s="8">
        <v>11</v>
      </c>
      <c r="M341" s="8">
        <v>2</v>
      </c>
      <c r="N341" s="8"/>
      <c r="O341" s="8"/>
      <c r="P341" s="9"/>
      <c r="Q341" s="10">
        <f t="shared" si="15"/>
        <v>42</v>
      </c>
    </row>
    <row r="342" spans="1:17" x14ac:dyDescent="0.25">
      <c r="A342" s="11" t="s">
        <v>20</v>
      </c>
      <c r="B342" s="12">
        <v>40144</v>
      </c>
      <c r="C342" s="12" t="s">
        <v>32</v>
      </c>
      <c r="D342" s="13" t="s">
        <v>37</v>
      </c>
      <c r="E342" s="12"/>
      <c r="F342" s="14">
        <v>7</v>
      </c>
      <c r="G342" s="14"/>
      <c r="H342" s="14">
        <v>12</v>
      </c>
      <c r="I342" s="14"/>
      <c r="J342" s="14">
        <v>4</v>
      </c>
      <c r="K342" s="14">
        <v>2</v>
      </c>
      <c r="L342" s="14">
        <v>13</v>
      </c>
      <c r="M342" s="14">
        <v>1</v>
      </c>
      <c r="N342" s="14"/>
      <c r="O342" s="14"/>
      <c r="P342" s="15"/>
      <c r="Q342" s="10">
        <f t="shared" si="15"/>
        <v>39</v>
      </c>
    </row>
    <row r="343" spans="1:17" x14ac:dyDescent="0.25">
      <c r="A343" s="11" t="s">
        <v>24</v>
      </c>
      <c r="B343" s="12">
        <v>40145</v>
      </c>
      <c r="C343" s="12" t="s">
        <v>18</v>
      </c>
      <c r="D343" s="13" t="s">
        <v>37</v>
      </c>
      <c r="E343" s="12"/>
      <c r="F343" s="14">
        <v>3</v>
      </c>
      <c r="G343" s="14"/>
      <c r="H343" s="14"/>
      <c r="I343" s="14"/>
      <c r="J343" s="14">
        <v>1</v>
      </c>
      <c r="K343" s="14"/>
      <c r="L343" s="14"/>
      <c r="M343" s="14"/>
      <c r="N343" s="14"/>
      <c r="O343" s="14"/>
      <c r="P343" s="15"/>
      <c r="Q343" s="10">
        <f t="shared" si="15"/>
        <v>4</v>
      </c>
    </row>
    <row r="344" spans="1:17" x14ac:dyDescent="0.25">
      <c r="A344" s="6" t="s">
        <v>26</v>
      </c>
      <c r="B344" s="7">
        <v>40146</v>
      </c>
      <c r="C344" s="7" t="s">
        <v>153</v>
      </c>
      <c r="D344" s="7" t="s">
        <v>27</v>
      </c>
      <c r="E344" s="7"/>
      <c r="F344" s="8">
        <v>18</v>
      </c>
      <c r="G344" s="8"/>
      <c r="H344" s="8">
        <v>9</v>
      </c>
      <c r="I344" s="8"/>
      <c r="J344" s="8">
        <v>2</v>
      </c>
      <c r="K344" s="8">
        <v>2</v>
      </c>
      <c r="L344" s="8"/>
      <c r="M344" s="8">
        <v>2</v>
      </c>
      <c r="N344" s="8"/>
      <c r="O344" s="8"/>
      <c r="P344" s="9"/>
      <c r="Q344" s="10">
        <f t="shared" si="15"/>
        <v>33</v>
      </c>
    </row>
    <row r="345" spans="1:17" x14ac:dyDescent="0.25">
      <c r="A345" s="6" t="s">
        <v>29</v>
      </c>
      <c r="B345" s="7">
        <v>40147</v>
      </c>
      <c r="C345" s="7" t="s">
        <v>25</v>
      </c>
      <c r="D345" s="7" t="s">
        <v>27</v>
      </c>
      <c r="E345" s="7"/>
      <c r="F345" s="8">
        <v>24</v>
      </c>
      <c r="G345" s="8"/>
      <c r="H345" s="8">
        <v>7</v>
      </c>
      <c r="I345" s="8">
        <v>2</v>
      </c>
      <c r="J345" s="8"/>
      <c r="K345" s="8"/>
      <c r="L345" s="8"/>
      <c r="M345" s="8"/>
      <c r="N345" s="8"/>
      <c r="O345" s="8"/>
      <c r="P345" s="9"/>
      <c r="Q345" s="10">
        <f t="shared" si="15"/>
        <v>33</v>
      </c>
    </row>
    <row r="346" spans="1:17" x14ac:dyDescent="0.25">
      <c r="A346" s="6" t="s">
        <v>45</v>
      </c>
      <c r="B346" s="7"/>
      <c r="C346" s="7"/>
      <c r="D346" s="7"/>
      <c r="E346" s="7"/>
      <c r="F346" s="18">
        <f>SUM(F316:F345)</f>
        <v>623</v>
      </c>
      <c r="G346" s="18">
        <f t="shared" ref="G346:P346" si="16">SUM(G316:G345)</f>
        <v>23</v>
      </c>
      <c r="H346" s="18">
        <f t="shared" si="16"/>
        <v>544</v>
      </c>
      <c r="I346" s="18">
        <f t="shared" si="16"/>
        <v>14</v>
      </c>
      <c r="J346" s="18">
        <f t="shared" si="16"/>
        <v>170</v>
      </c>
      <c r="K346" s="18">
        <f t="shared" si="16"/>
        <v>76</v>
      </c>
      <c r="L346" s="18">
        <f t="shared" si="16"/>
        <v>185</v>
      </c>
      <c r="M346" s="18">
        <f t="shared" si="16"/>
        <v>66</v>
      </c>
      <c r="N346" s="18">
        <f t="shared" si="16"/>
        <v>0</v>
      </c>
      <c r="O346" s="18">
        <f t="shared" si="16"/>
        <v>12</v>
      </c>
      <c r="P346" s="18">
        <f t="shared" si="16"/>
        <v>13</v>
      </c>
      <c r="Q346" s="17">
        <f>SUM(Q316:Q345)</f>
        <v>1726</v>
      </c>
    </row>
    <row r="347" spans="1:17" x14ac:dyDescent="0.25">
      <c r="A347" s="6" t="s">
        <v>31</v>
      </c>
      <c r="B347" s="7">
        <v>40148</v>
      </c>
      <c r="C347" s="7" t="s">
        <v>18</v>
      </c>
      <c r="D347" s="7" t="s">
        <v>27</v>
      </c>
      <c r="E347" s="7"/>
      <c r="F347" s="8">
        <v>3</v>
      </c>
      <c r="G347" s="8"/>
      <c r="H347" s="8"/>
      <c r="I347" s="8"/>
      <c r="J347" s="8"/>
      <c r="K347" s="8"/>
      <c r="L347" s="8"/>
      <c r="M347" s="8"/>
      <c r="N347" s="8"/>
      <c r="O347" s="8"/>
      <c r="P347" s="9"/>
      <c r="Q347" s="10">
        <f t="shared" si="15"/>
        <v>3</v>
      </c>
    </row>
    <row r="348" spans="1:17" x14ac:dyDescent="0.25">
      <c r="A348" s="6" t="s">
        <v>33</v>
      </c>
      <c r="B348" s="7">
        <v>40149</v>
      </c>
      <c r="C348" s="7" t="s">
        <v>48</v>
      </c>
      <c r="D348" s="7" t="s">
        <v>27</v>
      </c>
      <c r="E348" s="7" t="s">
        <v>177</v>
      </c>
      <c r="F348" s="8">
        <v>26</v>
      </c>
      <c r="G348" s="8"/>
      <c r="H348" s="8">
        <v>1</v>
      </c>
      <c r="I348" s="8"/>
      <c r="J348" s="8">
        <v>1</v>
      </c>
      <c r="K348" s="8"/>
      <c r="L348" s="8">
        <v>1</v>
      </c>
      <c r="M348" s="8"/>
      <c r="N348" s="8"/>
      <c r="O348" s="8">
        <v>13</v>
      </c>
      <c r="P348" s="9"/>
      <c r="Q348" s="10">
        <f t="shared" si="15"/>
        <v>42</v>
      </c>
    </row>
    <row r="349" spans="1:17" x14ac:dyDescent="0.25">
      <c r="A349" s="6" t="s">
        <v>17</v>
      </c>
      <c r="B349" s="7">
        <v>40150</v>
      </c>
      <c r="C349" s="7" t="s">
        <v>32</v>
      </c>
      <c r="D349" s="7" t="s">
        <v>27</v>
      </c>
      <c r="E349" s="7"/>
      <c r="F349" s="8">
        <v>35</v>
      </c>
      <c r="G349" s="8"/>
      <c r="H349" s="8">
        <v>4</v>
      </c>
      <c r="I349" s="8"/>
      <c r="J349" s="8">
        <v>2</v>
      </c>
      <c r="K349" s="8">
        <v>2</v>
      </c>
      <c r="L349" s="8"/>
      <c r="M349" s="8"/>
      <c r="N349" s="8"/>
      <c r="O349" s="8"/>
      <c r="P349" s="9"/>
      <c r="Q349" s="10">
        <f t="shared" si="15"/>
        <v>43</v>
      </c>
    </row>
    <row r="350" spans="1:17" x14ac:dyDescent="0.25">
      <c r="A350" s="11" t="s">
        <v>20</v>
      </c>
      <c r="B350" s="12">
        <v>40151</v>
      </c>
      <c r="C350" s="12" t="s">
        <v>176</v>
      </c>
      <c r="D350" s="13" t="s">
        <v>37</v>
      </c>
      <c r="E350" s="12"/>
      <c r="F350" s="14">
        <v>25</v>
      </c>
      <c r="G350" s="14"/>
      <c r="H350" s="14">
        <v>18</v>
      </c>
      <c r="I350" s="14"/>
      <c r="J350" s="14">
        <v>6</v>
      </c>
      <c r="K350" s="14">
        <v>4</v>
      </c>
      <c r="L350" s="14">
        <v>5</v>
      </c>
      <c r="M350" s="14"/>
      <c r="N350" s="14"/>
      <c r="O350" s="14"/>
      <c r="P350" s="15"/>
      <c r="Q350" s="10">
        <f t="shared" si="15"/>
        <v>58</v>
      </c>
    </row>
    <row r="351" spans="1:17" x14ac:dyDescent="0.25">
      <c r="A351" s="11" t="s">
        <v>24</v>
      </c>
      <c r="B351" s="12">
        <v>40152</v>
      </c>
      <c r="C351" s="12" t="s">
        <v>18</v>
      </c>
      <c r="D351" s="13" t="s">
        <v>37</v>
      </c>
      <c r="E351" s="12"/>
      <c r="F351" s="14">
        <v>9</v>
      </c>
      <c r="G351" s="14"/>
      <c r="H351" s="14">
        <v>7</v>
      </c>
      <c r="I351" s="14">
        <v>3</v>
      </c>
      <c r="J351" s="14"/>
      <c r="K351" s="14"/>
      <c r="L351" s="14">
        <v>2</v>
      </c>
      <c r="M351" s="14"/>
      <c r="N351" s="14"/>
      <c r="O351" s="14"/>
      <c r="P351" s="15"/>
      <c r="Q351" s="10">
        <f t="shared" si="15"/>
        <v>21</v>
      </c>
    </row>
    <row r="352" spans="1:17" x14ac:dyDescent="0.25">
      <c r="A352" s="6" t="s">
        <v>26</v>
      </c>
      <c r="B352" s="7">
        <v>40153</v>
      </c>
      <c r="C352" s="7" t="s">
        <v>18</v>
      </c>
      <c r="D352" s="7" t="s">
        <v>27</v>
      </c>
      <c r="E352" s="7" t="s">
        <v>178</v>
      </c>
      <c r="F352" s="8">
        <v>10</v>
      </c>
      <c r="G352" s="8"/>
      <c r="H352" s="8">
        <v>11</v>
      </c>
      <c r="I352" s="8"/>
      <c r="J352" s="8"/>
      <c r="K352" s="8"/>
      <c r="L352" s="8"/>
      <c r="M352" s="8">
        <v>5</v>
      </c>
      <c r="N352" s="8"/>
      <c r="O352" s="8"/>
      <c r="P352" s="9"/>
      <c r="Q352" s="10">
        <f t="shared" si="15"/>
        <v>26</v>
      </c>
    </row>
    <row r="353" spans="1:17" x14ac:dyDescent="0.25">
      <c r="A353" s="6" t="s">
        <v>29</v>
      </c>
      <c r="B353" s="7">
        <v>40154</v>
      </c>
      <c r="C353" s="7" t="s">
        <v>25</v>
      </c>
      <c r="D353" s="7" t="s">
        <v>27</v>
      </c>
      <c r="E353" s="7"/>
      <c r="F353" s="8">
        <v>17</v>
      </c>
      <c r="G353" s="8"/>
      <c r="H353" s="8">
        <v>3</v>
      </c>
      <c r="I353" s="8"/>
      <c r="J353" s="8">
        <v>2</v>
      </c>
      <c r="K353" s="8"/>
      <c r="L353" s="8"/>
      <c r="M353" s="8"/>
      <c r="N353" s="8"/>
      <c r="O353" s="8"/>
      <c r="P353" s="9"/>
      <c r="Q353" s="10">
        <f t="shared" si="15"/>
        <v>22</v>
      </c>
    </row>
    <row r="354" spans="1:17" x14ac:dyDescent="0.25">
      <c r="A354" s="6" t="s">
        <v>31</v>
      </c>
      <c r="B354" s="7">
        <v>40155</v>
      </c>
      <c r="C354" s="7" t="s">
        <v>179</v>
      </c>
      <c r="D354" s="7" t="s">
        <v>27</v>
      </c>
      <c r="E354" s="7"/>
      <c r="F354" s="8">
        <v>6</v>
      </c>
      <c r="G354" s="8"/>
      <c r="H354" s="8">
        <v>6</v>
      </c>
      <c r="I354" s="8"/>
      <c r="J354" s="8"/>
      <c r="K354" s="8"/>
      <c r="L354" s="8">
        <v>3</v>
      </c>
      <c r="M354" s="8"/>
      <c r="N354" s="8"/>
      <c r="O354" s="8"/>
      <c r="P354" s="9"/>
      <c r="Q354" s="10">
        <f t="shared" si="15"/>
        <v>15</v>
      </c>
    </row>
    <row r="355" spans="1:17" x14ac:dyDescent="0.25">
      <c r="A355" s="6" t="s">
        <v>33</v>
      </c>
      <c r="B355" s="7">
        <v>40156</v>
      </c>
      <c r="C355" s="7" t="s">
        <v>48</v>
      </c>
      <c r="D355" s="7" t="s">
        <v>27</v>
      </c>
      <c r="E355" s="7"/>
      <c r="F355" s="8">
        <v>17</v>
      </c>
      <c r="G355" s="8"/>
      <c r="H355" s="8">
        <v>12</v>
      </c>
      <c r="I355" s="8"/>
      <c r="J355" s="8">
        <v>1</v>
      </c>
      <c r="K355" s="8">
        <v>2</v>
      </c>
      <c r="L355" s="8">
        <v>2</v>
      </c>
      <c r="M355" s="8">
        <v>1</v>
      </c>
      <c r="N355" s="8"/>
      <c r="O355" s="8"/>
      <c r="P355" s="9"/>
      <c r="Q355" s="10">
        <f t="shared" si="15"/>
        <v>35</v>
      </c>
    </row>
    <row r="356" spans="1:17" x14ac:dyDescent="0.25">
      <c r="A356" s="6" t="s">
        <v>17</v>
      </c>
      <c r="B356" s="7">
        <v>40157</v>
      </c>
      <c r="C356" s="7" t="s">
        <v>176</v>
      </c>
      <c r="D356" s="7" t="s">
        <v>27</v>
      </c>
      <c r="E356" s="7"/>
      <c r="F356" s="8">
        <v>32</v>
      </c>
      <c r="G356" s="8"/>
      <c r="H356" s="8">
        <v>15</v>
      </c>
      <c r="I356" s="8"/>
      <c r="J356" s="8">
        <v>1</v>
      </c>
      <c r="K356" s="8">
        <v>4</v>
      </c>
      <c r="L356" s="8">
        <v>2</v>
      </c>
      <c r="M356" s="8">
        <v>3</v>
      </c>
      <c r="N356" s="8"/>
      <c r="O356" s="8"/>
      <c r="P356" s="9"/>
      <c r="Q356" s="10">
        <f t="shared" si="15"/>
        <v>57</v>
      </c>
    </row>
    <row r="357" spans="1:17" x14ac:dyDescent="0.25">
      <c r="A357" s="11" t="s">
        <v>20</v>
      </c>
      <c r="B357" s="12">
        <v>40158</v>
      </c>
      <c r="C357" s="12" t="s">
        <v>176</v>
      </c>
      <c r="D357" s="13" t="s">
        <v>37</v>
      </c>
      <c r="E357" s="12" t="s">
        <v>180</v>
      </c>
      <c r="F357" s="14">
        <v>22</v>
      </c>
      <c r="G357" s="14"/>
      <c r="H357" s="14">
        <v>5</v>
      </c>
      <c r="I357" s="14"/>
      <c r="J357" s="14">
        <v>45</v>
      </c>
      <c r="K357" s="14">
        <v>5</v>
      </c>
      <c r="L357" s="14">
        <v>4</v>
      </c>
      <c r="M357" s="14"/>
      <c r="N357" s="14"/>
      <c r="O357" s="14"/>
      <c r="P357" s="15"/>
      <c r="Q357" s="10">
        <f t="shared" si="15"/>
        <v>81</v>
      </c>
    </row>
    <row r="358" spans="1:17" x14ac:dyDescent="0.25">
      <c r="A358" s="11" t="s">
        <v>24</v>
      </c>
      <c r="B358" s="12">
        <v>40159</v>
      </c>
      <c r="C358" s="12" t="s">
        <v>32</v>
      </c>
      <c r="D358" s="13" t="s">
        <v>37</v>
      </c>
      <c r="E358" s="12"/>
      <c r="F358" s="14">
        <v>19</v>
      </c>
      <c r="G358" s="14">
        <v>2</v>
      </c>
      <c r="H358" s="14">
        <v>23</v>
      </c>
      <c r="I358" s="14"/>
      <c r="J358" s="14">
        <v>2</v>
      </c>
      <c r="K358" s="14">
        <v>1</v>
      </c>
      <c r="L358" s="14">
        <v>2</v>
      </c>
      <c r="M358" s="14">
        <v>4</v>
      </c>
      <c r="N358" s="14"/>
      <c r="O358" s="14"/>
      <c r="P358" s="15"/>
      <c r="Q358" s="10">
        <f t="shared" si="15"/>
        <v>53</v>
      </c>
    </row>
    <row r="359" spans="1:17" x14ac:dyDescent="0.25">
      <c r="A359" s="6" t="s">
        <v>26</v>
      </c>
      <c r="B359" s="7">
        <v>40160</v>
      </c>
      <c r="C359" s="7" t="s">
        <v>32</v>
      </c>
      <c r="D359" s="7" t="s">
        <v>27</v>
      </c>
      <c r="E359" s="7"/>
      <c r="F359" s="8">
        <v>15</v>
      </c>
      <c r="G359" s="8"/>
      <c r="H359" s="8">
        <v>11</v>
      </c>
      <c r="I359" s="8"/>
      <c r="J359" s="8">
        <v>2</v>
      </c>
      <c r="K359" s="8"/>
      <c r="L359" s="8"/>
      <c r="M359" s="8">
        <v>2</v>
      </c>
      <c r="N359" s="8"/>
      <c r="O359" s="8"/>
      <c r="P359" s="9"/>
      <c r="Q359" s="10">
        <f t="shared" si="15"/>
        <v>30</v>
      </c>
    </row>
    <row r="360" spans="1:17" x14ac:dyDescent="0.25">
      <c r="A360" s="6" t="s">
        <v>29</v>
      </c>
      <c r="B360" s="7">
        <v>40161</v>
      </c>
      <c r="C360" s="7" t="s">
        <v>25</v>
      </c>
      <c r="D360" s="7" t="s">
        <v>27</v>
      </c>
      <c r="E360" s="7"/>
      <c r="F360" s="8">
        <v>10</v>
      </c>
      <c r="G360" s="8"/>
      <c r="H360" s="8">
        <v>4</v>
      </c>
      <c r="I360" s="8"/>
      <c r="J360" s="8">
        <v>1</v>
      </c>
      <c r="K360" s="8">
        <v>1</v>
      </c>
      <c r="L360" s="8">
        <v>1</v>
      </c>
      <c r="M360" s="8"/>
      <c r="N360" s="8"/>
      <c r="O360" s="8"/>
      <c r="P360" s="9"/>
      <c r="Q360" s="10">
        <f t="shared" si="15"/>
        <v>17</v>
      </c>
    </row>
    <row r="361" spans="1:17" x14ac:dyDescent="0.25">
      <c r="A361" s="6" t="s">
        <v>31</v>
      </c>
      <c r="B361" s="7">
        <v>40162</v>
      </c>
      <c r="C361" s="7" t="s">
        <v>176</v>
      </c>
      <c r="D361" s="7" t="s">
        <v>27</v>
      </c>
      <c r="E361" s="7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9"/>
      <c r="Q361" s="10">
        <f t="shared" si="15"/>
        <v>0</v>
      </c>
    </row>
    <row r="362" spans="1:17" x14ac:dyDescent="0.25">
      <c r="A362" s="6" t="s">
        <v>33</v>
      </c>
      <c r="B362" s="7">
        <v>40163</v>
      </c>
      <c r="C362" s="7" t="s">
        <v>25</v>
      </c>
      <c r="D362" s="7" t="s">
        <v>27</v>
      </c>
      <c r="E362" s="7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9"/>
      <c r="Q362" s="10">
        <f t="shared" si="15"/>
        <v>0</v>
      </c>
    </row>
    <row r="363" spans="1:17" x14ac:dyDescent="0.25">
      <c r="A363" s="6" t="s">
        <v>17</v>
      </c>
      <c r="B363" s="7">
        <v>40164</v>
      </c>
      <c r="C363" s="7" t="s">
        <v>25</v>
      </c>
      <c r="D363" s="7" t="s">
        <v>27</v>
      </c>
      <c r="E363" s="7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9"/>
      <c r="Q363" s="10">
        <f t="shared" si="15"/>
        <v>0</v>
      </c>
    </row>
    <row r="364" spans="1:17" x14ac:dyDescent="0.25">
      <c r="A364" s="11" t="s">
        <v>20</v>
      </c>
      <c r="B364" s="12">
        <v>40165</v>
      </c>
      <c r="C364" s="12" t="s">
        <v>176</v>
      </c>
      <c r="D364" s="13" t="s">
        <v>37</v>
      </c>
      <c r="E364" s="12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5"/>
      <c r="Q364" s="10">
        <f t="shared" si="15"/>
        <v>0</v>
      </c>
    </row>
    <row r="365" spans="1:17" x14ac:dyDescent="0.25">
      <c r="A365" s="11" t="s">
        <v>24</v>
      </c>
      <c r="B365" s="12">
        <v>40166</v>
      </c>
      <c r="C365" s="12" t="s">
        <v>181</v>
      </c>
      <c r="D365" s="13" t="s">
        <v>37</v>
      </c>
      <c r="E365" s="12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5"/>
      <c r="Q365" s="10">
        <f t="shared" si="15"/>
        <v>0</v>
      </c>
    </row>
    <row r="366" spans="1:17" x14ac:dyDescent="0.25">
      <c r="A366" s="6" t="s">
        <v>26</v>
      </c>
      <c r="B366" s="7">
        <v>40167</v>
      </c>
      <c r="C366" s="7" t="s">
        <v>176</v>
      </c>
      <c r="D366" s="7" t="s">
        <v>19</v>
      </c>
      <c r="E366" s="7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9"/>
      <c r="Q366" s="10">
        <f t="shared" si="15"/>
        <v>0</v>
      </c>
    </row>
    <row r="367" spans="1:17" x14ac:dyDescent="0.25">
      <c r="A367" s="6" t="s">
        <v>29</v>
      </c>
      <c r="B367" s="7">
        <v>40168</v>
      </c>
      <c r="C367" s="7" t="s">
        <v>18</v>
      </c>
      <c r="D367" s="7" t="s">
        <v>19</v>
      </c>
      <c r="E367" s="7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9"/>
      <c r="Q367" s="10">
        <f t="shared" si="15"/>
        <v>0</v>
      </c>
    </row>
    <row r="368" spans="1:17" x14ac:dyDescent="0.25">
      <c r="A368" s="6" t="s">
        <v>31</v>
      </c>
      <c r="B368" s="7">
        <v>40169</v>
      </c>
      <c r="C368" s="7" t="s">
        <v>18</v>
      </c>
      <c r="D368" s="7" t="s">
        <v>19</v>
      </c>
      <c r="E368" s="7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9"/>
      <c r="Q368" s="10">
        <f t="shared" si="15"/>
        <v>0</v>
      </c>
    </row>
    <row r="369" spans="1:17" x14ac:dyDescent="0.25">
      <c r="A369" s="6" t="s">
        <v>33</v>
      </c>
      <c r="B369" s="7">
        <v>40170</v>
      </c>
      <c r="C369" s="7" t="s">
        <v>182</v>
      </c>
      <c r="D369" s="7" t="s">
        <v>19</v>
      </c>
      <c r="E369" s="7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9"/>
      <c r="Q369" s="10">
        <f t="shared" si="15"/>
        <v>0</v>
      </c>
    </row>
    <row r="370" spans="1:17" x14ac:dyDescent="0.25">
      <c r="A370" s="6" t="s">
        <v>17</v>
      </c>
      <c r="B370" s="7">
        <v>40171</v>
      </c>
      <c r="C370" s="7" t="s">
        <v>175</v>
      </c>
      <c r="D370" s="7" t="s">
        <v>19</v>
      </c>
      <c r="E370" s="7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9"/>
      <c r="Q370" s="10">
        <f t="shared" si="15"/>
        <v>0</v>
      </c>
    </row>
    <row r="371" spans="1:17" x14ac:dyDescent="0.25">
      <c r="A371" s="11" t="s">
        <v>20</v>
      </c>
      <c r="B371" s="12">
        <v>40172</v>
      </c>
      <c r="C371" s="12"/>
      <c r="D371" s="13" t="s">
        <v>22</v>
      </c>
      <c r="E371" s="12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5"/>
      <c r="Q371" s="10">
        <f t="shared" si="15"/>
        <v>0</v>
      </c>
    </row>
    <row r="372" spans="1:17" x14ac:dyDescent="0.25">
      <c r="A372" s="11" t="s">
        <v>24</v>
      </c>
      <c r="B372" s="12">
        <v>40173</v>
      </c>
      <c r="C372" s="12" t="s">
        <v>183</v>
      </c>
      <c r="D372" s="13" t="s">
        <v>37</v>
      </c>
      <c r="E372" s="12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5"/>
      <c r="Q372" s="10">
        <f t="shared" si="15"/>
        <v>0</v>
      </c>
    </row>
    <row r="373" spans="1:17" x14ac:dyDescent="0.25">
      <c r="A373" s="6" t="s">
        <v>26</v>
      </c>
      <c r="B373" s="7">
        <v>40174</v>
      </c>
      <c r="C373" s="7" t="s">
        <v>25</v>
      </c>
      <c r="D373" s="7" t="s">
        <v>19</v>
      </c>
      <c r="E373" s="7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9"/>
      <c r="Q373" s="10">
        <f t="shared" si="15"/>
        <v>0</v>
      </c>
    </row>
    <row r="374" spans="1:17" x14ac:dyDescent="0.25">
      <c r="A374" s="6" t="s">
        <v>29</v>
      </c>
      <c r="B374" s="7">
        <v>40175</v>
      </c>
      <c r="C374" s="7" t="s">
        <v>25</v>
      </c>
      <c r="D374" s="7" t="s">
        <v>19</v>
      </c>
      <c r="E374" s="7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9"/>
      <c r="Q374" s="10">
        <f t="shared" si="15"/>
        <v>0</v>
      </c>
    </row>
    <row r="375" spans="1:17" x14ac:dyDescent="0.25">
      <c r="A375" s="6" t="s">
        <v>31</v>
      </c>
      <c r="B375" s="7">
        <v>40176</v>
      </c>
      <c r="C375" s="7" t="s">
        <v>25</v>
      </c>
      <c r="D375" s="7" t="s">
        <v>19</v>
      </c>
      <c r="E375" s="7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1"/>
      <c r="Q375" s="10">
        <f t="shared" si="15"/>
        <v>0</v>
      </c>
    </row>
    <row r="376" spans="1:17" x14ac:dyDescent="0.25">
      <c r="A376" s="6" t="s">
        <v>33</v>
      </c>
      <c r="B376" s="7">
        <v>40177</v>
      </c>
      <c r="C376" s="7" t="s">
        <v>25</v>
      </c>
      <c r="D376" s="7" t="s">
        <v>19</v>
      </c>
      <c r="E376" s="7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9"/>
      <c r="Q376" s="10">
        <f t="shared" si="15"/>
        <v>0</v>
      </c>
    </row>
    <row r="377" spans="1:17" x14ac:dyDescent="0.25">
      <c r="A377" s="9" t="s">
        <v>17</v>
      </c>
      <c r="B377" s="7">
        <v>40178</v>
      </c>
      <c r="C377" s="7" t="s">
        <v>25</v>
      </c>
      <c r="D377" s="7" t="s">
        <v>19</v>
      </c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10">
        <v>0</v>
      </c>
    </row>
    <row r="378" spans="1:17" x14ac:dyDescent="0.25">
      <c r="A378" s="9" t="s">
        <v>45</v>
      </c>
      <c r="B378" s="9"/>
      <c r="C378" s="9"/>
      <c r="D378" s="9"/>
      <c r="E378" s="9"/>
      <c r="F378" s="22">
        <f>SUM(F347:F377)</f>
        <v>246</v>
      </c>
      <c r="G378" s="22">
        <f t="shared" ref="G378:M378" si="17">SUM(G347:G377)</f>
        <v>2</v>
      </c>
      <c r="H378" s="22">
        <f t="shared" si="17"/>
        <v>120</v>
      </c>
      <c r="I378" s="22">
        <f t="shared" si="17"/>
        <v>3</v>
      </c>
      <c r="J378" s="22">
        <f t="shared" si="17"/>
        <v>63</v>
      </c>
      <c r="K378" s="22">
        <f t="shared" si="17"/>
        <v>19</v>
      </c>
      <c r="L378" s="22">
        <f t="shared" si="17"/>
        <v>22</v>
      </c>
      <c r="M378" s="22">
        <f t="shared" si="17"/>
        <v>15</v>
      </c>
      <c r="N378" s="22">
        <f>SUM(N347:N377)</f>
        <v>0</v>
      </c>
      <c r="O378" s="22">
        <f>SUM(O347:O377)</f>
        <v>13</v>
      </c>
      <c r="P378" s="22">
        <f>SUM(P347:P377)</f>
        <v>0</v>
      </c>
      <c r="Q378" s="17">
        <f>SUM(Q347:Q376)</f>
        <v>503</v>
      </c>
    </row>
    <row r="379" spans="1:17" x14ac:dyDescent="0.25">
      <c r="A379" s="9" t="s">
        <v>184</v>
      </c>
      <c r="B379" s="9"/>
      <c r="C379" s="9"/>
      <c r="D379" s="9"/>
      <c r="E379" s="9"/>
      <c r="F379" s="23">
        <f>SUM(F33+F62+F94+F125+F157+F188+F220+F252+F283+F315+F346+F378)</f>
        <v>7955</v>
      </c>
      <c r="G379" s="23">
        <f t="shared" ref="G379:M379" si="18">SUM(G33+G62+G94+G125+G157+G188+G220+G252+G283+G315+G346+G378)</f>
        <v>1562</v>
      </c>
      <c r="H379" s="23">
        <f t="shared" si="18"/>
        <v>11790</v>
      </c>
      <c r="I379" s="23">
        <f t="shared" si="18"/>
        <v>389</v>
      </c>
      <c r="J379" s="23">
        <f t="shared" si="18"/>
        <v>1006</v>
      </c>
      <c r="K379" s="23">
        <f t="shared" si="18"/>
        <v>1383</v>
      </c>
      <c r="L379" s="23">
        <f t="shared" si="18"/>
        <v>2118</v>
      </c>
      <c r="M379" s="23">
        <f t="shared" si="18"/>
        <v>1168</v>
      </c>
      <c r="N379" s="23">
        <f>SUM(N33+N62+N94+N125+N157+N188+N220+N252+N283+N315+N346+N378)</f>
        <v>294</v>
      </c>
      <c r="O379" s="23">
        <f>SUM(O33+O62+O94+O125+O157+O188+O220+O252+O283+O315+O346+O378)</f>
        <v>333</v>
      </c>
      <c r="P379" s="23">
        <f>SUM(P33+P62+P94+P125+P157+P188+P220+P252+P283+P315+P346+P378)</f>
        <v>544</v>
      </c>
      <c r="Q379" s="24">
        <f>SUM(Q33+Q62+Q94+Q125+Q157+Q188+Q220+Q252+Q283+Q315+Q346+Q378)</f>
        <v>28542</v>
      </c>
    </row>
    <row r="380" spans="1:17" x14ac:dyDescent="0.25">
      <c r="A380" s="25"/>
      <c r="B380" s="26"/>
      <c r="C380" s="26"/>
      <c r="D380" s="26"/>
      <c r="E380" s="26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</row>
    <row r="381" spans="1:17" x14ac:dyDescent="0.25">
      <c r="A381" s="25"/>
      <c r="B381" s="26"/>
      <c r="C381" s="26"/>
      <c r="D381" s="26"/>
      <c r="E381" s="26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</row>
    <row r="382" spans="1:17" x14ac:dyDescent="0.25">
      <c r="A382" s="25"/>
      <c r="B382" s="26"/>
      <c r="C382" s="26"/>
      <c r="D382" s="26"/>
      <c r="E382" s="26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</row>
    <row r="383" spans="1:17" x14ac:dyDescent="0.25">
      <c r="A383" s="25"/>
      <c r="B383" s="26"/>
      <c r="C383" s="26"/>
      <c r="D383" s="26"/>
      <c r="E383" s="26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</row>
    <row r="384" spans="1:17" x14ac:dyDescent="0.25">
      <c r="A384" s="25"/>
      <c r="B384" s="26"/>
      <c r="C384" s="26"/>
      <c r="D384" s="26"/>
      <c r="E384" s="26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</row>
    <row r="385" spans="1:16" x14ac:dyDescent="0.25">
      <c r="A385" s="25"/>
      <c r="B385" s="26"/>
      <c r="C385" s="26"/>
      <c r="D385" s="26"/>
      <c r="E385" s="26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</row>
    <row r="386" spans="1:16" x14ac:dyDescent="0.25">
      <c r="A386" s="25"/>
      <c r="B386" s="26"/>
      <c r="C386" s="26"/>
      <c r="D386" s="26"/>
      <c r="E386" s="26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</row>
    <row r="387" spans="1:16" x14ac:dyDescent="0.25">
      <c r="A387" s="25"/>
      <c r="B387" s="26"/>
      <c r="C387" s="26"/>
      <c r="D387" s="26"/>
      <c r="E387" s="26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</row>
    <row r="388" spans="1:16" x14ac:dyDescent="0.25">
      <c r="A388" s="25"/>
      <c r="B388" s="26"/>
      <c r="C388" s="26"/>
      <c r="D388" s="26"/>
      <c r="E388" s="26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</row>
    <row r="389" spans="1:16" x14ac:dyDescent="0.25">
      <c r="A389" s="25"/>
      <c r="B389" s="26"/>
      <c r="C389" s="26"/>
      <c r="D389" s="26"/>
      <c r="E389" s="26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</row>
    <row r="390" spans="1:16" x14ac:dyDescent="0.25">
      <c r="A390" s="25"/>
      <c r="B390" s="26"/>
      <c r="C390" s="26"/>
      <c r="D390" s="26"/>
      <c r="E390" s="26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</row>
    <row r="391" spans="1:16" x14ac:dyDescent="0.25">
      <c r="B391" s="29"/>
      <c r="C391" s="29"/>
      <c r="D391" s="29"/>
      <c r="E391" s="29"/>
    </row>
    <row r="392" spans="1:16" x14ac:dyDescent="0.25">
      <c r="B392" s="29"/>
      <c r="C392" s="29"/>
      <c r="D392" s="29"/>
      <c r="E392" s="29"/>
    </row>
    <row r="393" spans="1:16" x14ac:dyDescent="0.25">
      <c r="B393" s="29"/>
      <c r="C393" s="29"/>
      <c r="D393" s="29"/>
      <c r="E393" s="29"/>
    </row>
    <row r="394" spans="1:16" x14ac:dyDescent="0.25">
      <c r="B394" s="29"/>
      <c r="C394" s="29"/>
      <c r="D394" s="29"/>
      <c r="E394" s="29"/>
    </row>
    <row r="395" spans="1:16" x14ac:dyDescent="0.25">
      <c r="B395" s="29"/>
      <c r="C395" s="29"/>
      <c r="D395" s="29"/>
      <c r="E395" s="29"/>
    </row>
    <row r="396" spans="1:16" x14ac:dyDescent="0.25">
      <c r="B396" s="29"/>
      <c r="C396" s="29"/>
      <c r="D396" s="29"/>
      <c r="E396" s="29"/>
    </row>
    <row r="397" spans="1:16" x14ac:dyDescent="0.25">
      <c r="B397" s="29"/>
      <c r="C397" s="29"/>
      <c r="D397" s="29"/>
      <c r="E397" s="29"/>
    </row>
    <row r="398" spans="1:16" x14ac:dyDescent="0.25">
      <c r="B398" s="29"/>
      <c r="C398" s="29"/>
      <c r="D398" s="29"/>
      <c r="E398" s="29"/>
    </row>
    <row r="399" spans="1:16" x14ac:dyDescent="0.25">
      <c r="B399" s="29"/>
      <c r="C399" s="29"/>
      <c r="D399" s="29"/>
      <c r="E399" s="29"/>
    </row>
    <row r="400" spans="1:16" x14ac:dyDescent="0.25">
      <c r="B400" s="29"/>
      <c r="C400" s="29"/>
      <c r="D400" s="29"/>
      <c r="E400" s="29"/>
    </row>
    <row r="401" spans="2:5" x14ac:dyDescent="0.25">
      <c r="B401" s="29"/>
      <c r="C401" s="29"/>
      <c r="D401" s="29"/>
      <c r="E401" s="29"/>
    </row>
    <row r="402" spans="2:5" x14ac:dyDescent="0.25">
      <c r="B402" s="29"/>
      <c r="C402" s="29"/>
      <c r="D402" s="29"/>
      <c r="E402" s="29"/>
    </row>
    <row r="403" spans="2:5" x14ac:dyDescent="0.25">
      <c r="B403" s="29"/>
      <c r="C403" s="29"/>
      <c r="D403" s="29"/>
      <c r="E403" s="29"/>
    </row>
    <row r="404" spans="2:5" x14ac:dyDescent="0.25">
      <c r="B404" s="29"/>
      <c r="C404" s="29"/>
      <c r="D404" s="29"/>
      <c r="E404" s="29"/>
    </row>
    <row r="405" spans="2:5" x14ac:dyDescent="0.25">
      <c r="B405" s="29"/>
      <c r="C405" s="29"/>
      <c r="D405" s="29"/>
      <c r="E405" s="29"/>
    </row>
    <row r="406" spans="2:5" x14ac:dyDescent="0.25">
      <c r="B406" s="29"/>
      <c r="C406" s="29"/>
      <c r="D406" s="29"/>
      <c r="E406" s="29"/>
    </row>
    <row r="407" spans="2:5" x14ac:dyDescent="0.25">
      <c r="B407" s="29"/>
      <c r="C407" s="29"/>
      <c r="D407" s="29"/>
      <c r="E407" s="29"/>
    </row>
    <row r="408" spans="2:5" x14ac:dyDescent="0.25">
      <c r="B408" s="29"/>
      <c r="C408" s="29"/>
      <c r="D408" s="29"/>
      <c r="E408" s="29"/>
    </row>
    <row r="409" spans="2:5" x14ac:dyDescent="0.25">
      <c r="B409" s="29"/>
      <c r="C409" s="29"/>
      <c r="D409" s="29"/>
      <c r="E409" s="29"/>
    </row>
    <row r="410" spans="2:5" x14ac:dyDescent="0.25">
      <c r="B410" s="29"/>
      <c r="C410" s="29"/>
      <c r="D410" s="29"/>
      <c r="E410" s="29"/>
    </row>
    <row r="411" spans="2:5" x14ac:dyDescent="0.25">
      <c r="B411" s="29"/>
      <c r="C411" s="29"/>
      <c r="D411" s="29"/>
      <c r="E411" s="29"/>
    </row>
    <row r="412" spans="2:5" x14ac:dyDescent="0.25">
      <c r="B412" s="29"/>
      <c r="C412" s="29"/>
      <c r="D412" s="29"/>
      <c r="E412" s="29"/>
    </row>
    <row r="413" spans="2:5" x14ac:dyDescent="0.25">
      <c r="B413" s="29"/>
      <c r="C413" s="29"/>
      <c r="D413" s="29"/>
      <c r="E413" s="29"/>
    </row>
    <row r="414" spans="2:5" x14ac:dyDescent="0.25">
      <c r="B414" s="29"/>
      <c r="C414" s="29"/>
      <c r="D414" s="29"/>
      <c r="E414" s="29"/>
    </row>
    <row r="415" spans="2:5" x14ac:dyDescent="0.25">
      <c r="B415" s="29"/>
      <c r="C415" s="29"/>
      <c r="D415" s="29"/>
      <c r="E415" s="29"/>
    </row>
    <row r="416" spans="2:5" x14ac:dyDescent="0.25">
      <c r="B416" s="29"/>
      <c r="C416" s="29"/>
      <c r="D416" s="29"/>
      <c r="E416" s="29"/>
    </row>
    <row r="417" spans="2:5" x14ac:dyDescent="0.25">
      <c r="B417" s="29"/>
      <c r="C417" s="29"/>
      <c r="D417" s="29"/>
      <c r="E417" s="29"/>
    </row>
    <row r="418" spans="2:5" x14ac:dyDescent="0.25">
      <c r="B418" s="29"/>
      <c r="C418" s="29"/>
      <c r="D418" s="29"/>
      <c r="E418" s="29"/>
    </row>
    <row r="419" spans="2:5" x14ac:dyDescent="0.25">
      <c r="B419" s="29"/>
      <c r="C419" s="29"/>
      <c r="D419" s="29"/>
      <c r="E419" s="29"/>
    </row>
    <row r="420" spans="2:5" x14ac:dyDescent="0.25">
      <c r="B420" s="29"/>
      <c r="C420" s="29"/>
      <c r="D420" s="29"/>
      <c r="E420" s="29"/>
    </row>
    <row r="421" spans="2:5" x14ac:dyDescent="0.25">
      <c r="B421" s="29"/>
      <c r="C421" s="29"/>
      <c r="D421" s="29"/>
      <c r="E421" s="29"/>
    </row>
    <row r="422" spans="2:5" x14ac:dyDescent="0.25">
      <c r="B422" s="29"/>
      <c r="C422" s="29"/>
      <c r="D422" s="29"/>
      <c r="E422" s="29"/>
    </row>
    <row r="423" spans="2:5" x14ac:dyDescent="0.25">
      <c r="B423" s="29"/>
      <c r="C423" s="29"/>
      <c r="D423" s="29"/>
      <c r="E423" s="29"/>
    </row>
    <row r="424" spans="2:5" x14ac:dyDescent="0.25">
      <c r="B424" s="29"/>
      <c r="C424" s="29"/>
      <c r="D424" s="29"/>
      <c r="E424" s="29"/>
    </row>
    <row r="425" spans="2:5" x14ac:dyDescent="0.25">
      <c r="B425" s="29"/>
      <c r="C425" s="29"/>
      <c r="D425" s="29"/>
      <c r="E425" s="29"/>
    </row>
    <row r="426" spans="2:5" x14ac:dyDescent="0.25">
      <c r="B426" s="29"/>
      <c r="C426" s="29"/>
      <c r="D426" s="29"/>
      <c r="E426" s="29"/>
    </row>
    <row r="427" spans="2:5" x14ac:dyDescent="0.25">
      <c r="B427" s="29"/>
      <c r="C427" s="29"/>
      <c r="D427" s="29"/>
      <c r="E427" s="29"/>
    </row>
    <row r="428" spans="2:5" x14ac:dyDescent="0.25">
      <c r="B428" s="29"/>
      <c r="C428" s="29"/>
      <c r="D428" s="29"/>
      <c r="E428" s="29"/>
    </row>
    <row r="429" spans="2:5" x14ac:dyDescent="0.25">
      <c r="B429" s="29"/>
      <c r="C429" s="29"/>
      <c r="D429" s="29"/>
      <c r="E429" s="29"/>
    </row>
    <row r="430" spans="2:5" x14ac:dyDescent="0.25">
      <c r="B430" s="29"/>
      <c r="C430" s="29"/>
      <c r="D430" s="29"/>
      <c r="E430" s="29"/>
    </row>
    <row r="431" spans="2:5" x14ac:dyDescent="0.25">
      <c r="B431" s="29"/>
      <c r="C431" s="29"/>
      <c r="D431" s="29"/>
      <c r="E431" s="29"/>
    </row>
    <row r="432" spans="2:5" x14ac:dyDescent="0.25">
      <c r="B432" s="29"/>
      <c r="C432" s="29"/>
      <c r="D432" s="29"/>
      <c r="E432" s="29"/>
    </row>
    <row r="433" spans="2:5" x14ac:dyDescent="0.25">
      <c r="B433" s="29"/>
      <c r="C433" s="29"/>
      <c r="D433" s="29"/>
      <c r="E433" s="29"/>
    </row>
    <row r="434" spans="2:5" x14ac:dyDescent="0.25">
      <c r="B434" s="29"/>
      <c r="C434" s="29"/>
      <c r="D434" s="29"/>
      <c r="E434" s="29"/>
    </row>
    <row r="435" spans="2:5" x14ac:dyDescent="0.25">
      <c r="B435" s="29"/>
      <c r="C435" s="29"/>
      <c r="D435" s="29"/>
      <c r="E435" s="29"/>
    </row>
    <row r="436" spans="2:5" x14ac:dyDescent="0.25">
      <c r="B436" s="29"/>
      <c r="C436" s="29"/>
      <c r="D436" s="29"/>
      <c r="E436" s="29"/>
    </row>
    <row r="437" spans="2:5" x14ac:dyDescent="0.25">
      <c r="B437" s="29"/>
      <c r="C437" s="29"/>
      <c r="D437" s="29"/>
      <c r="E437" s="29"/>
    </row>
    <row r="438" spans="2:5" x14ac:dyDescent="0.25">
      <c r="B438" s="29"/>
      <c r="C438" s="29"/>
      <c r="D438" s="29"/>
      <c r="E438" s="29"/>
    </row>
    <row r="439" spans="2:5" x14ac:dyDescent="0.25">
      <c r="B439" s="29"/>
      <c r="C439" s="29"/>
      <c r="D439" s="29"/>
      <c r="E439" s="29"/>
    </row>
    <row r="440" spans="2:5" x14ac:dyDescent="0.25">
      <c r="B440" s="29"/>
      <c r="C440" s="29"/>
      <c r="D440" s="29"/>
      <c r="E440" s="29"/>
    </row>
    <row r="441" spans="2:5" x14ac:dyDescent="0.25">
      <c r="B441" s="29"/>
      <c r="C441" s="29"/>
      <c r="D441" s="29"/>
      <c r="E441" s="29"/>
    </row>
    <row r="442" spans="2:5" x14ac:dyDescent="0.25">
      <c r="B442" s="29"/>
      <c r="C442" s="29"/>
      <c r="D442" s="29"/>
      <c r="E442" s="29"/>
    </row>
    <row r="443" spans="2:5" x14ac:dyDescent="0.25">
      <c r="B443" s="29"/>
      <c r="C443" s="29"/>
      <c r="D443" s="29"/>
      <c r="E443" s="29"/>
    </row>
    <row r="444" spans="2:5" x14ac:dyDescent="0.25">
      <c r="B444" s="29"/>
      <c r="C444" s="29"/>
      <c r="D444" s="29"/>
      <c r="E444" s="29"/>
    </row>
    <row r="445" spans="2:5" x14ac:dyDescent="0.25">
      <c r="B445" s="29"/>
      <c r="C445" s="29"/>
      <c r="D445" s="29"/>
      <c r="E445" s="29"/>
    </row>
    <row r="446" spans="2:5" x14ac:dyDescent="0.25">
      <c r="B446" s="29"/>
      <c r="C446" s="29"/>
      <c r="D446" s="29"/>
      <c r="E446" s="29"/>
    </row>
    <row r="447" spans="2:5" x14ac:dyDescent="0.25">
      <c r="B447" s="29"/>
      <c r="C447" s="29"/>
      <c r="D447" s="29"/>
      <c r="E447" s="29"/>
    </row>
    <row r="448" spans="2:5" x14ac:dyDescent="0.25">
      <c r="B448" s="29"/>
      <c r="C448" s="29"/>
      <c r="D448" s="29"/>
      <c r="E448" s="29"/>
    </row>
    <row r="449" spans="2:5" x14ac:dyDescent="0.25">
      <c r="B449" s="29"/>
      <c r="C449" s="29"/>
      <c r="D449" s="29"/>
      <c r="E449" s="29"/>
    </row>
    <row r="450" spans="2:5" x14ac:dyDescent="0.25">
      <c r="B450" s="29"/>
      <c r="C450" s="29"/>
      <c r="D450" s="29"/>
      <c r="E450" s="29"/>
    </row>
    <row r="451" spans="2:5" x14ac:dyDescent="0.25">
      <c r="B451" s="29"/>
      <c r="C451" s="29"/>
      <c r="D451" s="29"/>
      <c r="E451" s="29"/>
    </row>
    <row r="452" spans="2:5" x14ac:dyDescent="0.25">
      <c r="B452" s="29"/>
      <c r="C452" s="29"/>
      <c r="D452" s="29"/>
      <c r="E452" s="29"/>
    </row>
    <row r="453" spans="2:5" x14ac:dyDescent="0.25">
      <c r="B453" s="29"/>
      <c r="C453" s="29"/>
      <c r="D453" s="29"/>
      <c r="E453" s="29"/>
    </row>
    <row r="454" spans="2:5" x14ac:dyDescent="0.25">
      <c r="B454" s="29"/>
      <c r="C454" s="29"/>
      <c r="D454" s="29"/>
      <c r="E454" s="29"/>
    </row>
    <row r="455" spans="2:5" x14ac:dyDescent="0.25">
      <c r="B455" s="29"/>
      <c r="C455" s="29"/>
      <c r="D455" s="29"/>
      <c r="E455" s="29"/>
    </row>
    <row r="456" spans="2:5" x14ac:dyDescent="0.25">
      <c r="B456" s="29"/>
      <c r="C456" s="29"/>
      <c r="D456" s="29"/>
      <c r="E456" s="29"/>
    </row>
    <row r="457" spans="2:5" x14ac:dyDescent="0.25">
      <c r="B457" s="29"/>
      <c r="C457" s="29"/>
      <c r="D457" s="29"/>
      <c r="E457" s="29"/>
    </row>
    <row r="458" spans="2:5" x14ac:dyDescent="0.25">
      <c r="B458" s="29"/>
      <c r="C458" s="29"/>
      <c r="D458" s="29"/>
      <c r="E458" s="29"/>
    </row>
    <row r="459" spans="2:5" x14ac:dyDescent="0.25">
      <c r="B459" s="29"/>
      <c r="C459" s="29"/>
      <c r="D459" s="29"/>
      <c r="E459" s="29"/>
    </row>
    <row r="460" spans="2:5" x14ac:dyDescent="0.25">
      <c r="B460" s="29"/>
      <c r="C460" s="29"/>
      <c r="D460" s="29"/>
      <c r="E460" s="29"/>
    </row>
    <row r="461" spans="2:5" x14ac:dyDescent="0.25">
      <c r="B461" s="29"/>
      <c r="C461" s="29"/>
      <c r="D461" s="29"/>
      <c r="E461" s="29"/>
    </row>
    <row r="462" spans="2:5" x14ac:dyDescent="0.25">
      <c r="B462" s="29"/>
      <c r="C462" s="29"/>
      <c r="D462" s="29"/>
      <c r="E462" s="29"/>
    </row>
    <row r="463" spans="2:5" x14ac:dyDescent="0.25">
      <c r="B463" s="29"/>
      <c r="C463" s="29"/>
      <c r="D463" s="29"/>
      <c r="E463" s="29"/>
    </row>
    <row r="464" spans="2:5" x14ac:dyDescent="0.25">
      <c r="B464" s="29"/>
      <c r="C464" s="29"/>
      <c r="D464" s="29"/>
      <c r="E464" s="29"/>
    </row>
    <row r="465" spans="2:5" x14ac:dyDescent="0.25">
      <c r="B465" s="29"/>
      <c r="C465" s="29"/>
      <c r="D465" s="29"/>
      <c r="E465" s="29"/>
    </row>
    <row r="466" spans="2:5" x14ac:dyDescent="0.25">
      <c r="B466" s="29"/>
      <c r="C466" s="29"/>
      <c r="D466" s="29"/>
      <c r="E466" s="29"/>
    </row>
    <row r="467" spans="2:5" x14ac:dyDescent="0.25">
      <c r="B467" s="29"/>
      <c r="C467" s="29"/>
      <c r="D467" s="29"/>
      <c r="E467" s="29"/>
    </row>
    <row r="468" spans="2:5" x14ac:dyDescent="0.25">
      <c r="B468" s="29"/>
      <c r="C468" s="29"/>
      <c r="D468" s="29"/>
      <c r="E468" s="29"/>
    </row>
    <row r="469" spans="2:5" x14ac:dyDescent="0.25">
      <c r="B469" s="29"/>
      <c r="C469" s="29"/>
      <c r="D469" s="29"/>
      <c r="E469" s="29"/>
    </row>
    <row r="470" spans="2:5" x14ac:dyDescent="0.25">
      <c r="B470" s="29"/>
      <c r="C470" s="29"/>
      <c r="D470" s="29"/>
      <c r="E470" s="29"/>
    </row>
    <row r="471" spans="2:5" x14ac:dyDescent="0.25">
      <c r="B471" s="29"/>
      <c r="C471" s="29"/>
      <c r="D471" s="29"/>
      <c r="E471" s="29"/>
    </row>
    <row r="472" spans="2:5" x14ac:dyDescent="0.25">
      <c r="B472" s="29"/>
      <c r="C472" s="29"/>
      <c r="D472" s="29"/>
      <c r="E472" s="29"/>
    </row>
    <row r="473" spans="2:5" x14ac:dyDescent="0.25">
      <c r="B473" s="29"/>
      <c r="C473" s="29"/>
      <c r="D473" s="29"/>
      <c r="E473" s="29"/>
    </row>
    <row r="474" spans="2:5" x14ac:dyDescent="0.25">
      <c r="B474" s="29"/>
      <c r="C474" s="29"/>
      <c r="D474" s="29"/>
      <c r="E474" s="29"/>
    </row>
    <row r="475" spans="2:5" x14ac:dyDescent="0.25">
      <c r="B475" s="29"/>
      <c r="C475" s="29"/>
      <c r="D475" s="29"/>
      <c r="E475" s="29"/>
    </row>
    <row r="476" spans="2:5" x14ac:dyDescent="0.25">
      <c r="B476" s="29"/>
      <c r="C476" s="29"/>
      <c r="D476" s="29"/>
      <c r="E476" s="29"/>
    </row>
    <row r="477" spans="2:5" x14ac:dyDescent="0.25">
      <c r="B477" s="29"/>
      <c r="C477" s="29"/>
      <c r="D477" s="29"/>
      <c r="E477" s="29"/>
    </row>
    <row r="478" spans="2:5" x14ac:dyDescent="0.25">
      <c r="B478" s="29"/>
      <c r="C478" s="29"/>
      <c r="D478" s="29"/>
      <c r="E478" s="29"/>
    </row>
    <row r="479" spans="2:5" x14ac:dyDescent="0.25">
      <c r="B479" s="29"/>
      <c r="C479" s="29"/>
      <c r="D479" s="29"/>
      <c r="E479" s="29"/>
    </row>
    <row r="480" spans="2:5" x14ac:dyDescent="0.25">
      <c r="B480" s="29"/>
      <c r="C480" s="29"/>
      <c r="D480" s="29"/>
      <c r="E480" s="29"/>
    </row>
    <row r="481" spans="2:5" x14ac:dyDescent="0.25">
      <c r="B481" s="29"/>
      <c r="C481" s="29"/>
      <c r="D481" s="29"/>
      <c r="E481" s="29"/>
    </row>
    <row r="482" spans="2:5" x14ac:dyDescent="0.25">
      <c r="B482" s="29"/>
      <c r="C482" s="29"/>
      <c r="D482" s="29"/>
      <c r="E482" s="29"/>
    </row>
    <row r="483" spans="2:5" x14ac:dyDescent="0.25">
      <c r="B483" s="29"/>
      <c r="C483" s="29"/>
      <c r="D483" s="29"/>
      <c r="E483" s="29"/>
    </row>
    <row r="484" spans="2:5" x14ac:dyDescent="0.25">
      <c r="B484" s="29"/>
      <c r="C484" s="29"/>
      <c r="D484" s="29"/>
      <c r="E484" s="29"/>
    </row>
    <row r="485" spans="2:5" x14ac:dyDescent="0.25">
      <c r="B485" s="29"/>
      <c r="C485" s="29"/>
      <c r="D485" s="29"/>
      <c r="E485" s="29"/>
    </row>
    <row r="486" spans="2:5" x14ac:dyDescent="0.25">
      <c r="B486" s="29"/>
      <c r="C486" s="29"/>
      <c r="D486" s="29"/>
      <c r="E486" s="29"/>
    </row>
    <row r="487" spans="2:5" x14ac:dyDescent="0.25">
      <c r="B487" s="29"/>
      <c r="C487" s="29"/>
      <c r="D487" s="29"/>
      <c r="E487" s="29"/>
    </row>
    <row r="488" spans="2:5" x14ac:dyDescent="0.25">
      <c r="B488" s="29"/>
      <c r="C488" s="29"/>
      <c r="D488" s="29"/>
      <c r="E488" s="29"/>
    </row>
    <row r="489" spans="2:5" x14ac:dyDescent="0.25">
      <c r="B489" s="29"/>
      <c r="C489" s="29"/>
      <c r="D489" s="29"/>
      <c r="E489" s="29"/>
    </row>
    <row r="490" spans="2:5" x14ac:dyDescent="0.25">
      <c r="B490" s="29"/>
      <c r="C490" s="29"/>
      <c r="D490" s="29"/>
      <c r="E490" s="29"/>
    </row>
    <row r="491" spans="2:5" x14ac:dyDescent="0.25">
      <c r="B491" s="29"/>
      <c r="C491" s="29"/>
      <c r="D491" s="29"/>
      <c r="E491" s="29"/>
    </row>
    <row r="492" spans="2:5" x14ac:dyDescent="0.25">
      <c r="B492" s="29"/>
      <c r="C492" s="29"/>
      <c r="D492" s="29"/>
      <c r="E492" s="29"/>
    </row>
    <row r="493" spans="2:5" x14ac:dyDescent="0.25">
      <c r="B493" s="29"/>
      <c r="C493" s="29"/>
      <c r="D493" s="29"/>
      <c r="E493" s="29"/>
    </row>
    <row r="494" spans="2:5" x14ac:dyDescent="0.25">
      <c r="B494" s="29"/>
      <c r="C494" s="29"/>
      <c r="D494" s="29"/>
      <c r="E494" s="29"/>
    </row>
    <row r="495" spans="2:5" x14ac:dyDescent="0.25">
      <c r="B495" s="29"/>
      <c r="C495" s="29"/>
      <c r="D495" s="29"/>
      <c r="E495" s="29"/>
    </row>
    <row r="496" spans="2:5" x14ac:dyDescent="0.25">
      <c r="B496" s="29"/>
      <c r="C496" s="29"/>
      <c r="D496" s="29"/>
      <c r="E496" s="29"/>
    </row>
    <row r="497" spans="2:5" x14ac:dyDescent="0.25">
      <c r="B497" s="29"/>
      <c r="C497" s="29"/>
      <c r="D497" s="29"/>
      <c r="E497" s="29"/>
    </row>
    <row r="498" spans="2:5" x14ac:dyDescent="0.25">
      <c r="B498" s="29"/>
      <c r="C498" s="29"/>
      <c r="D498" s="29"/>
      <c r="E498" s="29"/>
    </row>
    <row r="499" spans="2:5" x14ac:dyDescent="0.25">
      <c r="B499" s="29"/>
      <c r="C499" s="29"/>
      <c r="D499" s="29"/>
      <c r="E499" s="29"/>
    </row>
    <row r="500" spans="2:5" x14ac:dyDescent="0.25">
      <c r="B500" s="29"/>
      <c r="C500" s="29"/>
      <c r="D500" s="29"/>
      <c r="E500" s="29"/>
    </row>
    <row r="501" spans="2:5" x14ac:dyDescent="0.25">
      <c r="B501" s="29"/>
      <c r="C501" s="29"/>
      <c r="D501" s="29"/>
      <c r="E501" s="29"/>
    </row>
    <row r="502" spans="2:5" x14ac:dyDescent="0.25">
      <c r="B502" s="29"/>
      <c r="C502" s="29"/>
      <c r="D502" s="29"/>
      <c r="E502" s="29"/>
    </row>
    <row r="503" spans="2:5" x14ac:dyDescent="0.25">
      <c r="B503" s="29"/>
      <c r="C503" s="29"/>
      <c r="D503" s="29"/>
      <c r="E503" s="29"/>
    </row>
    <row r="504" spans="2:5" x14ac:dyDescent="0.25">
      <c r="B504" s="29"/>
      <c r="C504" s="29"/>
      <c r="D504" s="29"/>
      <c r="E504" s="29"/>
    </row>
    <row r="505" spans="2:5" x14ac:dyDescent="0.25">
      <c r="B505" s="29"/>
      <c r="C505" s="29"/>
      <c r="D505" s="29"/>
      <c r="E505" s="29"/>
    </row>
    <row r="506" spans="2:5" x14ac:dyDescent="0.25">
      <c r="B506" s="29"/>
      <c r="C506" s="29"/>
      <c r="D506" s="29"/>
      <c r="E506" s="29"/>
    </row>
    <row r="507" spans="2:5" x14ac:dyDescent="0.25">
      <c r="B507" s="29"/>
      <c r="C507" s="29"/>
      <c r="D507" s="29"/>
      <c r="E507" s="29"/>
    </row>
    <row r="508" spans="2:5" x14ac:dyDescent="0.25">
      <c r="B508" s="29"/>
      <c r="C508" s="29"/>
      <c r="D508" s="29"/>
      <c r="E508" s="29"/>
    </row>
    <row r="509" spans="2:5" x14ac:dyDescent="0.25">
      <c r="B509" s="29"/>
      <c r="C509" s="29"/>
      <c r="D509" s="29"/>
      <c r="E509" s="29"/>
    </row>
    <row r="510" spans="2:5" x14ac:dyDescent="0.25">
      <c r="B510" s="29"/>
      <c r="C510" s="29"/>
      <c r="D510" s="29"/>
      <c r="E510" s="29"/>
    </row>
    <row r="511" spans="2:5" x14ac:dyDescent="0.25">
      <c r="B511" s="29"/>
      <c r="C511" s="29"/>
      <c r="D511" s="29"/>
      <c r="E511" s="29"/>
    </row>
    <row r="512" spans="2:5" x14ac:dyDescent="0.25">
      <c r="B512" s="29"/>
      <c r="C512" s="29"/>
      <c r="D512" s="29"/>
      <c r="E512" s="29"/>
    </row>
    <row r="513" spans="2:5" x14ac:dyDescent="0.25">
      <c r="B513" s="29"/>
      <c r="C513" s="29"/>
      <c r="D513" s="29"/>
      <c r="E513" s="29"/>
    </row>
    <row r="514" spans="2:5" x14ac:dyDescent="0.25">
      <c r="B514" s="29"/>
      <c r="C514" s="29"/>
      <c r="D514" s="29"/>
      <c r="E514" s="29"/>
    </row>
    <row r="515" spans="2:5" x14ac:dyDescent="0.25">
      <c r="B515" s="29"/>
      <c r="C515" s="29"/>
      <c r="D515" s="29"/>
      <c r="E515" s="29"/>
    </row>
    <row r="516" spans="2:5" x14ac:dyDescent="0.25">
      <c r="B516" s="29"/>
      <c r="C516" s="29"/>
      <c r="D516" s="29"/>
      <c r="E516" s="29"/>
    </row>
    <row r="517" spans="2:5" x14ac:dyDescent="0.25">
      <c r="B517" s="29"/>
      <c r="C517" s="29"/>
      <c r="D517" s="29"/>
      <c r="E517" s="29"/>
    </row>
    <row r="518" spans="2:5" x14ac:dyDescent="0.25">
      <c r="B518" s="29"/>
      <c r="C518" s="29"/>
      <c r="D518" s="29"/>
      <c r="E518" s="29"/>
    </row>
    <row r="519" spans="2:5" x14ac:dyDescent="0.25">
      <c r="B519" s="29"/>
      <c r="C519" s="29"/>
      <c r="D519" s="29"/>
      <c r="E519" s="29"/>
    </row>
    <row r="520" spans="2:5" x14ac:dyDescent="0.25">
      <c r="B520" s="29"/>
      <c r="C520" s="29"/>
      <c r="D520" s="29"/>
      <c r="E520" s="29"/>
    </row>
    <row r="521" spans="2:5" x14ac:dyDescent="0.25">
      <c r="B521" s="29"/>
      <c r="C521" s="29"/>
      <c r="D521" s="29"/>
      <c r="E521" s="29"/>
    </row>
    <row r="522" spans="2:5" x14ac:dyDescent="0.25">
      <c r="B522" s="29"/>
      <c r="C522" s="29"/>
      <c r="D522" s="29"/>
      <c r="E522" s="29"/>
    </row>
    <row r="523" spans="2:5" x14ac:dyDescent="0.25">
      <c r="B523" s="29"/>
      <c r="C523" s="29"/>
      <c r="D523" s="29"/>
      <c r="E523" s="29"/>
    </row>
    <row r="524" spans="2:5" x14ac:dyDescent="0.25">
      <c r="B524" s="29"/>
      <c r="C524" s="29"/>
      <c r="D524" s="29"/>
      <c r="E524" s="29"/>
    </row>
    <row r="525" spans="2:5" x14ac:dyDescent="0.25">
      <c r="B525" s="29"/>
      <c r="C525" s="29"/>
      <c r="D525" s="29"/>
      <c r="E525" s="29"/>
    </row>
    <row r="526" spans="2:5" x14ac:dyDescent="0.25">
      <c r="B526" s="29"/>
      <c r="C526" s="29"/>
      <c r="D526" s="29"/>
      <c r="E526" s="29"/>
    </row>
    <row r="527" spans="2:5" x14ac:dyDescent="0.25">
      <c r="B527" s="29"/>
      <c r="C527" s="29"/>
      <c r="D527" s="29"/>
      <c r="E527" s="29"/>
    </row>
    <row r="528" spans="2:5" x14ac:dyDescent="0.25">
      <c r="B528" s="29"/>
      <c r="C528" s="29"/>
      <c r="D528" s="29"/>
      <c r="E528" s="29"/>
    </row>
    <row r="529" spans="2:5" x14ac:dyDescent="0.25">
      <c r="B529" s="29"/>
      <c r="C529" s="29"/>
      <c r="D529" s="29"/>
      <c r="E529" s="29"/>
    </row>
    <row r="530" spans="2:5" x14ac:dyDescent="0.25">
      <c r="B530" s="29"/>
      <c r="C530" s="29"/>
      <c r="D530" s="29"/>
      <c r="E530" s="29"/>
    </row>
    <row r="531" spans="2:5" x14ac:dyDescent="0.25">
      <c r="B531" s="29"/>
      <c r="C531" s="29"/>
      <c r="D531" s="29"/>
      <c r="E531" s="29"/>
    </row>
    <row r="532" spans="2:5" x14ac:dyDescent="0.25">
      <c r="B532" s="29"/>
      <c r="C532" s="29"/>
      <c r="D532" s="29"/>
      <c r="E532" s="29"/>
    </row>
    <row r="533" spans="2:5" x14ac:dyDescent="0.25">
      <c r="B533" s="29"/>
      <c r="C533" s="29"/>
      <c r="D533" s="29"/>
      <c r="E533" s="29"/>
    </row>
    <row r="534" spans="2:5" x14ac:dyDescent="0.25">
      <c r="B534" s="29"/>
      <c r="C534" s="29"/>
      <c r="D534" s="29"/>
      <c r="E534" s="29"/>
    </row>
    <row r="535" spans="2:5" x14ac:dyDescent="0.25">
      <c r="B535" s="29"/>
      <c r="C535" s="29"/>
      <c r="D535" s="29"/>
      <c r="E535" s="29"/>
    </row>
    <row r="536" spans="2:5" x14ac:dyDescent="0.25">
      <c r="B536" s="29"/>
      <c r="C536" s="29"/>
      <c r="D536" s="29"/>
      <c r="E536" s="29"/>
    </row>
    <row r="537" spans="2:5" x14ac:dyDescent="0.25">
      <c r="B537" s="29"/>
      <c r="C537" s="29"/>
      <c r="D537" s="29"/>
      <c r="E537" s="29"/>
    </row>
    <row r="538" spans="2:5" x14ac:dyDescent="0.25">
      <c r="B538" s="29"/>
      <c r="C538" s="29"/>
      <c r="D538" s="29"/>
      <c r="E538" s="29"/>
    </row>
    <row r="539" spans="2:5" x14ac:dyDescent="0.25">
      <c r="B539" s="29"/>
      <c r="C539" s="29"/>
      <c r="D539" s="29"/>
      <c r="E539" s="29"/>
    </row>
    <row r="540" spans="2:5" x14ac:dyDescent="0.25">
      <c r="B540" s="29"/>
      <c r="C540" s="29"/>
      <c r="D540" s="29"/>
      <c r="E540" s="29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96"/>
  <sheetViews>
    <sheetView tabSelected="1" workbookViewId="0">
      <selection activeCell="D11" sqref="D11"/>
    </sheetView>
  </sheetViews>
  <sheetFormatPr baseColWidth="10" defaultColWidth="8.140625" defaultRowHeight="15" x14ac:dyDescent="0.25"/>
  <cols>
    <col min="1" max="1" width="25.7109375" style="51" customWidth="1"/>
    <col min="2" max="2" width="10" style="33" bestFit="1" customWidth="1"/>
    <col min="3" max="3" width="8.140625" style="34" customWidth="1"/>
    <col min="4" max="4" width="8.140625" style="39" customWidth="1"/>
    <col min="5" max="5" width="8.140625" style="36" customWidth="1"/>
    <col min="6" max="9" width="8.140625" style="33" customWidth="1"/>
    <col min="10" max="10" width="8.140625" style="34" customWidth="1"/>
    <col min="11" max="22" width="8.140625" style="33" customWidth="1"/>
    <col min="23" max="23" width="8.140625" style="34" customWidth="1"/>
    <col min="24" max="24" width="8.140625" style="33" customWidth="1"/>
    <col min="25" max="25" width="8.140625" style="34" customWidth="1"/>
    <col min="26" max="32" width="8.140625" style="33" customWidth="1"/>
    <col min="33" max="33" width="11.28515625" style="37" bestFit="1" customWidth="1"/>
    <col min="34" max="35" width="10.28515625" style="33" customWidth="1"/>
    <col min="36" max="36" width="26.42578125" style="51" customWidth="1"/>
    <col min="37" max="37" width="8.140625" style="33" customWidth="1"/>
    <col min="38" max="38" width="8.140625" style="34" customWidth="1"/>
    <col min="39" max="39" width="8.140625" style="39" customWidth="1"/>
    <col min="40" max="40" width="8.140625" style="36" customWidth="1"/>
    <col min="41" max="44" width="8.140625" style="33" customWidth="1"/>
    <col min="45" max="45" width="8.140625" style="34" customWidth="1"/>
    <col min="46" max="57" width="8.140625" style="33" customWidth="1"/>
    <col min="58" max="58" width="8.140625" style="34" customWidth="1"/>
    <col min="59" max="59" width="8.140625" style="33" customWidth="1"/>
    <col min="60" max="60" width="8.140625" style="34" customWidth="1"/>
    <col min="61" max="61" width="9.28515625" style="33" bestFit="1" customWidth="1"/>
    <col min="62" max="67" width="8.140625" style="33" customWidth="1"/>
    <col min="68" max="68" width="11.28515625" style="37" bestFit="1" customWidth="1"/>
    <col min="69" max="256" width="8.140625" style="33"/>
    <col min="257" max="257" width="25.7109375" style="33" customWidth="1"/>
    <col min="258" max="258" width="10" style="33" bestFit="1" customWidth="1"/>
    <col min="259" max="288" width="8.140625" style="33" customWidth="1"/>
    <col min="289" max="289" width="11.28515625" style="33" bestFit="1" customWidth="1"/>
    <col min="290" max="291" width="10.28515625" style="33" customWidth="1"/>
    <col min="292" max="292" width="26.42578125" style="33" customWidth="1"/>
    <col min="293" max="316" width="8.140625" style="33" customWidth="1"/>
    <col min="317" max="317" width="9.28515625" style="33" bestFit="1" customWidth="1"/>
    <col min="318" max="323" width="8.140625" style="33" customWidth="1"/>
    <col min="324" max="324" width="11.28515625" style="33" bestFit="1" customWidth="1"/>
    <col min="325" max="512" width="8.140625" style="33"/>
    <col min="513" max="513" width="25.7109375" style="33" customWidth="1"/>
    <col min="514" max="514" width="10" style="33" bestFit="1" customWidth="1"/>
    <col min="515" max="544" width="8.140625" style="33" customWidth="1"/>
    <col min="545" max="545" width="11.28515625" style="33" bestFit="1" customWidth="1"/>
    <col min="546" max="547" width="10.28515625" style="33" customWidth="1"/>
    <col min="548" max="548" width="26.42578125" style="33" customWidth="1"/>
    <col min="549" max="572" width="8.140625" style="33" customWidth="1"/>
    <col min="573" max="573" width="9.28515625" style="33" bestFit="1" customWidth="1"/>
    <col min="574" max="579" width="8.140625" style="33" customWidth="1"/>
    <col min="580" max="580" width="11.28515625" style="33" bestFit="1" customWidth="1"/>
    <col min="581" max="768" width="8.140625" style="33"/>
    <col min="769" max="769" width="25.7109375" style="33" customWidth="1"/>
    <col min="770" max="770" width="10" style="33" bestFit="1" customWidth="1"/>
    <col min="771" max="800" width="8.140625" style="33" customWidth="1"/>
    <col min="801" max="801" width="11.28515625" style="33" bestFit="1" customWidth="1"/>
    <col min="802" max="803" width="10.28515625" style="33" customWidth="1"/>
    <col min="804" max="804" width="26.42578125" style="33" customWidth="1"/>
    <col min="805" max="828" width="8.140625" style="33" customWidth="1"/>
    <col min="829" max="829" width="9.28515625" style="33" bestFit="1" customWidth="1"/>
    <col min="830" max="835" width="8.140625" style="33" customWidth="1"/>
    <col min="836" max="836" width="11.28515625" style="33" bestFit="1" customWidth="1"/>
    <col min="837" max="1024" width="8.140625" style="33"/>
    <col min="1025" max="1025" width="25.7109375" style="33" customWidth="1"/>
    <col min="1026" max="1026" width="10" style="33" bestFit="1" customWidth="1"/>
    <col min="1027" max="1056" width="8.140625" style="33" customWidth="1"/>
    <col min="1057" max="1057" width="11.28515625" style="33" bestFit="1" customWidth="1"/>
    <col min="1058" max="1059" width="10.28515625" style="33" customWidth="1"/>
    <col min="1060" max="1060" width="26.42578125" style="33" customWidth="1"/>
    <col min="1061" max="1084" width="8.140625" style="33" customWidth="1"/>
    <col min="1085" max="1085" width="9.28515625" style="33" bestFit="1" customWidth="1"/>
    <col min="1086" max="1091" width="8.140625" style="33" customWidth="1"/>
    <col min="1092" max="1092" width="11.28515625" style="33" bestFit="1" customWidth="1"/>
    <col min="1093" max="1280" width="8.140625" style="33"/>
    <col min="1281" max="1281" width="25.7109375" style="33" customWidth="1"/>
    <col min="1282" max="1282" width="10" style="33" bestFit="1" customWidth="1"/>
    <col min="1283" max="1312" width="8.140625" style="33" customWidth="1"/>
    <col min="1313" max="1313" width="11.28515625" style="33" bestFit="1" customWidth="1"/>
    <col min="1314" max="1315" width="10.28515625" style="33" customWidth="1"/>
    <col min="1316" max="1316" width="26.42578125" style="33" customWidth="1"/>
    <col min="1317" max="1340" width="8.140625" style="33" customWidth="1"/>
    <col min="1341" max="1341" width="9.28515625" style="33" bestFit="1" customWidth="1"/>
    <col min="1342" max="1347" width="8.140625" style="33" customWidth="1"/>
    <col min="1348" max="1348" width="11.28515625" style="33" bestFit="1" customWidth="1"/>
    <col min="1349" max="1536" width="8.140625" style="33"/>
    <col min="1537" max="1537" width="25.7109375" style="33" customWidth="1"/>
    <col min="1538" max="1538" width="10" style="33" bestFit="1" customWidth="1"/>
    <col min="1539" max="1568" width="8.140625" style="33" customWidth="1"/>
    <col min="1569" max="1569" width="11.28515625" style="33" bestFit="1" customWidth="1"/>
    <col min="1570" max="1571" width="10.28515625" style="33" customWidth="1"/>
    <col min="1572" max="1572" width="26.42578125" style="33" customWidth="1"/>
    <col min="1573" max="1596" width="8.140625" style="33" customWidth="1"/>
    <col min="1597" max="1597" width="9.28515625" style="33" bestFit="1" customWidth="1"/>
    <col min="1598" max="1603" width="8.140625" style="33" customWidth="1"/>
    <col min="1604" max="1604" width="11.28515625" style="33" bestFit="1" customWidth="1"/>
    <col min="1605" max="1792" width="8.140625" style="33"/>
    <col min="1793" max="1793" width="25.7109375" style="33" customWidth="1"/>
    <col min="1794" max="1794" width="10" style="33" bestFit="1" customWidth="1"/>
    <col min="1795" max="1824" width="8.140625" style="33" customWidth="1"/>
    <col min="1825" max="1825" width="11.28515625" style="33" bestFit="1" customWidth="1"/>
    <col min="1826" max="1827" width="10.28515625" style="33" customWidth="1"/>
    <col min="1828" max="1828" width="26.42578125" style="33" customWidth="1"/>
    <col min="1829" max="1852" width="8.140625" style="33" customWidth="1"/>
    <col min="1853" max="1853" width="9.28515625" style="33" bestFit="1" customWidth="1"/>
    <col min="1854" max="1859" width="8.140625" style="33" customWidth="1"/>
    <col min="1860" max="1860" width="11.28515625" style="33" bestFit="1" customWidth="1"/>
    <col min="1861" max="2048" width="8.140625" style="33"/>
    <col min="2049" max="2049" width="25.7109375" style="33" customWidth="1"/>
    <col min="2050" max="2050" width="10" style="33" bestFit="1" customWidth="1"/>
    <col min="2051" max="2080" width="8.140625" style="33" customWidth="1"/>
    <col min="2081" max="2081" width="11.28515625" style="33" bestFit="1" customWidth="1"/>
    <col min="2082" max="2083" width="10.28515625" style="33" customWidth="1"/>
    <col min="2084" max="2084" width="26.42578125" style="33" customWidth="1"/>
    <col min="2085" max="2108" width="8.140625" style="33" customWidth="1"/>
    <col min="2109" max="2109" width="9.28515625" style="33" bestFit="1" customWidth="1"/>
    <col min="2110" max="2115" width="8.140625" style="33" customWidth="1"/>
    <col min="2116" max="2116" width="11.28515625" style="33" bestFit="1" customWidth="1"/>
    <col min="2117" max="2304" width="8.140625" style="33"/>
    <col min="2305" max="2305" width="25.7109375" style="33" customWidth="1"/>
    <col min="2306" max="2306" width="10" style="33" bestFit="1" customWidth="1"/>
    <col min="2307" max="2336" width="8.140625" style="33" customWidth="1"/>
    <col min="2337" max="2337" width="11.28515625" style="33" bestFit="1" customWidth="1"/>
    <col min="2338" max="2339" width="10.28515625" style="33" customWidth="1"/>
    <col min="2340" max="2340" width="26.42578125" style="33" customWidth="1"/>
    <col min="2341" max="2364" width="8.140625" style="33" customWidth="1"/>
    <col min="2365" max="2365" width="9.28515625" style="33" bestFit="1" customWidth="1"/>
    <col min="2366" max="2371" width="8.140625" style="33" customWidth="1"/>
    <col min="2372" max="2372" width="11.28515625" style="33" bestFit="1" customWidth="1"/>
    <col min="2373" max="2560" width="8.140625" style="33"/>
    <col min="2561" max="2561" width="25.7109375" style="33" customWidth="1"/>
    <col min="2562" max="2562" width="10" style="33" bestFit="1" customWidth="1"/>
    <col min="2563" max="2592" width="8.140625" style="33" customWidth="1"/>
    <col min="2593" max="2593" width="11.28515625" style="33" bestFit="1" customWidth="1"/>
    <col min="2594" max="2595" width="10.28515625" style="33" customWidth="1"/>
    <col min="2596" max="2596" width="26.42578125" style="33" customWidth="1"/>
    <col min="2597" max="2620" width="8.140625" style="33" customWidth="1"/>
    <col min="2621" max="2621" width="9.28515625" style="33" bestFit="1" customWidth="1"/>
    <col min="2622" max="2627" width="8.140625" style="33" customWidth="1"/>
    <col min="2628" max="2628" width="11.28515625" style="33" bestFit="1" customWidth="1"/>
    <col min="2629" max="2816" width="8.140625" style="33"/>
    <col min="2817" max="2817" width="25.7109375" style="33" customWidth="1"/>
    <col min="2818" max="2818" width="10" style="33" bestFit="1" customWidth="1"/>
    <col min="2819" max="2848" width="8.140625" style="33" customWidth="1"/>
    <col min="2849" max="2849" width="11.28515625" style="33" bestFit="1" customWidth="1"/>
    <col min="2850" max="2851" width="10.28515625" style="33" customWidth="1"/>
    <col min="2852" max="2852" width="26.42578125" style="33" customWidth="1"/>
    <col min="2853" max="2876" width="8.140625" style="33" customWidth="1"/>
    <col min="2877" max="2877" width="9.28515625" style="33" bestFit="1" customWidth="1"/>
    <col min="2878" max="2883" width="8.140625" style="33" customWidth="1"/>
    <col min="2884" max="2884" width="11.28515625" style="33" bestFit="1" customWidth="1"/>
    <col min="2885" max="3072" width="8.140625" style="33"/>
    <col min="3073" max="3073" width="25.7109375" style="33" customWidth="1"/>
    <col min="3074" max="3074" width="10" style="33" bestFit="1" customWidth="1"/>
    <col min="3075" max="3104" width="8.140625" style="33" customWidth="1"/>
    <col min="3105" max="3105" width="11.28515625" style="33" bestFit="1" customWidth="1"/>
    <col min="3106" max="3107" width="10.28515625" style="33" customWidth="1"/>
    <col min="3108" max="3108" width="26.42578125" style="33" customWidth="1"/>
    <col min="3109" max="3132" width="8.140625" style="33" customWidth="1"/>
    <col min="3133" max="3133" width="9.28515625" style="33" bestFit="1" customWidth="1"/>
    <col min="3134" max="3139" width="8.140625" style="33" customWidth="1"/>
    <col min="3140" max="3140" width="11.28515625" style="33" bestFit="1" customWidth="1"/>
    <col min="3141" max="3328" width="8.140625" style="33"/>
    <col min="3329" max="3329" width="25.7109375" style="33" customWidth="1"/>
    <col min="3330" max="3330" width="10" style="33" bestFit="1" customWidth="1"/>
    <col min="3331" max="3360" width="8.140625" style="33" customWidth="1"/>
    <col min="3361" max="3361" width="11.28515625" style="33" bestFit="1" customWidth="1"/>
    <col min="3362" max="3363" width="10.28515625" style="33" customWidth="1"/>
    <col min="3364" max="3364" width="26.42578125" style="33" customWidth="1"/>
    <col min="3365" max="3388" width="8.140625" style="33" customWidth="1"/>
    <col min="3389" max="3389" width="9.28515625" style="33" bestFit="1" customWidth="1"/>
    <col min="3390" max="3395" width="8.140625" style="33" customWidth="1"/>
    <col min="3396" max="3396" width="11.28515625" style="33" bestFit="1" customWidth="1"/>
    <col min="3397" max="3584" width="8.140625" style="33"/>
    <col min="3585" max="3585" width="25.7109375" style="33" customWidth="1"/>
    <col min="3586" max="3586" width="10" style="33" bestFit="1" customWidth="1"/>
    <col min="3587" max="3616" width="8.140625" style="33" customWidth="1"/>
    <col min="3617" max="3617" width="11.28515625" style="33" bestFit="1" customWidth="1"/>
    <col min="3618" max="3619" width="10.28515625" style="33" customWidth="1"/>
    <col min="3620" max="3620" width="26.42578125" style="33" customWidth="1"/>
    <col min="3621" max="3644" width="8.140625" style="33" customWidth="1"/>
    <col min="3645" max="3645" width="9.28515625" style="33" bestFit="1" customWidth="1"/>
    <col min="3646" max="3651" width="8.140625" style="33" customWidth="1"/>
    <col min="3652" max="3652" width="11.28515625" style="33" bestFit="1" customWidth="1"/>
    <col min="3653" max="3840" width="8.140625" style="33"/>
    <col min="3841" max="3841" width="25.7109375" style="33" customWidth="1"/>
    <col min="3842" max="3842" width="10" style="33" bestFit="1" customWidth="1"/>
    <col min="3843" max="3872" width="8.140625" style="33" customWidth="1"/>
    <col min="3873" max="3873" width="11.28515625" style="33" bestFit="1" customWidth="1"/>
    <col min="3874" max="3875" width="10.28515625" style="33" customWidth="1"/>
    <col min="3876" max="3876" width="26.42578125" style="33" customWidth="1"/>
    <col min="3877" max="3900" width="8.140625" style="33" customWidth="1"/>
    <col min="3901" max="3901" width="9.28515625" style="33" bestFit="1" customWidth="1"/>
    <col min="3902" max="3907" width="8.140625" style="33" customWidth="1"/>
    <col min="3908" max="3908" width="11.28515625" style="33" bestFit="1" customWidth="1"/>
    <col min="3909" max="4096" width="8.140625" style="33"/>
    <col min="4097" max="4097" width="25.7109375" style="33" customWidth="1"/>
    <col min="4098" max="4098" width="10" style="33" bestFit="1" customWidth="1"/>
    <col min="4099" max="4128" width="8.140625" style="33" customWidth="1"/>
    <col min="4129" max="4129" width="11.28515625" style="33" bestFit="1" customWidth="1"/>
    <col min="4130" max="4131" width="10.28515625" style="33" customWidth="1"/>
    <col min="4132" max="4132" width="26.42578125" style="33" customWidth="1"/>
    <col min="4133" max="4156" width="8.140625" style="33" customWidth="1"/>
    <col min="4157" max="4157" width="9.28515625" style="33" bestFit="1" customWidth="1"/>
    <col min="4158" max="4163" width="8.140625" style="33" customWidth="1"/>
    <col min="4164" max="4164" width="11.28515625" style="33" bestFit="1" customWidth="1"/>
    <col min="4165" max="4352" width="8.140625" style="33"/>
    <col min="4353" max="4353" width="25.7109375" style="33" customWidth="1"/>
    <col min="4354" max="4354" width="10" style="33" bestFit="1" customWidth="1"/>
    <col min="4355" max="4384" width="8.140625" style="33" customWidth="1"/>
    <col min="4385" max="4385" width="11.28515625" style="33" bestFit="1" customWidth="1"/>
    <col min="4386" max="4387" width="10.28515625" style="33" customWidth="1"/>
    <col min="4388" max="4388" width="26.42578125" style="33" customWidth="1"/>
    <col min="4389" max="4412" width="8.140625" style="33" customWidth="1"/>
    <col min="4413" max="4413" width="9.28515625" style="33" bestFit="1" customWidth="1"/>
    <col min="4414" max="4419" width="8.140625" style="33" customWidth="1"/>
    <col min="4420" max="4420" width="11.28515625" style="33" bestFit="1" customWidth="1"/>
    <col min="4421" max="4608" width="8.140625" style="33"/>
    <col min="4609" max="4609" width="25.7109375" style="33" customWidth="1"/>
    <col min="4610" max="4610" width="10" style="33" bestFit="1" customWidth="1"/>
    <col min="4611" max="4640" width="8.140625" style="33" customWidth="1"/>
    <col min="4641" max="4641" width="11.28515625" style="33" bestFit="1" customWidth="1"/>
    <col min="4642" max="4643" width="10.28515625" style="33" customWidth="1"/>
    <col min="4644" max="4644" width="26.42578125" style="33" customWidth="1"/>
    <col min="4645" max="4668" width="8.140625" style="33" customWidth="1"/>
    <col min="4669" max="4669" width="9.28515625" style="33" bestFit="1" customWidth="1"/>
    <col min="4670" max="4675" width="8.140625" style="33" customWidth="1"/>
    <col min="4676" max="4676" width="11.28515625" style="33" bestFit="1" customWidth="1"/>
    <col min="4677" max="4864" width="8.140625" style="33"/>
    <col min="4865" max="4865" width="25.7109375" style="33" customWidth="1"/>
    <col min="4866" max="4866" width="10" style="33" bestFit="1" customWidth="1"/>
    <col min="4867" max="4896" width="8.140625" style="33" customWidth="1"/>
    <col min="4897" max="4897" width="11.28515625" style="33" bestFit="1" customWidth="1"/>
    <col min="4898" max="4899" width="10.28515625" style="33" customWidth="1"/>
    <col min="4900" max="4900" width="26.42578125" style="33" customWidth="1"/>
    <col min="4901" max="4924" width="8.140625" style="33" customWidth="1"/>
    <col min="4925" max="4925" width="9.28515625" style="33" bestFit="1" customWidth="1"/>
    <col min="4926" max="4931" width="8.140625" style="33" customWidth="1"/>
    <col min="4932" max="4932" width="11.28515625" style="33" bestFit="1" customWidth="1"/>
    <col min="4933" max="5120" width="8.140625" style="33"/>
    <col min="5121" max="5121" width="25.7109375" style="33" customWidth="1"/>
    <col min="5122" max="5122" width="10" style="33" bestFit="1" customWidth="1"/>
    <col min="5123" max="5152" width="8.140625" style="33" customWidth="1"/>
    <col min="5153" max="5153" width="11.28515625" style="33" bestFit="1" customWidth="1"/>
    <col min="5154" max="5155" width="10.28515625" style="33" customWidth="1"/>
    <col min="5156" max="5156" width="26.42578125" style="33" customWidth="1"/>
    <col min="5157" max="5180" width="8.140625" style="33" customWidth="1"/>
    <col min="5181" max="5181" width="9.28515625" style="33" bestFit="1" customWidth="1"/>
    <col min="5182" max="5187" width="8.140625" style="33" customWidth="1"/>
    <col min="5188" max="5188" width="11.28515625" style="33" bestFit="1" customWidth="1"/>
    <col min="5189" max="5376" width="8.140625" style="33"/>
    <col min="5377" max="5377" width="25.7109375" style="33" customWidth="1"/>
    <col min="5378" max="5378" width="10" style="33" bestFit="1" customWidth="1"/>
    <col min="5379" max="5408" width="8.140625" style="33" customWidth="1"/>
    <col min="5409" max="5409" width="11.28515625" style="33" bestFit="1" customWidth="1"/>
    <col min="5410" max="5411" width="10.28515625" style="33" customWidth="1"/>
    <col min="5412" max="5412" width="26.42578125" style="33" customWidth="1"/>
    <col min="5413" max="5436" width="8.140625" style="33" customWidth="1"/>
    <col min="5437" max="5437" width="9.28515625" style="33" bestFit="1" customWidth="1"/>
    <col min="5438" max="5443" width="8.140625" style="33" customWidth="1"/>
    <col min="5444" max="5444" width="11.28515625" style="33" bestFit="1" customWidth="1"/>
    <col min="5445" max="5632" width="8.140625" style="33"/>
    <col min="5633" max="5633" width="25.7109375" style="33" customWidth="1"/>
    <col min="5634" max="5634" width="10" style="33" bestFit="1" customWidth="1"/>
    <col min="5635" max="5664" width="8.140625" style="33" customWidth="1"/>
    <col min="5665" max="5665" width="11.28515625" style="33" bestFit="1" customWidth="1"/>
    <col min="5666" max="5667" width="10.28515625" style="33" customWidth="1"/>
    <col min="5668" max="5668" width="26.42578125" style="33" customWidth="1"/>
    <col min="5669" max="5692" width="8.140625" style="33" customWidth="1"/>
    <col min="5693" max="5693" width="9.28515625" style="33" bestFit="1" customWidth="1"/>
    <col min="5694" max="5699" width="8.140625" style="33" customWidth="1"/>
    <col min="5700" max="5700" width="11.28515625" style="33" bestFit="1" customWidth="1"/>
    <col min="5701" max="5888" width="8.140625" style="33"/>
    <col min="5889" max="5889" width="25.7109375" style="33" customWidth="1"/>
    <col min="5890" max="5890" width="10" style="33" bestFit="1" customWidth="1"/>
    <col min="5891" max="5920" width="8.140625" style="33" customWidth="1"/>
    <col min="5921" max="5921" width="11.28515625" style="33" bestFit="1" customWidth="1"/>
    <col min="5922" max="5923" width="10.28515625" style="33" customWidth="1"/>
    <col min="5924" max="5924" width="26.42578125" style="33" customWidth="1"/>
    <col min="5925" max="5948" width="8.140625" style="33" customWidth="1"/>
    <col min="5949" max="5949" width="9.28515625" style="33" bestFit="1" customWidth="1"/>
    <col min="5950" max="5955" width="8.140625" style="33" customWidth="1"/>
    <col min="5956" max="5956" width="11.28515625" style="33" bestFit="1" customWidth="1"/>
    <col min="5957" max="6144" width="8.140625" style="33"/>
    <col min="6145" max="6145" width="25.7109375" style="33" customWidth="1"/>
    <col min="6146" max="6146" width="10" style="33" bestFit="1" customWidth="1"/>
    <col min="6147" max="6176" width="8.140625" style="33" customWidth="1"/>
    <col min="6177" max="6177" width="11.28515625" style="33" bestFit="1" customWidth="1"/>
    <col min="6178" max="6179" width="10.28515625" style="33" customWidth="1"/>
    <col min="6180" max="6180" width="26.42578125" style="33" customWidth="1"/>
    <col min="6181" max="6204" width="8.140625" style="33" customWidth="1"/>
    <col min="6205" max="6205" width="9.28515625" style="33" bestFit="1" customWidth="1"/>
    <col min="6206" max="6211" width="8.140625" style="33" customWidth="1"/>
    <col min="6212" max="6212" width="11.28515625" style="33" bestFit="1" customWidth="1"/>
    <col min="6213" max="6400" width="8.140625" style="33"/>
    <col min="6401" max="6401" width="25.7109375" style="33" customWidth="1"/>
    <col min="6402" max="6402" width="10" style="33" bestFit="1" customWidth="1"/>
    <col min="6403" max="6432" width="8.140625" style="33" customWidth="1"/>
    <col min="6433" max="6433" width="11.28515625" style="33" bestFit="1" customWidth="1"/>
    <col min="6434" max="6435" width="10.28515625" style="33" customWidth="1"/>
    <col min="6436" max="6436" width="26.42578125" style="33" customWidth="1"/>
    <col min="6437" max="6460" width="8.140625" style="33" customWidth="1"/>
    <col min="6461" max="6461" width="9.28515625" style="33" bestFit="1" customWidth="1"/>
    <col min="6462" max="6467" width="8.140625" style="33" customWidth="1"/>
    <col min="6468" max="6468" width="11.28515625" style="33" bestFit="1" customWidth="1"/>
    <col min="6469" max="6656" width="8.140625" style="33"/>
    <col min="6657" max="6657" width="25.7109375" style="33" customWidth="1"/>
    <col min="6658" max="6658" width="10" style="33" bestFit="1" customWidth="1"/>
    <col min="6659" max="6688" width="8.140625" style="33" customWidth="1"/>
    <col min="6689" max="6689" width="11.28515625" style="33" bestFit="1" customWidth="1"/>
    <col min="6690" max="6691" width="10.28515625" style="33" customWidth="1"/>
    <col min="6692" max="6692" width="26.42578125" style="33" customWidth="1"/>
    <col min="6693" max="6716" width="8.140625" style="33" customWidth="1"/>
    <col min="6717" max="6717" width="9.28515625" style="33" bestFit="1" customWidth="1"/>
    <col min="6718" max="6723" width="8.140625" style="33" customWidth="1"/>
    <col min="6724" max="6724" width="11.28515625" style="33" bestFit="1" customWidth="1"/>
    <col min="6725" max="6912" width="8.140625" style="33"/>
    <col min="6913" max="6913" width="25.7109375" style="33" customWidth="1"/>
    <col min="6914" max="6914" width="10" style="33" bestFit="1" customWidth="1"/>
    <col min="6915" max="6944" width="8.140625" style="33" customWidth="1"/>
    <col min="6945" max="6945" width="11.28515625" style="33" bestFit="1" customWidth="1"/>
    <col min="6946" max="6947" width="10.28515625" style="33" customWidth="1"/>
    <col min="6948" max="6948" width="26.42578125" style="33" customWidth="1"/>
    <col min="6949" max="6972" width="8.140625" style="33" customWidth="1"/>
    <col min="6973" max="6973" width="9.28515625" style="33" bestFit="1" customWidth="1"/>
    <col min="6974" max="6979" width="8.140625" style="33" customWidth="1"/>
    <col min="6980" max="6980" width="11.28515625" style="33" bestFit="1" customWidth="1"/>
    <col min="6981" max="7168" width="8.140625" style="33"/>
    <col min="7169" max="7169" width="25.7109375" style="33" customWidth="1"/>
    <col min="7170" max="7170" width="10" style="33" bestFit="1" customWidth="1"/>
    <col min="7171" max="7200" width="8.140625" style="33" customWidth="1"/>
    <col min="7201" max="7201" width="11.28515625" style="33" bestFit="1" customWidth="1"/>
    <col min="7202" max="7203" width="10.28515625" style="33" customWidth="1"/>
    <col min="7204" max="7204" width="26.42578125" style="33" customWidth="1"/>
    <col min="7205" max="7228" width="8.140625" style="33" customWidth="1"/>
    <col min="7229" max="7229" width="9.28515625" style="33" bestFit="1" customWidth="1"/>
    <col min="7230" max="7235" width="8.140625" style="33" customWidth="1"/>
    <col min="7236" max="7236" width="11.28515625" style="33" bestFit="1" customWidth="1"/>
    <col min="7237" max="7424" width="8.140625" style="33"/>
    <col min="7425" max="7425" width="25.7109375" style="33" customWidth="1"/>
    <col min="7426" max="7426" width="10" style="33" bestFit="1" customWidth="1"/>
    <col min="7427" max="7456" width="8.140625" style="33" customWidth="1"/>
    <col min="7457" max="7457" width="11.28515625" style="33" bestFit="1" customWidth="1"/>
    <col min="7458" max="7459" width="10.28515625" style="33" customWidth="1"/>
    <col min="7460" max="7460" width="26.42578125" style="33" customWidth="1"/>
    <col min="7461" max="7484" width="8.140625" style="33" customWidth="1"/>
    <col min="7485" max="7485" width="9.28515625" style="33" bestFit="1" customWidth="1"/>
    <col min="7486" max="7491" width="8.140625" style="33" customWidth="1"/>
    <col min="7492" max="7492" width="11.28515625" style="33" bestFit="1" customWidth="1"/>
    <col min="7493" max="7680" width="8.140625" style="33"/>
    <col min="7681" max="7681" width="25.7109375" style="33" customWidth="1"/>
    <col min="7682" max="7682" width="10" style="33" bestFit="1" customWidth="1"/>
    <col min="7683" max="7712" width="8.140625" style="33" customWidth="1"/>
    <col min="7713" max="7713" width="11.28515625" style="33" bestFit="1" customWidth="1"/>
    <col min="7714" max="7715" width="10.28515625" style="33" customWidth="1"/>
    <col min="7716" max="7716" width="26.42578125" style="33" customWidth="1"/>
    <col min="7717" max="7740" width="8.140625" style="33" customWidth="1"/>
    <col min="7741" max="7741" width="9.28515625" style="33" bestFit="1" customWidth="1"/>
    <col min="7742" max="7747" width="8.140625" style="33" customWidth="1"/>
    <col min="7748" max="7748" width="11.28515625" style="33" bestFit="1" customWidth="1"/>
    <col min="7749" max="7936" width="8.140625" style="33"/>
    <col min="7937" max="7937" width="25.7109375" style="33" customWidth="1"/>
    <col min="7938" max="7938" width="10" style="33" bestFit="1" customWidth="1"/>
    <col min="7939" max="7968" width="8.140625" style="33" customWidth="1"/>
    <col min="7969" max="7969" width="11.28515625" style="33" bestFit="1" customWidth="1"/>
    <col min="7970" max="7971" width="10.28515625" style="33" customWidth="1"/>
    <col min="7972" max="7972" width="26.42578125" style="33" customWidth="1"/>
    <col min="7973" max="7996" width="8.140625" style="33" customWidth="1"/>
    <col min="7997" max="7997" width="9.28515625" style="33" bestFit="1" customWidth="1"/>
    <col min="7998" max="8003" width="8.140625" style="33" customWidth="1"/>
    <col min="8004" max="8004" width="11.28515625" style="33" bestFit="1" customWidth="1"/>
    <col min="8005" max="8192" width="8.140625" style="33"/>
    <col min="8193" max="8193" width="25.7109375" style="33" customWidth="1"/>
    <col min="8194" max="8194" width="10" style="33" bestFit="1" customWidth="1"/>
    <col min="8195" max="8224" width="8.140625" style="33" customWidth="1"/>
    <col min="8225" max="8225" width="11.28515625" style="33" bestFit="1" customWidth="1"/>
    <col min="8226" max="8227" width="10.28515625" style="33" customWidth="1"/>
    <col min="8228" max="8228" width="26.42578125" style="33" customWidth="1"/>
    <col min="8229" max="8252" width="8.140625" style="33" customWidth="1"/>
    <col min="8253" max="8253" width="9.28515625" style="33" bestFit="1" customWidth="1"/>
    <col min="8254" max="8259" width="8.140625" style="33" customWidth="1"/>
    <col min="8260" max="8260" width="11.28515625" style="33" bestFit="1" customWidth="1"/>
    <col min="8261" max="8448" width="8.140625" style="33"/>
    <col min="8449" max="8449" width="25.7109375" style="33" customWidth="1"/>
    <col min="8450" max="8450" width="10" style="33" bestFit="1" customWidth="1"/>
    <col min="8451" max="8480" width="8.140625" style="33" customWidth="1"/>
    <col min="8481" max="8481" width="11.28515625" style="33" bestFit="1" customWidth="1"/>
    <col min="8482" max="8483" width="10.28515625" style="33" customWidth="1"/>
    <col min="8484" max="8484" width="26.42578125" style="33" customWidth="1"/>
    <col min="8485" max="8508" width="8.140625" style="33" customWidth="1"/>
    <col min="8509" max="8509" width="9.28515625" style="33" bestFit="1" customWidth="1"/>
    <col min="8510" max="8515" width="8.140625" style="33" customWidth="1"/>
    <col min="8516" max="8516" width="11.28515625" style="33" bestFit="1" customWidth="1"/>
    <col min="8517" max="8704" width="8.140625" style="33"/>
    <col min="8705" max="8705" width="25.7109375" style="33" customWidth="1"/>
    <col min="8706" max="8706" width="10" style="33" bestFit="1" customWidth="1"/>
    <col min="8707" max="8736" width="8.140625" style="33" customWidth="1"/>
    <col min="8737" max="8737" width="11.28515625" style="33" bestFit="1" customWidth="1"/>
    <col min="8738" max="8739" width="10.28515625" style="33" customWidth="1"/>
    <col min="8740" max="8740" width="26.42578125" style="33" customWidth="1"/>
    <col min="8741" max="8764" width="8.140625" style="33" customWidth="1"/>
    <col min="8765" max="8765" width="9.28515625" style="33" bestFit="1" customWidth="1"/>
    <col min="8766" max="8771" width="8.140625" style="33" customWidth="1"/>
    <col min="8772" max="8772" width="11.28515625" style="33" bestFit="1" customWidth="1"/>
    <col min="8773" max="8960" width="8.140625" style="33"/>
    <col min="8961" max="8961" width="25.7109375" style="33" customWidth="1"/>
    <col min="8962" max="8962" width="10" style="33" bestFit="1" customWidth="1"/>
    <col min="8963" max="8992" width="8.140625" style="33" customWidth="1"/>
    <col min="8993" max="8993" width="11.28515625" style="33" bestFit="1" customWidth="1"/>
    <col min="8994" max="8995" width="10.28515625" style="33" customWidth="1"/>
    <col min="8996" max="8996" width="26.42578125" style="33" customWidth="1"/>
    <col min="8997" max="9020" width="8.140625" style="33" customWidth="1"/>
    <col min="9021" max="9021" width="9.28515625" style="33" bestFit="1" customWidth="1"/>
    <col min="9022" max="9027" width="8.140625" style="33" customWidth="1"/>
    <col min="9028" max="9028" width="11.28515625" style="33" bestFit="1" customWidth="1"/>
    <col min="9029" max="9216" width="8.140625" style="33"/>
    <col min="9217" max="9217" width="25.7109375" style="33" customWidth="1"/>
    <col min="9218" max="9218" width="10" style="33" bestFit="1" customWidth="1"/>
    <col min="9219" max="9248" width="8.140625" style="33" customWidth="1"/>
    <col min="9249" max="9249" width="11.28515625" style="33" bestFit="1" customWidth="1"/>
    <col min="9250" max="9251" width="10.28515625" style="33" customWidth="1"/>
    <col min="9252" max="9252" width="26.42578125" style="33" customWidth="1"/>
    <col min="9253" max="9276" width="8.140625" style="33" customWidth="1"/>
    <col min="9277" max="9277" width="9.28515625" style="33" bestFit="1" customWidth="1"/>
    <col min="9278" max="9283" width="8.140625" style="33" customWidth="1"/>
    <col min="9284" max="9284" width="11.28515625" style="33" bestFit="1" customWidth="1"/>
    <col min="9285" max="9472" width="8.140625" style="33"/>
    <col min="9473" max="9473" width="25.7109375" style="33" customWidth="1"/>
    <col min="9474" max="9474" width="10" style="33" bestFit="1" customWidth="1"/>
    <col min="9475" max="9504" width="8.140625" style="33" customWidth="1"/>
    <col min="9505" max="9505" width="11.28515625" style="33" bestFit="1" customWidth="1"/>
    <col min="9506" max="9507" width="10.28515625" style="33" customWidth="1"/>
    <col min="9508" max="9508" width="26.42578125" style="33" customWidth="1"/>
    <col min="9509" max="9532" width="8.140625" style="33" customWidth="1"/>
    <col min="9533" max="9533" width="9.28515625" style="33" bestFit="1" customWidth="1"/>
    <col min="9534" max="9539" width="8.140625" style="33" customWidth="1"/>
    <col min="9540" max="9540" width="11.28515625" style="33" bestFit="1" customWidth="1"/>
    <col min="9541" max="9728" width="8.140625" style="33"/>
    <col min="9729" max="9729" width="25.7109375" style="33" customWidth="1"/>
    <col min="9730" max="9730" width="10" style="33" bestFit="1" customWidth="1"/>
    <col min="9731" max="9760" width="8.140625" style="33" customWidth="1"/>
    <col min="9761" max="9761" width="11.28515625" style="33" bestFit="1" customWidth="1"/>
    <col min="9762" max="9763" width="10.28515625" style="33" customWidth="1"/>
    <col min="9764" max="9764" width="26.42578125" style="33" customWidth="1"/>
    <col min="9765" max="9788" width="8.140625" style="33" customWidth="1"/>
    <col min="9789" max="9789" width="9.28515625" style="33" bestFit="1" customWidth="1"/>
    <col min="9790" max="9795" width="8.140625" style="33" customWidth="1"/>
    <col min="9796" max="9796" width="11.28515625" style="33" bestFit="1" customWidth="1"/>
    <col min="9797" max="9984" width="8.140625" style="33"/>
    <col min="9985" max="9985" width="25.7109375" style="33" customWidth="1"/>
    <col min="9986" max="9986" width="10" style="33" bestFit="1" customWidth="1"/>
    <col min="9987" max="10016" width="8.140625" style="33" customWidth="1"/>
    <col min="10017" max="10017" width="11.28515625" style="33" bestFit="1" customWidth="1"/>
    <col min="10018" max="10019" width="10.28515625" style="33" customWidth="1"/>
    <col min="10020" max="10020" width="26.42578125" style="33" customWidth="1"/>
    <col min="10021" max="10044" width="8.140625" style="33" customWidth="1"/>
    <col min="10045" max="10045" width="9.28515625" style="33" bestFit="1" customWidth="1"/>
    <col min="10046" max="10051" width="8.140625" style="33" customWidth="1"/>
    <col min="10052" max="10052" width="11.28515625" style="33" bestFit="1" customWidth="1"/>
    <col min="10053" max="10240" width="8.140625" style="33"/>
    <col min="10241" max="10241" width="25.7109375" style="33" customWidth="1"/>
    <col min="10242" max="10242" width="10" style="33" bestFit="1" customWidth="1"/>
    <col min="10243" max="10272" width="8.140625" style="33" customWidth="1"/>
    <col min="10273" max="10273" width="11.28515625" style="33" bestFit="1" customWidth="1"/>
    <col min="10274" max="10275" width="10.28515625" style="33" customWidth="1"/>
    <col min="10276" max="10276" width="26.42578125" style="33" customWidth="1"/>
    <col min="10277" max="10300" width="8.140625" style="33" customWidth="1"/>
    <col min="10301" max="10301" width="9.28515625" style="33" bestFit="1" customWidth="1"/>
    <col min="10302" max="10307" width="8.140625" style="33" customWidth="1"/>
    <col min="10308" max="10308" width="11.28515625" style="33" bestFit="1" customWidth="1"/>
    <col min="10309" max="10496" width="8.140625" style="33"/>
    <col min="10497" max="10497" width="25.7109375" style="33" customWidth="1"/>
    <col min="10498" max="10498" width="10" style="33" bestFit="1" customWidth="1"/>
    <col min="10499" max="10528" width="8.140625" style="33" customWidth="1"/>
    <col min="10529" max="10529" width="11.28515625" style="33" bestFit="1" customWidth="1"/>
    <col min="10530" max="10531" width="10.28515625" style="33" customWidth="1"/>
    <col min="10532" max="10532" width="26.42578125" style="33" customWidth="1"/>
    <col min="10533" max="10556" width="8.140625" style="33" customWidth="1"/>
    <col min="10557" max="10557" width="9.28515625" style="33" bestFit="1" customWidth="1"/>
    <col min="10558" max="10563" width="8.140625" style="33" customWidth="1"/>
    <col min="10564" max="10564" width="11.28515625" style="33" bestFit="1" customWidth="1"/>
    <col min="10565" max="10752" width="8.140625" style="33"/>
    <col min="10753" max="10753" width="25.7109375" style="33" customWidth="1"/>
    <col min="10754" max="10754" width="10" style="33" bestFit="1" customWidth="1"/>
    <col min="10755" max="10784" width="8.140625" style="33" customWidth="1"/>
    <col min="10785" max="10785" width="11.28515625" style="33" bestFit="1" customWidth="1"/>
    <col min="10786" max="10787" width="10.28515625" style="33" customWidth="1"/>
    <col min="10788" max="10788" width="26.42578125" style="33" customWidth="1"/>
    <col min="10789" max="10812" width="8.140625" style="33" customWidth="1"/>
    <col min="10813" max="10813" width="9.28515625" style="33" bestFit="1" customWidth="1"/>
    <col min="10814" max="10819" width="8.140625" style="33" customWidth="1"/>
    <col min="10820" max="10820" width="11.28515625" style="33" bestFit="1" customWidth="1"/>
    <col min="10821" max="11008" width="8.140625" style="33"/>
    <col min="11009" max="11009" width="25.7109375" style="33" customWidth="1"/>
    <col min="11010" max="11010" width="10" style="33" bestFit="1" customWidth="1"/>
    <col min="11011" max="11040" width="8.140625" style="33" customWidth="1"/>
    <col min="11041" max="11041" width="11.28515625" style="33" bestFit="1" customWidth="1"/>
    <col min="11042" max="11043" width="10.28515625" style="33" customWidth="1"/>
    <col min="11044" max="11044" width="26.42578125" style="33" customWidth="1"/>
    <col min="11045" max="11068" width="8.140625" style="33" customWidth="1"/>
    <col min="11069" max="11069" width="9.28515625" style="33" bestFit="1" customWidth="1"/>
    <col min="11070" max="11075" width="8.140625" style="33" customWidth="1"/>
    <col min="11076" max="11076" width="11.28515625" style="33" bestFit="1" customWidth="1"/>
    <col min="11077" max="11264" width="8.140625" style="33"/>
    <col min="11265" max="11265" width="25.7109375" style="33" customWidth="1"/>
    <col min="11266" max="11266" width="10" style="33" bestFit="1" customWidth="1"/>
    <col min="11267" max="11296" width="8.140625" style="33" customWidth="1"/>
    <col min="11297" max="11297" width="11.28515625" style="33" bestFit="1" customWidth="1"/>
    <col min="11298" max="11299" width="10.28515625" style="33" customWidth="1"/>
    <col min="11300" max="11300" width="26.42578125" style="33" customWidth="1"/>
    <col min="11301" max="11324" width="8.140625" style="33" customWidth="1"/>
    <col min="11325" max="11325" width="9.28515625" style="33" bestFit="1" customWidth="1"/>
    <col min="11326" max="11331" width="8.140625" style="33" customWidth="1"/>
    <col min="11332" max="11332" width="11.28515625" style="33" bestFit="1" customWidth="1"/>
    <col min="11333" max="11520" width="8.140625" style="33"/>
    <col min="11521" max="11521" width="25.7109375" style="33" customWidth="1"/>
    <col min="11522" max="11522" width="10" style="33" bestFit="1" customWidth="1"/>
    <col min="11523" max="11552" width="8.140625" style="33" customWidth="1"/>
    <col min="11553" max="11553" width="11.28515625" style="33" bestFit="1" customWidth="1"/>
    <col min="11554" max="11555" width="10.28515625" style="33" customWidth="1"/>
    <col min="11556" max="11556" width="26.42578125" style="33" customWidth="1"/>
    <col min="11557" max="11580" width="8.140625" style="33" customWidth="1"/>
    <col min="11581" max="11581" width="9.28515625" style="33" bestFit="1" customWidth="1"/>
    <col min="11582" max="11587" width="8.140625" style="33" customWidth="1"/>
    <col min="11588" max="11588" width="11.28515625" style="33" bestFit="1" customWidth="1"/>
    <col min="11589" max="11776" width="8.140625" style="33"/>
    <col min="11777" max="11777" width="25.7109375" style="33" customWidth="1"/>
    <col min="11778" max="11778" width="10" style="33" bestFit="1" customWidth="1"/>
    <col min="11779" max="11808" width="8.140625" style="33" customWidth="1"/>
    <col min="11809" max="11809" width="11.28515625" style="33" bestFit="1" customWidth="1"/>
    <col min="11810" max="11811" width="10.28515625" style="33" customWidth="1"/>
    <col min="11812" max="11812" width="26.42578125" style="33" customWidth="1"/>
    <col min="11813" max="11836" width="8.140625" style="33" customWidth="1"/>
    <col min="11837" max="11837" width="9.28515625" style="33" bestFit="1" customWidth="1"/>
    <col min="11838" max="11843" width="8.140625" style="33" customWidth="1"/>
    <col min="11844" max="11844" width="11.28515625" style="33" bestFit="1" customWidth="1"/>
    <col min="11845" max="12032" width="8.140625" style="33"/>
    <col min="12033" max="12033" width="25.7109375" style="33" customWidth="1"/>
    <col min="12034" max="12034" width="10" style="33" bestFit="1" customWidth="1"/>
    <col min="12035" max="12064" width="8.140625" style="33" customWidth="1"/>
    <col min="12065" max="12065" width="11.28515625" style="33" bestFit="1" customWidth="1"/>
    <col min="12066" max="12067" width="10.28515625" style="33" customWidth="1"/>
    <col min="12068" max="12068" width="26.42578125" style="33" customWidth="1"/>
    <col min="12069" max="12092" width="8.140625" style="33" customWidth="1"/>
    <col min="12093" max="12093" width="9.28515625" style="33" bestFit="1" customWidth="1"/>
    <col min="12094" max="12099" width="8.140625" style="33" customWidth="1"/>
    <col min="12100" max="12100" width="11.28515625" style="33" bestFit="1" customWidth="1"/>
    <col min="12101" max="12288" width="8.140625" style="33"/>
    <col min="12289" max="12289" width="25.7109375" style="33" customWidth="1"/>
    <col min="12290" max="12290" width="10" style="33" bestFit="1" customWidth="1"/>
    <col min="12291" max="12320" width="8.140625" style="33" customWidth="1"/>
    <col min="12321" max="12321" width="11.28515625" style="33" bestFit="1" customWidth="1"/>
    <col min="12322" max="12323" width="10.28515625" style="33" customWidth="1"/>
    <col min="12324" max="12324" width="26.42578125" style="33" customWidth="1"/>
    <col min="12325" max="12348" width="8.140625" style="33" customWidth="1"/>
    <col min="12349" max="12349" width="9.28515625" style="33" bestFit="1" customWidth="1"/>
    <col min="12350" max="12355" width="8.140625" style="33" customWidth="1"/>
    <col min="12356" max="12356" width="11.28515625" style="33" bestFit="1" customWidth="1"/>
    <col min="12357" max="12544" width="8.140625" style="33"/>
    <col min="12545" max="12545" width="25.7109375" style="33" customWidth="1"/>
    <col min="12546" max="12546" width="10" style="33" bestFit="1" customWidth="1"/>
    <col min="12547" max="12576" width="8.140625" style="33" customWidth="1"/>
    <col min="12577" max="12577" width="11.28515625" style="33" bestFit="1" customWidth="1"/>
    <col min="12578" max="12579" width="10.28515625" style="33" customWidth="1"/>
    <col min="12580" max="12580" width="26.42578125" style="33" customWidth="1"/>
    <col min="12581" max="12604" width="8.140625" style="33" customWidth="1"/>
    <col min="12605" max="12605" width="9.28515625" style="33" bestFit="1" customWidth="1"/>
    <col min="12606" max="12611" width="8.140625" style="33" customWidth="1"/>
    <col min="12612" max="12612" width="11.28515625" style="33" bestFit="1" customWidth="1"/>
    <col min="12613" max="12800" width="8.140625" style="33"/>
    <col min="12801" max="12801" width="25.7109375" style="33" customWidth="1"/>
    <col min="12802" max="12802" width="10" style="33" bestFit="1" customWidth="1"/>
    <col min="12803" max="12832" width="8.140625" style="33" customWidth="1"/>
    <col min="12833" max="12833" width="11.28515625" style="33" bestFit="1" customWidth="1"/>
    <col min="12834" max="12835" width="10.28515625" style="33" customWidth="1"/>
    <col min="12836" max="12836" width="26.42578125" style="33" customWidth="1"/>
    <col min="12837" max="12860" width="8.140625" style="33" customWidth="1"/>
    <col min="12861" max="12861" width="9.28515625" style="33" bestFit="1" customWidth="1"/>
    <col min="12862" max="12867" width="8.140625" style="33" customWidth="1"/>
    <col min="12868" max="12868" width="11.28515625" style="33" bestFit="1" customWidth="1"/>
    <col min="12869" max="13056" width="8.140625" style="33"/>
    <col min="13057" max="13057" width="25.7109375" style="33" customWidth="1"/>
    <col min="13058" max="13058" width="10" style="33" bestFit="1" customWidth="1"/>
    <col min="13059" max="13088" width="8.140625" style="33" customWidth="1"/>
    <col min="13089" max="13089" width="11.28515625" style="33" bestFit="1" customWidth="1"/>
    <col min="13090" max="13091" width="10.28515625" style="33" customWidth="1"/>
    <col min="13092" max="13092" width="26.42578125" style="33" customWidth="1"/>
    <col min="13093" max="13116" width="8.140625" style="33" customWidth="1"/>
    <col min="13117" max="13117" width="9.28515625" style="33" bestFit="1" customWidth="1"/>
    <col min="13118" max="13123" width="8.140625" style="33" customWidth="1"/>
    <col min="13124" max="13124" width="11.28515625" style="33" bestFit="1" customWidth="1"/>
    <col min="13125" max="13312" width="8.140625" style="33"/>
    <col min="13313" max="13313" width="25.7109375" style="33" customWidth="1"/>
    <col min="13314" max="13314" width="10" style="33" bestFit="1" customWidth="1"/>
    <col min="13315" max="13344" width="8.140625" style="33" customWidth="1"/>
    <col min="13345" max="13345" width="11.28515625" style="33" bestFit="1" customWidth="1"/>
    <col min="13346" max="13347" width="10.28515625" style="33" customWidth="1"/>
    <col min="13348" max="13348" width="26.42578125" style="33" customWidth="1"/>
    <col min="13349" max="13372" width="8.140625" style="33" customWidth="1"/>
    <col min="13373" max="13373" width="9.28515625" style="33" bestFit="1" customWidth="1"/>
    <col min="13374" max="13379" width="8.140625" style="33" customWidth="1"/>
    <col min="13380" max="13380" width="11.28515625" style="33" bestFit="1" customWidth="1"/>
    <col min="13381" max="13568" width="8.140625" style="33"/>
    <col min="13569" max="13569" width="25.7109375" style="33" customWidth="1"/>
    <col min="13570" max="13570" width="10" style="33" bestFit="1" customWidth="1"/>
    <col min="13571" max="13600" width="8.140625" style="33" customWidth="1"/>
    <col min="13601" max="13601" width="11.28515625" style="33" bestFit="1" customWidth="1"/>
    <col min="13602" max="13603" width="10.28515625" style="33" customWidth="1"/>
    <col min="13604" max="13604" width="26.42578125" style="33" customWidth="1"/>
    <col min="13605" max="13628" width="8.140625" style="33" customWidth="1"/>
    <col min="13629" max="13629" width="9.28515625" style="33" bestFit="1" customWidth="1"/>
    <col min="13630" max="13635" width="8.140625" style="33" customWidth="1"/>
    <col min="13636" max="13636" width="11.28515625" style="33" bestFit="1" customWidth="1"/>
    <col min="13637" max="13824" width="8.140625" style="33"/>
    <col min="13825" max="13825" width="25.7109375" style="33" customWidth="1"/>
    <col min="13826" max="13826" width="10" style="33" bestFit="1" customWidth="1"/>
    <col min="13827" max="13856" width="8.140625" style="33" customWidth="1"/>
    <col min="13857" max="13857" width="11.28515625" style="33" bestFit="1" customWidth="1"/>
    <col min="13858" max="13859" width="10.28515625" style="33" customWidth="1"/>
    <col min="13860" max="13860" width="26.42578125" style="33" customWidth="1"/>
    <col min="13861" max="13884" width="8.140625" style="33" customWidth="1"/>
    <col min="13885" max="13885" width="9.28515625" style="33" bestFit="1" customWidth="1"/>
    <col min="13886" max="13891" width="8.140625" style="33" customWidth="1"/>
    <col min="13892" max="13892" width="11.28515625" style="33" bestFit="1" customWidth="1"/>
    <col min="13893" max="14080" width="8.140625" style="33"/>
    <col min="14081" max="14081" width="25.7109375" style="33" customWidth="1"/>
    <col min="14082" max="14082" width="10" style="33" bestFit="1" customWidth="1"/>
    <col min="14083" max="14112" width="8.140625" style="33" customWidth="1"/>
    <col min="14113" max="14113" width="11.28515625" style="33" bestFit="1" customWidth="1"/>
    <col min="14114" max="14115" width="10.28515625" style="33" customWidth="1"/>
    <col min="14116" max="14116" width="26.42578125" style="33" customWidth="1"/>
    <col min="14117" max="14140" width="8.140625" style="33" customWidth="1"/>
    <col min="14141" max="14141" width="9.28515625" style="33" bestFit="1" customWidth="1"/>
    <col min="14142" max="14147" width="8.140625" style="33" customWidth="1"/>
    <col min="14148" max="14148" width="11.28515625" style="33" bestFit="1" customWidth="1"/>
    <col min="14149" max="14336" width="8.140625" style="33"/>
    <col min="14337" max="14337" width="25.7109375" style="33" customWidth="1"/>
    <col min="14338" max="14338" width="10" style="33" bestFit="1" customWidth="1"/>
    <col min="14339" max="14368" width="8.140625" style="33" customWidth="1"/>
    <col min="14369" max="14369" width="11.28515625" style="33" bestFit="1" customWidth="1"/>
    <col min="14370" max="14371" width="10.28515625" style="33" customWidth="1"/>
    <col min="14372" max="14372" width="26.42578125" style="33" customWidth="1"/>
    <col min="14373" max="14396" width="8.140625" style="33" customWidth="1"/>
    <col min="14397" max="14397" width="9.28515625" style="33" bestFit="1" customWidth="1"/>
    <col min="14398" max="14403" width="8.140625" style="33" customWidth="1"/>
    <col min="14404" max="14404" width="11.28515625" style="33" bestFit="1" customWidth="1"/>
    <col min="14405" max="14592" width="8.140625" style="33"/>
    <col min="14593" max="14593" width="25.7109375" style="33" customWidth="1"/>
    <col min="14594" max="14594" width="10" style="33" bestFit="1" customWidth="1"/>
    <col min="14595" max="14624" width="8.140625" style="33" customWidth="1"/>
    <col min="14625" max="14625" width="11.28515625" style="33" bestFit="1" customWidth="1"/>
    <col min="14626" max="14627" width="10.28515625" style="33" customWidth="1"/>
    <col min="14628" max="14628" width="26.42578125" style="33" customWidth="1"/>
    <col min="14629" max="14652" width="8.140625" style="33" customWidth="1"/>
    <col min="14653" max="14653" width="9.28515625" style="33" bestFit="1" customWidth="1"/>
    <col min="14654" max="14659" width="8.140625" style="33" customWidth="1"/>
    <col min="14660" max="14660" width="11.28515625" style="33" bestFit="1" customWidth="1"/>
    <col min="14661" max="14848" width="8.140625" style="33"/>
    <col min="14849" max="14849" width="25.7109375" style="33" customWidth="1"/>
    <col min="14850" max="14850" width="10" style="33" bestFit="1" customWidth="1"/>
    <col min="14851" max="14880" width="8.140625" style="33" customWidth="1"/>
    <col min="14881" max="14881" width="11.28515625" style="33" bestFit="1" customWidth="1"/>
    <col min="14882" max="14883" width="10.28515625" style="33" customWidth="1"/>
    <col min="14884" max="14884" width="26.42578125" style="33" customWidth="1"/>
    <col min="14885" max="14908" width="8.140625" style="33" customWidth="1"/>
    <col min="14909" max="14909" width="9.28515625" style="33" bestFit="1" customWidth="1"/>
    <col min="14910" max="14915" width="8.140625" style="33" customWidth="1"/>
    <col min="14916" max="14916" width="11.28515625" style="33" bestFit="1" customWidth="1"/>
    <col min="14917" max="15104" width="8.140625" style="33"/>
    <col min="15105" max="15105" width="25.7109375" style="33" customWidth="1"/>
    <col min="15106" max="15106" width="10" style="33" bestFit="1" customWidth="1"/>
    <col min="15107" max="15136" width="8.140625" style="33" customWidth="1"/>
    <col min="15137" max="15137" width="11.28515625" style="33" bestFit="1" customWidth="1"/>
    <col min="15138" max="15139" width="10.28515625" style="33" customWidth="1"/>
    <col min="15140" max="15140" width="26.42578125" style="33" customWidth="1"/>
    <col min="15141" max="15164" width="8.140625" style="33" customWidth="1"/>
    <col min="15165" max="15165" width="9.28515625" style="33" bestFit="1" customWidth="1"/>
    <col min="15166" max="15171" width="8.140625" style="33" customWidth="1"/>
    <col min="15172" max="15172" width="11.28515625" style="33" bestFit="1" customWidth="1"/>
    <col min="15173" max="15360" width="8.140625" style="33"/>
    <col min="15361" max="15361" width="25.7109375" style="33" customWidth="1"/>
    <col min="15362" max="15362" width="10" style="33" bestFit="1" customWidth="1"/>
    <col min="15363" max="15392" width="8.140625" style="33" customWidth="1"/>
    <col min="15393" max="15393" width="11.28515625" style="33" bestFit="1" customWidth="1"/>
    <col min="15394" max="15395" width="10.28515625" style="33" customWidth="1"/>
    <col min="15396" max="15396" width="26.42578125" style="33" customWidth="1"/>
    <col min="15397" max="15420" width="8.140625" style="33" customWidth="1"/>
    <col min="15421" max="15421" width="9.28515625" style="33" bestFit="1" customWidth="1"/>
    <col min="15422" max="15427" width="8.140625" style="33" customWidth="1"/>
    <col min="15428" max="15428" width="11.28515625" style="33" bestFit="1" customWidth="1"/>
    <col min="15429" max="15616" width="8.140625" style="33"/>
    <col min="15617" max="15617" width="25.7109375" style="33" customWidth="1"/>
    <col min="15618" max="15618" width="10" style="33" bestFit="1" customWidth="1"/>
    <col min="15619" max="15648" width="8.140625" style="33" customWidth="1"/>
    <col min="15649" max="15649" width="11.28515625" style="33" bestFit="1" customWidth="1"/>
    <col min="15650" max="15651" width="10.28515625" style="33" customWidth="1"/>
    <col min="15652" max="15652" width="26.42578125" style="33" customWidth="1"/>
    <col min="15653" max="15676" width="8.140625" style="33" customWidth="1"/>
    <col min="15677" max="15677" width="9.28515625" style="33" bestFit="1" customWidth="1"/>
    <col min="15678" max="15683" width="8.140625" style="33" customWidth="1"/>
    <col min="15684" max="15684" width="11.28515625" style="33" bestFit="1" customWidth="1"/>
    <col min="15685" max="15872" width="8.140625" style="33"/>
    <col min="15873" max="15873" width="25.7109375" style="33" customWidth="1"/>
    <col min="15874" max="15874" width="10" style="33" bestFit="1" customWidth="1"/>
    <col min="15875" max="15904" width="8.140625" style="33" customWidth="1"/>
    <col min="15905" max="15905" width="11.28515625" style="33" bestFit="1" customWidth="1"/>
    <col min="15906" max="15907" width="10.28515625" style="33" customWidth="1"/>
    <col min="15908" max="15908" width="26.42578125" style="33" customWidth="1"/>
    <col min="15909" max="15932" width="8.140625" style="33" customWidth="1"/>
    <col min="15933" max="15933" width="9.28515625" style="33" bestFit="1" customWidth="1"/>
    <col min="15934" max="15939" width="8.140625" style="33" customWidth="1"/>
    <col min="15940" max="15940" width="11.28515625" style="33" bestFit="1" customWidth="1"/>
    <col min="15941" max="16128" width="8.140625" style="33"/>
    <col min="16129" max="16129" width="25.7109375" style="33" customWidth="1"/>
    <col min="16130" max="16130" width="10" style="33" bestFit="1" customWidth="1"/>
    <col min="16131" max="16160" width="8.140625" style="33" customWidth="1"/>
    <col min="16161" max="16161" width="11.28515625" style="33" bestFit="1" customWidth="1"/>
    <col min="16162" max="16163" width="10.28515625" style="33" customWidth="1"/>
    <col min="16164" max="16164" width="26.42578125" style="33" customWidth="1"/>
    <col min="16165" max="16188" width="8.140625" style="33" customWidth="1"/>
    <col min="16189" max="16189" width="9.28515625" style="33" bestFit="1" customWidth="1"/>
    <col min="16190" max="16195" width="8.140625" style="33" customWidth="1"/>
    <col min="16196" max="16196" width="11.28515625" style="33" bestFit="1" customWidth="1"/>
    <col min="16197" max="16384" width="8.140625" style="33"/>
  </cols>
  <sheetData>
    <row r="1" spans="1:68" ht="28.5" customHeight="1" thickBot="1" x14ac:dyDescent="0.35">
      <c r="A1" s="32">
        <v>40299</v>
      </c>
      <c r="B1" s="33" t="s">
        <v>185</v>
      </c>
      <c r="C1" s="34" t="s">
        <v>25</v>
      </c>
      <c r="D1" s="35" t="s">
        <v>186</v>
      </c>
      <c r="E1" s="36" t="s">
        <v>187</v>
      </c>
      <c r="F1" s="33" t="s">
        <v>57</v>
      </c>
      <c r="G1" s="33" t="s">
        <v>188</v>
      </c>
      <c r="H1" s="33" t="s">
        <v>189</v>
      </c>
      <c r="I1" s="33" t="s">
        <v>190</v>
      </c>
      <c r="J1" s="34" t="s">
        <v>191</v>
      </c>
      <c r="K1" s="33" t="s">
        <v>25</v>
      </c>
      <c r="L1" s="33" t="s">
        <v>25</v>
      </c>
      <c r="M1" s="33" t="s">
        <v>192</v>
      </c>
      <c r="N1" s="33" t="s">
        <v>25</v>
      </c>
      <c r="O1" s="33" t="s">
        <v>193</v>
      </c>
      <c r="P1" s="33" t="s">
        <v>194</v>
      </c>
      <c r="Q1" s="33" t="s">
        <v>195</v>
      </c>
      <c r="R1" s="33" t="s">
        <v>196</v>
      </c>
      <c r="S1" s="33" t="s">
        <v>32</v>
      </c>
      <c r="T1" s="33" t="s">
        <v>197</v>
      </c>
      <c r="U1" s="33" t="s">
        <v>25</v>
      </c>
      <c r="V1" s="33" t="s">
        <v>32</v>
      </c>
      <c r="W1" s="34" t="s">
        <v>198</v>
      </c>
      <c r="X1" s="33" t="s">
        <v>32</v>
      </c>
      <c r="Y1" s="34" t="s">
        <v>199</v>
      </c>
      <c r="Z1" s="33" t="s">
        <v>200</v>
      </c>
      <c r="AA1" s="33" t="s">
        <v>32</v>
      </c>
      <c r="AB1" s="33" t="s">
        <v>201</v>
      </c>
      <c r="AC1" s="33" t="s">
        <v>202</v>
      </c>
      <c r="AD1" s="33" t="s">
        <v>203</v>
      </c>
      <c r="AE1" s="33" t="s">
        <v>48</v>
      </c>
      <c r="AF1" s="33" t="s">
        <v>204</v>
      </c>
      <c r="AJ1" s="32">
        <f>A1</f>
        <v>40299</v>
      </c>
      <c r="AL1" s="38">
        <v>1.196</v>
      </c>
    </row>
    <row r="2" spans="1:68" s="44" customFormat="1" ht="20.100000000000001" hidden="1" customHeight="1" x14ac:dyDescent="0.3">
      <c r="A2" s="40"/>
      <c r="B2" s="41"/>
      <c r="C2" s="42"/>
      <c r="D2" s="41"/>
      <c r="E2" s="41"/>
      <c r="F2" s="41"/>
      <c r="G2" s="41"/>
      <c r="H2" s="41"/>
      <c r="I2" s="41"/>
      <c r="J2" s="42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2"/>
      <c r="X2" s="41"/>
      <c r="Y2" s="42"/>
      <c r="Z2" s="41"/>
      <c r="AA2" s="41"/>
      <c r="AB2" s="41"/>
      <c r="AC2" s="41"/>
      <c r="AD2" s="43"/>
      <c r="AE2" s="43"/>
      <c r="AF2" s="43"/>
      <c r="AG2" s="37"/>
      <c r="AH2" s="33"/>
      <c r="AI2" s="33"/>
      <c r="AJ2" s="40"/>
      <c r="AK2" s="41"/>
      <c r="AL2" s="42"/>
      <c r="AM2" s="41"/>
      <c r="AN2" s="41"/>
      <c r="AO2" s="41"/>
      <c r="AP2" s="41"/>
      <c r="AQ2" s="41"/>
      <c r="AR2" s="41"/>
      <c r="AS2" s="42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2"/>
      <c r="BG2" s="41"/>
      <c r="BH2" s="42"/>
      <c r="BI2" s="41"/>
      <c r="BJ2" s="41"/>
      <c r="BK2" s="41"/>
      <c r="BL2" s="41"/>
      <c r="BM2" s="43"/>
      <c r="BN2" s="43"/>
      <c r="BO2" s="43"/>
      <c r="BP2" s="37"/>
    </row>
    <row r="3" spans="1:68" s="46" customFormat="1" ht="20.100000000000001" hidden="1" customHeight="1" x14ac:dyDescent="0.2">
      <c r="A3" s="45"/>
      <c r="AG3" s="45"/>
      <c r="AJ3" s="47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7"/>
    </row>
    <row r="4" spans="1:68" s="44" customFormat="1" ht="20.100000000000001" hidden="1" customHeight="1" x14ac:dyDescent="0.25">
      <c r="A4" s="47"/>
      <c r="AG4" s="47"/>
      <c r="AJ4" s="48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48"/>
    </row>
    <row r="5" spans="1:68" s="50" customFormat="1" ht="20.100000000000001" hidden="1" customHeight="1" x14ac:dyDescent="0.25">
      <c r="A5" s="49"/>
      <c r="AG5" s="49"/>
      <c r="AJ5" s="48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48"/>
    </row>
    <row r="6" spans="1:68" ht="20.100000000000001" hidden="1" customHeight="1" x14ac:dyDescent="0.25">
      <c r="AJ6" s="37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</row>
    <row r="7" spans="1:68" ht="20.100000000000001" hidden="1" customHeight="1" x14ac:dyDescent="0.25">
      <c r="AJ7" s="48"/>
      <c r="AL7" s="33"/>
      <c r="AM7" s="33"/>
      <c r="AN7" s="33"/>
      <c r="AS7" s="33"/>
      <c r="BF7" s="33"/>
      <c r="BH7" s="33"/>
      <c r="BP7" s="48"/>
    </row>
    <row r="8" spans="1:68" ht="20.100000000000001" hidden="1" customHeight="1" x14ac:dyDescent="0.25">
      <c r="AJ8" s="49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49"/>
    </row>
    <row r="9" spans="1:68" s="47" customFormat="1" ht="20.100000000000001" customHeight="1" thickTop="1" x14ac:dyDescent="0.25">
      <c r="A9" s="53"/>
      <c r="B9" s="54" t="s">
        <v>205</v>
      </c>
      <c r="C9" s="54" t="s">
        <v>206</v>
      </c>
      <c r="D9" s="55">
        <v>3</v>
      </c>
      <c r="E9" s="54" t="s">
        <v>207</v>
      </c>
      <c r="F9" s="54" t="s">
        <v>208</v>
      </c>
      <c r="G9" s="54" t="s">
        <v>209</v>
      </c>
      <c r="H9" s="54" t="s">
        <v>210</v>
      </c>
      <c r="I9" s="54" t="s">
        <v>211</v>
      </c>
      <c r="J9" s="54" t="s">
        <v>212</v>
      </c>
      <c r="K9" s="54" t="s">
        <v>213</v>
      </c>
      <c r="L9" s="54" t="s">
        <v>214</v>
      </c>
      <c r="M9" s="54" t="s">
        <v>215</v>
      </c>
      <c r="N9" s="54" t="s">
        <v>216</v>
      </c>
      <c r="O9" s="54" t="s">
        <v>217</v>
      </c>
      <c r="P9" s="54" t="s">
        <v>218</v>
      </c>
      <c r="Q9" s="54" t="s">
        <v>219</v>
      </c>
      <c r="R9" s="54" t="s">
        <v>220</v>
      </c>
      <c r="S9" s="54" t="s">
        <v>221</v>
      </c>
      <c r="T9" s="54" t="s">
        <v>222</v>
      </c>
      <c r="U9" s="54" t="s">
        <v>223</v>
      </c>
      <c r="V9" s="54" t="s">
        <v>224</v>
      </c>
      <c r="W9" s="54" t="s">
        <v>225</v>
      </c>
      <c r="X9" s="54" t="s">
        <v>226</v>
      </c>
      <c r="Y9" s="54" t="s">
        <v>227</v>
      </c>
      <c r="Z9" s="54" t="s">
        <v>228</v>
      </c>
      <c r="AA9" s="54" t="s">
        <v>229</v>
      </c>
      <c r="AB9" s="54" t="s">
        <v>230</v>
      </c>
      <c r="AC9" s="54" t="s">
        <v>231</v>
      </c>
      <c r="AD9" s="54" t="s">
        <v>232</v>
      </c>
      <c r="AE9" s="54" t="s">
        <v>233</v>
      </c>
      <c r="AF9" s="54" t="s">
        <v>234</v>
      </c>
      <c r="AG9" s="56" t="s">
        <v>235</v>
      </c>
      <c r="AH9" s="48"/>
      <c r="AI9" s="48"/>
      <c r="AJ9" s="57"/>
      <c r="AK9" s="58">
        <v>40299</v>
      </c>
      <c r="AL9" s="58">
        <v>40300</v>
      </c>
      <c r="AM9" s="58">
        <v>40301</v>
      </c>
      <c r="AN9" s="58">
        <v>40302</v>
      </c>
      <c r="AO9" s="58">
        <v>40303</v>
      </c>
      <c r="AP9" s="58">
        <v>40304</v>
      </c>
      <c r="AQ9" s="58">
        <v>40305</v>
      </c>
      <c r="AR9" s="58">
        <v>40306</v>
      </c>
      <c r="AS9" s="58">
        <v>40307</v>
      </c>
      <c r="AT9" s="58">
        <v>40308</v>
      </c>
      <c r="AU9" s="58">
        <v>40309</v>
      </c>
      <c r="AV9" s="58">
        <v>40310</v>
      </c>
      <c r="AW9" s="58">
        <v>40311</v>
      </c>
      <c r="AX9" s="58">
        <v>40312</v>
      </c>
      <c r="AY9" s="58">
        <v>40313</v>
      </c>
      <c r="AZ9" s="58">
        <v>40314</v>
      </c>
      <c r="BA9" s="58">
        <v>40315</v>
      </c>
      <c r="BB9" s="58">
        <v>40316</v>
      </c>
      <c r="BC9" s="58">
        <v>40317</v>
      </c>
      <c r="BD9" s="58">
        <v>40318</v>
      </c>
      <c r="BE9" s="58">
        <v>40319</v>
      </c>
      <c r="BF9" s="58">
        <v>40320</v>
      </c>
      <c r="BG9" s="58">
        <v>40321</v>
      </c>
      <c r="BH9" s="58">
        <v>40322</v>
      </c>
      <c r="BI9" s="58">
        <v>40323</v>
      </c>
      <c r="BJ9" s="58">
        <v>40324</v>
      </c>
      <c r="BK9" s="58">
        <v>40325</v>
      </c>
      <c r="BL9" s="58">
        <v>40326</v>
      </c>
      <c r="BM9" s="58">
        <v>40327</v>
      </c>
      <c r="BN9" s="58">
        <v>40328</v>
      </c>
      <c r="BO9" s="58">
        <v>40329</v>
      </c>
      <c r="BP9" s="59" t="s">
        <v>235</v>
      </c>
    </row>
    <row r="10" spans="1:68" s="48" customFormat="1" ht="20.100000000000001" customHeight="1" x14ac:dyDescent="0.25">
      <c r="A10" s="60" t="s">
        <v>236</v>
      </c>
      <c r="B10" s="61">
        <f>B11+B14+B15+B17+B22+B23+B24+B25+B26+B18+B19+B20+B21+B27</f>
        <v>5399.1</v>
      </c>
      <c r="C10" s="61">
        <f t="shared" ref="C10:AF10" si="0">C11+C14+C15+C17+C22+C23+C24+C25+C26+C18+C19+C20+C21+C27</f>
        <v>3106.6</v>
      </c>
      <c r="D10" s="61">
        <f t="shared" si="0"/>
        <v>5499.7</v>
      </c>
      <c r="E10" s="61">
        <f t="shared" si="0"/>
        <v>574.79999999999995</v>
      </c>
      <c r="F10" s="61">
        <f t="shared" si="0"/>
        <v>2276.16</v>
      </c>
      <c r="G10" s="61">
        <f t="shared" si="0"/>
        <v>3172.8</v>
      </c>
      <c r="H10" s="61">
        <f t="shared" si="0"/>
        <v>6437.4500000000007</v>
      </c>
      <c r="I10" s="61">
        <f t="shared" si="0"/>
        <v>3477.4100000000003</v>
      </c>
      <c r="J10" s="61">
        <f t="shared" si="0"/>
        <v>4591.58</v>
      </c>
      <c r="K10" s="61">
        <f t="shared" si="0"/>
        <v>3333.53</v>
      </c>
      <c r="L10" s="61">
        <f t="shared" si="0"/>
        <v>4145</v>
      </c>
      <c r="M10" s="61">
        <f t="shared" si="0"/>
        <v>3417.2</v>
      </c>
      <c r="N10" s="61">
        <f t="shared" si="0"/>
        <v>5619.82</v>
      </c>
      <c r="O10" s="61">
        <f t="shared" si="0"/>
        <v>8021.1</v>
      </c>
      <c r="P10" s="61">
        <f t="shared" si="0"/>
        <v>5871.85</v>
      </c>
      <c r="Q10" s="61">
        <f t="shared" si="0"/>
        <v>5698.3</v>
      </c>
      <c r="R10" s="61">
        <f t="shared" si="0"/>
        <v>4472.95</v>
      </c>
      <c r="S10" s="61">
        <f t="shared" si="0"/>
        <v>4567.4900000000007</v>
      </c>
      <c r="T10" s="61">
        <f t="shared" si="0"/>
        <v>2707</v>
      </c>
      <c r="U10" s="61">
        <f t="shared" si="0"/>
        <v>4450.6000000000004</v>
      </c>
      <c r="V10" s="61">
        <f t="shared" si="0"/>
        <v>6431.0099999999993</v>
      </c>
      <c r="W10" s="61">
        <f t="shared" si="0"/>
        <v>4668.2700000000004</v>
      </c>
      <c r="X10" s="61">
        <f t="shared" si="0"/>
        <v>5654.2600000000011</v>
      </c>
      <c r="Y10" s="61">
        <f t="shared" si="0"/>
        <v>4596.6100000000006</v>
      </c>
      <c r="Z10" s="61">
        <f t="shared" si="0"/>
        <v>3445.21</v>
      </c>
      <c r="AA10" s="61">
        <f t="shared" si="0"/>
        <v>3585.2</v>
      </c>
      <c r="AB10" s="61">
        <f t="shared" si="0"/>
        <v>4627.5400000000009</v>
      </c>
      <c r="AC10" s="61">
        <f t="shared" si="0"/>
        <v>5493.58</v>
      </c>
      <c r="AD10" s="61">
        <f t="shared" si="0"/>
        <v>3378</v>
      </c>
      <c r="AE10" s="61">
        <f t="shared" si="0"/>
        <v>3480.2</v>
      </c>
      <c r="AF10" s="61">
        <f t="shared" si="0"/>
        <v>5403.58</v>
      </c>
      <c r="AG10" s="62">
        <f>SUM(B10:AF10)</f>
        <v>137603.9</v>
      </c>
      <c r="AJ10" s="63" t="s">
        <v>237</v>
      </c>
      <c r="AK10" s="64">
        <f>AK11+AK14+AK15+AK17+AK22+AK23+AK24+AK25+AK26+AK18+AK19+AK20+AK21+AK27</f>
        <v>4514.2976588628771</v>
      </c>
      <c r="AL10" s="64">
        <f t="shared" ref="AL10:BO10" si="1">AL11+AL14+AL15+AL17+AL22+AL23+AL24+AL25+AL26+AL18+AL19+AL20+AL21+AL27</f>
        <v>2597.4916387959861</v>
      </c>
      <c r="AM10" s="64">
        <f t="shared" si="1"/>
        <v>4598.4113712374583</v>
      </c>
      <c r="AN10" s="64">
        <f t="shared" si="1"/>
        <v>480.60200668896323</v>
      </c>
      <c r="AO10" s="64">
        <f t="shared" si="1"/>
        <v>1903.14381270903</v>
      </c>
      <c r="AP10" s="64">
        <f t="shared" si="1"/>
        <v>2652.8428093645484</v>
      </c>
      <c r="AQ10" s="64">
        <f t="shared" si="1"/>
        <v>5382.483277591974</v>
      </c>
      <c r="AR10" s="64">
        <f t="shared" si="1"/>
        <v>2907.5334448160538</v>
      </c>
      <c r="AS10" s="64">
        <f t="shared" si="1"/>
        <v>3839.1137123745821</v>
      </c>
      <c r="AT10" s="64">
        <f t="shared" si="1"/>
        <v>2787.2324414715727</v>
      </c>
      <c r="AU10" s="64">
        <f t="shared" si="1"/>
        <v>3465.7190635451507</v>
      </c>
      <c r="AV10" s="64">
        <f t="shared" si="1"/>
        <v>2857.1906354515054</v>
      </c>
      <c r="AW10" s="64">
        <f t="shared" si="1"/>
        <v>4698.8461538461552</v>
      </c>
      <c r="AX10" s="64">
        <f t="shared" si="1"/>
        <v>6706.6053511705677</v>
      </c>
      <c r="AY10" s="64">
        <f t="shared" si="1"/>
        <v>4909.5735785953184</v>
      </c>
      <c r="AZ10" s="64">
        <f t="shared" si="1"/>
        <v>4764.4648829431444</v>
      </c>
      <c r="BA10" s="64">
        <f t="shared" si="1"/>
        <v>3739.9247491638789</v>
      </c>
      <c r="BB10" s="64">
        <f t="shared" si="1"/>
        <v>3818.9715719063547</v>
      </c>
      <c r="BC10" s="64">
        <f t="shared" si="1"/>
        <v>2263.3779264214049</v>
      </c>
      <c r="BD10" s="64">
        <f t="shared" si="1"/>
        <v>3721.2374581939794</v>
      </c>
      <c r="BE10" s="64">
        <f t="shared" si="1"/>
        <v>5377.0986622073578</v>
      </c>
      <c r="BF10" s="64">
        <f t="shared" si="1"/>
        <v>3903.235785953178</v>
      </c>
      <c r="BG10" s="64">
        <f t="shared" si="1"/>
        <v>4727.6421404682278</v>
      </c>
      <c r="BH10" s="64">
        <f t="shared" si="1"/>
        <v>3843.3193979933112</v>
      </c>
      <c r="BI10" s="64">
        <f t="shared" si="1"/>
        <v>2880.6103678929767</v>
      </c>
      <c r="BJ10" s="64">
        <f t="shared" si="1"/>
        <v>2997.6588628762538</v>
      </c>
      <c r="BK10" s="64">
        <f t="shared" si="1"/>
        <v>3869.1806020066897</v>
      </c>
      <c r="BL10" s="64">
        <f t="shared" si="1"/>
        <v>4593.2943143812709</v>
      </c>
      <c r="BM10" s="64">
        <f t="shared" si="1"/>
        <v>2824.4147157190637</v>
      </c>
      <c r="BN10" s="64">
        <f t="shared" si="1"/>
        <v>2909.8662207357861</v>
      </c>
      <c r="BO10" s="64">
        <f t="shared" si="1"/>
        <v>4518.0434782608691</v>
      </c>
      <c r="BP10" s="65">
        <f>SUM(AK10:BO10)</f>
        <v>115053.4280936455</v>
      </c>
    </row>
    <row r="11" spans="1:68" ht="20.100000000000001" customHeight="1" x14ac:dyDescent="0.25">
      <c r="A11" s="66" t="s">
        <v>238</v>
      </c>
      <c r="B11" s="67">
        <f>101.3+5298-2007</f>
        <v>3392.3</v>
      </c>
      <c r="C11" s="67">
        <f>3106.4-1758</f>
        <v>1348.4</v>
      </c>
      <c r="D11" s="67">
        <f>101.3+5398-1934</f>
        <v>3565.3</v>
      </c>
      <c r="E11" s="67">
        <f>574.4-386</f>
        <v>188.39999999999998</v>
      </c>
      <c r="F11" s="67">
        <f>92.85+2182.83-1668</f>
        <v>607.67999999999984</v>
      </c>
      <c r="G11" s="67">
        <f>3172.4-3172</f>
        <v>0.40000000000009095</v>
      </c>
      <c r="H11" s="67">
        <f>92.85+6344.8-3825</f>
        <v>2612.6500000000005</v>
      </c>
      <c r="I11" s="67">
        <f>92.85+3384.88-1807</f>
        <v>1670.73</v>
      </c>
      <c r="J11" s="67">
        <f>104.53+4487.55-1984</f>
        <v>2608.08</v>
      </c>
      <c r="K11" s="67">
        <f>104.53+3229-104-114-180-252-207</f>
        <v>2476.5300000000002</v>
      </c>
      <c r="L11" s="67">
        <f>4145.2-572-684-141-120-353-198</f>
        <v>2077.1999999999998</v>
      </c>
      <c r="M11" s="67">
        <f>3417.5-120-114-24-60-403-486</f>
        <v>2210.5</v>
      </c>
      <c r="N11" s="67">
        <f>60.3+5559.16-2215</f>
        <v>3404.46</v>
      </c>
      <c r="O11" s="67">
        <f>273.38+7747.76-3442</f>
        <v>4579.1400000000003</v>
      </c>
      <c r="P11" s="67">
        <f>418.57+5453.7-4491</f>
        <v>1381.2699999999995</v>
      </c>
      <c r="Q11" s="67">
        <f>202.6+5496.2-2805</f>
        <v>2893.8</v>
      </c>
      <c r="R11" s="67">
        <f>4473.15-809</f>
        <v>3664.1499999999996</v>
      </c>
      <c r="S11" s="67">
        <f>108.54+4458.75-720</f>
        <v>3847.29</v>
      </c>
      <c r="T11" s="67">
        <f>2707-367</f>
        <v>2340</v>
      </c>
      <c r="U11" s="67">
        <f>4450.2-1127</f>
        <v>3323.2</v>
      </c>
      <c r="V11" s="67">
        <f>6430.73-1857</f>
        <v>4573.7299999999996</v>
      </c>
      <c r="W11" s="67">
        <f>209.06+4458.93-2799</f>
        <v>1868.9900000000007</v>
      </c>
      <c r="X11" s="67">
        <f>352.56+5302.1-2584</f>
        <v>3070.6600000000008</v>
      </c>
      <c r="Y11" s="67">
        <f>92.85+4503.48-1605</f>
        <v>2991.33</v>
      </c>
      <c r="Z11" s="67">
        <f>3445.33-2333</f>
        <v>1112.33</v>
      </c>
      <c r="AA11" s="67">
        <f>3585.2-220-282-94-108</f>
        <v>2881.2</v>
      </c>
      <c r="AB11" s="67">
        <f>4627.22-370-114-104-170-171-166-180-50-108</f>
        <v>3194.2200000000003</v>
      </c>
      <c r="AC11" s="67">
        <f>5493.34-2004</f>
        <v>3489.34</v>
      </c>
      <c r="AD11" s="67">
        <f>3378.9-550-88-212-60-162</f>
        <v>2306.9</v>
      </c>
      <c r="AE11" s="67">
        <f>3479.6-180-208-277-50-54</f>
        <v>2710.6</v>
      </c>
      <c r="AF11" s="67">
        <f>5402.74-572-104-144-376-1441-120-162</f>
        <v>2483.7399999999998</v>
      </c>
      <c r="AG11" s="68">
        <f>SUM(B11:AF11)</f>
        <v>78874.52</v>
      </c>
      <c r="AH11" s="69"/>
      <c r="AI11" s="70"/>
      <c r="AJ11" s="71" t="str">
        <f t="shared" ref="AJ11:AJ27" si="2">A11</f>
        <v xml:space="preserve"> 18 Trous </v>
      </c>
      <c r="AK11" s="67">
        <f t="shared" ref="AK11:AZ27" si="3">B11/$AL$1</f>
        <v>2836.3712374581942</v>
      </c>
      <c r="AL11" s="67">
        <f t="shared" si="3"/>
        <v>1127.4247491638798</v>
      </c>
      <c r="AM11" s="67">
        <f t="shared" si="3"/>
        <v>2981.0200668896323</v>
      </c>
      <c r="AN11" s="67">
        <f t="shared" si="3"/>
        <v>157.52508361204013</v>
      </c>
      <c r="AO11" s="67">
        <f t="shared" si="3"/>
        <v>508.09364548494972</v>
      </c>
      <c r="AP11" s="67">
        <f t="shared" si="3"/>
        <v>0.33444816053519311</v>
      </c>
      <c r="AQ11" s="67">
        <f t="shared" si="3"/>
        <v>2184.4899665551843</v>
      </c>
      <c r="AR11" s="67">
        <f t="shared" si="3"/>
        <v>1396.9314381270904</v>
      </c>
      <c r="AS11" s="67">
        <f t="shared" si="3"/>
        <v>2180.6688963210704</v>
      </c>
      <c r="AT11" s="67">
        <f t="shared" si="3"/>
        <v>2070.6772575250839</v>
      </c>
      <c r="AU11" s="67">
        <f t="shared" si="3"/>
        <v>1736.7892976588628</v>
      </c>
      <c r="AV11" s="67">
        <f t="shared" si="3"/>
        <v>1848.2441471571908</v>
      </c>
      <c r="AW11" s="67">
        <f t="shared" si="3"/>
        <v>2846.5384615384619</v>
      </c>
      <c r="AX11" s="67">
        <f t="shared" si="3"/>
        <v>3828.7123745819404</v>
      </c>
      <c r="AY11" s="67">
        <f t="shared" si="3"/>
        <v>1154.9080267558525</v>
      </c>
      <c r="AZ11" s="67">
        <f t="shared" si="3"/>
        <v>2419.5652173913045</v>
      </c>
      <c r="BA11" s="67">
        <f t="shared" ref="BA11:BO27" si="4">R11/$AL$1</f>
        <v>3063.6705685618726</v>
      </c>
      <c r="BB11" s="67">
        <f t="shared" si="4"/>
        <v>3216.7976588628762</v>
      </c>
      <c r="BC11" s="67">
        <f t="shared" si="4"/>
        <v>1956.5217391304348</v>
      </c>
      <c r="BD11" s="67">
        <f t="shared" si="4"/>
        <v>2778.5953177257525</v>
      </c>
      <c r="BE11" s="67">
        <f t="shared" si="4"/>
        <v>3824.1889632107022</v>
      </c>
      <c r="BF11" s="67">
        <f t="shared" si="4"/>
        <v>1562.7006688963218</v>
      </c>
      <c r="BG11" s="67">
        <f t="shared" si="4"/>
        <v>2567.4414715719072</v>
      </c>
      <c r="BH11" s="67">
        <f t="shared" si="4"/>
        <v>2501.1120401337794</v>
      </c>
      <c r="BI11" s="67">
        <f t="shared" si="4"/>
        <v>930.04180602006682</v>
      </c>
      <c r="BJ11" s="67">
        <f t="shared" si="4"/>
        <v>2409.030100334448</v>
      </c>
      <c r="BK11" s="67">
        <f t="shared" si="4"/>
        <v>2670.7525083612045</v>
      </c>
      <c r="BL11" s="67">
        <f t="shared" si="4"/>
        <v>2917.5083612040135</v>
      </c>
      <c r="BM11" s="67">
        <f t="shared" si="4"/>
        <v>1928.846153846154</v>
      </c>
      <c r="BN11" s="67">
        <f t="shared" si="4"/>
        <v>2266.3879598662206</v>
      </c>
      <c r="BO11" s="67">
        <f t="shared" si="4"/>
        <v>2076.7056856187291</v>
      </c>
      <c r="BP11" s="72">
        <f>SUM(AK11:BO11)</f>
        <v>65948.595317725762</v>
      </c>
    </row>
    <row r="12" spans="1:68" ht="20.100000000000001" customHeight="1" x14ac:dyDescent="0.25">
      <c r="A12" s="73" t="s">
        <v>239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68"/>
      <c r="AH12" s="69"/>
      <c r="AI12" s="70"/>
      <c r="AJ12" s="71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72"/>
    </row>
    <row r="13" spans="1:68" ht="20.100000000000001" customHeight="1" x14ac:dyDescent="0.25">
      <c r="A13" s="73" t="s">
        <v>240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68"/>
      <c r="AH13" s="69"/>
      <c r="AI13" s="70"/>
      <c r="AJ13" s="71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72"/>
    </row>
    <row r="14" spans="1:68" ht="20.100000000000001" customHeight="1" x14ac:dyDescent="0.25">
      <c r="A14" s="73" t="s">
        <v>241</v>
      </c>
      <c r="B14" s="74"/>
      <c r="C14" s="74"/>
      <c r="D14" s="74"/>
      <c r="E14" s="74"/>
      <c r="F14" s="74"/>
      <c r="G14" s="74">
        <v>3080</v>
      </c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68">
        <f t="shared" ref="AG14:AG27" si="5">SUM(B14:AF14)</f>
        <v>3080</v>
      </c>
      <c r="AH14" s="75"/>
      <c r="AI14" s="76"/>
      <c r="AJ14" s="71" t="str">
        <f t="shared" si="2"/>
        <v>GF Competition</v>
      </c>
      <c r="AK14" s="67">
        <f t="shared" si="3"/>
        <v>0</v>
      </c>
      <c r="AL14" s="67">
        <f t="shared" si="3"/>
        <v>0</v>
      </c>
      <c r="AM14" s="67">
        <f t="shared" si="3"/>
        <v>0</v>
      </c>
      <c r="AN14" s="67">
        <f t="shared" si="3"/>
        <v>0</v>
      </c>
      <c r="AO14" s="67">
        <f t="shared" si="3"/>
        <v>0</v>
      </c>
      <c r="AP14" s="67">
        <f t="shared" si="3"/>
        <v>2575.2508361204013</v>
      </c>
      <c r="AQ14" s="67">
        <f t="shared" si="3"/>
        <v>0</v>
      </c>
      <c r="AR14" s="67">
        <f t="shared" si="3"/>
        <v>0</v>
      </c>
      <c r="AS14" s="67">
        <f t="shared" si="3"/>
        <v>0</v>
      </c>
      <c r="AT14" s="67">
        <f t="shared" si="3"/>
        <v>0</v>
      </c>
      <c r="AU14" s="67">
        <f t="shared" si="3"/>
        <v>0</v>
      </c>
      <c r="AV14" s="67">
        <f t="shared" si="3"/>
        <v>0</v>
      </c>
      <c r="AW14" s="67">
        <f t="shared" si="3"/>
        <v>0</v>
      </c>
      <c r="AX14" s="67">
        <f t="shared" si="3"/>
        <v>0</v>
      </c>
      <c r="AY14" s="67">
        <f t="shared" si="3"/>
        <v>0</v>
      </c>
      <c r="AZ14" s="67">
        <f t="shared" si="3"/>
        <v>0</v>
      </c>
      <c r="BA14" s="67">
        <f t="shared" si="4"/>
        <v>0</v>
      </c>
      <c r="BB14" s="67">
        <f t="shared" si="4"/>
        <v>0</v>
      </c>
      <c r="BC14" s="67">
        <f t="shared" si="4"/>
        <v>0</v>
      </c>
      <c r="BD14" s="67">
        <f t="shared" si="4"/>
        <v>0</v>
      </c>
      <c r="BE14" s="67">
        <f t="shared" si="4"/>
        <v>0</v>
      </c>
      <c r="BF14" s="67">
        <f t="shared" si="4"/>
        <v>0</v>
      </c>
      <c r="BG14" s="67">
        <f t="shared" si="4"/>
        <v>0</v>
      </c>
      <c r="BH14" s="67">
        <f t="shared" si="4"/>
        <v>0</v>
      </c>
      <c r="BI14" s="67">
        <f t="shared" si="4"/>
        <v>0</v>
      </c>
      <c r="BJ14" s="67">
        <f t="shared" si="4"/>
        <v>0</v>
      </c>
      <c r="BK14" s="67">
        <f t="shared" si="4"/>
        <v>0</v>
      </c>
      <c r="BL14" s="67">
        <f t="shared" si="4"/>
        <v>0</v>
      </c>
      <c r="BM14" s="67">
        <f t="shared" si="4"/>
        <v>0</v>
      </c>
      <c r="BN14" s="67">
        <f t="shared" si="4"/>
        <v>0</v>
      </c>
      <c r="BO14" s="67">
        <f t="shared" si="4"/>
        <v>0</v>
      </c>
      <c r="BP14" s="72">
        <f t="shared" ref="BP14:BP27" si="6">SUM(AK14:BO14)</f>
        <v>2575.2508361204013</v>
      </c>
    </row>
    <row r="15" spans="1:68" ht="20.100000000000001" customHeight="1" x14ac:dyDescent="0.25">
      <c r="A15" s="66" t="s">
        <v>242</v>
      </c>
      <c r="B15" s="67">
        <v>304.8</v>
      </c>
      <c r="C15" s="67">
        <v>468.8</v>
      </c>
      <c r="D15" s="67">
        <v>1173.5999999999999</v>
      </c>
      <c r="E15" s="67">
        <v>152.4</v>
      </c>
      <c r="F15" s="67">
        <v>1088.8</v>
      </c>
      <c r="G15" s="67">
        <v>92.4</v>
      </c>
      <c r="H15" s="67">
        <v>1004.4</v>
      </c>
      <c r="I15" s="67">
        <v>1359</v>
      </c>
      <c r="J15" s="67">
        <v>1146.5999999999999</v>
      </c>
      <c r="K15" s="67"/>
      <c r="L15" s="67"/>
      <c r="M15" s="67">
        <v>120</v>
      </c>
      <c r="N15" s="67">
        <v>452.4</v>
      </c>
      <c r="O15" s="67">
        <v>559.4</v>
      </c>
      <c r="P15" s="67">
        <v>422.4</v>
      </c>
      <c r="Q15" s="67">
        <v>482.4</v>
      </c>
      <c r="R15" s="67">
        <v>300</v>
      </c>
      <c r="S15" s="67"/>
      <c r="T15" s="67"/>
      <c r="U15" s="67"/>
      <c r="V15" s="67">
        <v>180</v>
      </c>
      <c r="W15" s="67">
        <v>376.4</v>
      </c>
      <c r="X15" s="67">
        <v>620.79999999999995</v>
      </c>
      <c r="Y15" s="67">
        <v>152.4</v>
      </c>
      <c r="Z15" s="67"/>
      <c r="AA15" s="67"/>
      <c r="AB15" s="67">
        <v>369.6</v>
      </c>
      <c r="AC15" s="67">
        <v>120</v>
      </c>
      <c r="AD15" s="67">
        <v>549.6</v>
      </c>
      <c r="AE15" s="67">
        <v>180</v>
      </c>
      <c r="AF15" s="67">
        <v>572.4</v>
      </c>
      <c r="AG15" s="68">
        <f t="shared" si="5"/>
        <v>12248.599999999997</v>
      </c>
      <c r="AH15" s="77"/>
      <c r="AI15" s="70"/>
      <c r="AJ15" s="71" t="str">
        <f t="shared" si="2"/>
        <v>Green  fee Hôtel</v>
      </c>
      <c r="AK15" s="67">
        <f t="shared" si="3"/>
        <v>254.84949832775922</v>
      </c>
      <c r="AL15" s="67">
        <f t="shared" si="3"/>
        <v>391.97324414715723</v>
      </c>
      <c r="AM15" s="67">
        <f t="shared" si="3"/>
        <v>981.27090301003341</v>
      </c>
      <c r="AN15" s="67">
        <f t="shared" si="3"/>
        <v>127.42474916387961</v>
      </c>
      <c r="AO15" s="67">
        <f t="shared" si="3"/>
        <v>910.36789297658868</v>
      </c>
      <c r="AP15" s="67">
        <f t="shared" si="3"/>
        <v>77.257525083612052</v>
      </c>
      <c r="AQ15" s="67">
        <f t="shared" si="3"/>
        <v>839.79933110367892</v>
      </c>
      <c r="AR15" s="67">
        <f t="shared" si="3"/>
        <v>1136.2876254180603</v>
      </c>
      <c r="AS15" s="67">
        <f t="shared" si="3"/>
        <v>958.695652173913</v>
      </c>
      <c r="AT15" s="67">
        <f t="shared" si="3"/>
        <v>0</v>
      </c>
      <c r="AU15" s="67">
        <f t="shared" si="3"/>
        <v>0</v>
      </c>
      <c r="AV15" s="67">
        <f t="shared" si="3"/>
        <v>100.33444816053512</v>
      </c>
      <c r="AW15" s="67">
        <f t="shared" si="3"/>
        <v>378.26086956521738</v>
      </c>
      <c r="AX15" s="67">
        <f t="shared" si="3"/>
        <v>467.72575250836121</v>
      </c>
      <c r="AY15" s="67">
        <f t="shared" si="3"/>
        <v>353.17725752508363</v>
      </c>
      <c r="AZ15" s="67">
        <f t="shared" si="3"/>
        <v>403.34448160535118</v>
      </c>
      <c r="BA15" s="67">
        <f t="shared" si="4"/>
        <v>250.83612040133781</v>
      </c>
      <c r="BB15" s="67">
        <f t="shared" si="4"/>
        <v>0</v>
      </c>
      <c r="BC15" s="67">
        <f t="shared" si="4"/>
        <v>0</v>
      </c>
      <c r="BD15" s="67">
        <f t="shared" si="4"/>
        <v>0</v>
      </c>
      <c r="BE15" s="67">
        <f t="shared" si="4"/>
        <v>150.50167224080269</v>
      </c>
      <c r="BF15" s="67">
        <f t="shared" si="4"/>
        <v>314.71571906354512</v>
      </c>
      <c r="BG15" s="67">
        <f t="shared" si="4"/>
        <v>519.06354515050168</v>
      </c>
      <c r="BH15" s="67">
        <f t="shared" si="4"/>
        <v>127.42474916387961</v>
      </c>
      <c r="BI15" s="67">
        <f t="shared" si="4"/>
        <v>0</v>
      </c>
      <c r="BJ15" s="67">
        <f t="shared" si="4"/>
        <v>0</v>
      </c>
      <c r="BK15" s="67">
        <f t="shared" si="4"/>
        <v>309.03010033444821</v>
      </c>
      <c r="BL15" s="67">
        <f t="shared" si="4"/>
        <v>100.33444816053512</v>
      </c>
      <c r="BM15" s="67">
        <f t="shared" si="4"/>
        <v>459.5317725752509</v>
      </c>
      <c r="BN15" s="67">
        <f t="shared" si="4"/>
        <v>150.50167224080269</v>
      </c>
      <c r="BO15" s="67">
        <f t="shared" si="4"/>
        <v>478.59531772575252</v>
      </c>
      <c r="BP15" s="72">
        <f t="shared" si="6"/>
        <v>10241.304347826086</v>
      </c>
    </row>
    <row r="16" spans="1:68" ht="20.100000000000001" customHeight="1" x14ac:dyDescent="0.25">
      <c r="A16" s="66" t="s">
        <v>243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8"/>
      <c r="AH16" s="77"/>
      <c r="AI16" s="70"/>
      <c r="AJ16" s="71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72"/>
    </row>
    <row r="17" spans="1:68" s="50" customFormat="1" ht="20.100000000000001" customHeight="1" x14ac:dyDescent="0.25">
      <c r="A17" s="66" t="s">
        <v>244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>
        <v>114</v>
      </c>
      <c r="O17" s="67"/>
      <c r="P17" s="67"/>
      <c r="Q17" s="67"/>
      <c r="R17" s="67"/>
      <c r="S17" s="67">
        <v>114</v>
      </c>
      <c r="T17" s="67"/>
      <c r="U17" s="67">
        <v>114</v>
      </c>
      <c r="V17" s="67"/>
      <c r="W17" s="67">
        <v>57</v>
      </c>
      <c r="X17" s="67"/>
      <c r="Y17" s="67">
        <v>228</v>
      </c>
      <c r="Z17" s="67"/>
      <c r="AA17" s="67"/>
      <c r="AB17" s="67">
        <v>114</v>
      </c>
      <c r="AC17" s="67"/>
      <c r="AD17" s="67"/>
      <c r="AE17" s="67"/>
      <c r="AF17" s="67"/>
      <c r="AG17" s="68">
        <f t="shared" si="5"/>
        <v>741</v>
      </c>
      <c r="AH17" s="77"/>
      <c r="AI17" s="70"/>
      <c r="AJ17" s="71" t="str">
        <f t="shared" si="2"/>
        <v>18 trous Journée spa</v>
      </c>
      <c r="AK17" s="67">
        <f t="shared" si="3"/>
        <v>0</v>
      </c>
      <c r="AL17" s="67">
        <f t="shared" si="3"/>
        <v>0</v>
      </c>
      <c r="AM17" s="67">
        <f t="shared" si="3"/>
        <v>0</v>
      </c>
      <c r="AN17" s="67">
        <f t="shared" si="3"/>
        <v>0</v>
      </c>
      <c r="AO17" s="67">
        <f t="shared" si="3"/>
        <v>0</v>
      </c>
      <c r="AP17" s="67">
        <f t="shared" si="3"/>
        <v>0</v>
      </c>
      <c r="AQ17" s="67">
        <f t="shared" si="3"/>
        <v>0</v>
      </c>
      <c r="AR17" s="67">
        <f t="shared" si="3"/>
        <v>0</v>
      </c>
      <c r="AS17" s="67">
        <f t="shared" si="3"/>
        <v>0</v>
      </c>
      <c r="AT17" s="67">
        <f t="shared" si="3"/>
        <v>0</v>
      </c>
      <c r="AU17" s="67">
        <f t="shared" si="3"/>
        <v>0</v>
      </c>
      <c r="AV17" s="67">
        <f t="shared" si="3"/>
        <v>0</v>
      </c>
      <c r="AW17" s="67">
        <f t="shared" si="3"/>
        <v>95.317725752508366</v>
      </c>
      <c r="AX17" s="67">
        <f t="shared" si="3"/>
        <v>0</v>
      </c>
      <c r="AY17" s="67">
        <f t="shared" si="3"/>
        <v>0</v>
      </c>
      <c r="AZ17" s="67">
        <f t="shared" si="3"/>
        <v>0</v>
      </c>
      <c r="BA17" s="67">
        <f t="shared" si="4"/>
        <v>0</v>
      </c>
      <c r="BB17" s="67">
        <f t="shared" si="4"/>
        <v>95.317725752508366</v>
      </c>
      <c r="BC17" s="67">
        <f t="shared" si="4"/>
        <v>0</v>
      </c>
      <c r="BD17" s="67">
        <f t="shared" si="4"/>
        <v>95.317725752508366</v>
      </c>
      <c r="BE17" s="67">
        <f t="shared" si="4"/>
        <v>0</v>
      </c>
      <c r="BF17" s="67">
        <f t="shared" si="4"/>
        <v>47.658862876254183</v>
      </c>
      <c r="BG17" s="67">
        <f t="shared" si="4"/>
        <v>0</v>
      </c>
      <c r="BH17" s="67">
        <f t="shared" si="4"/>
        <v>190.63545150501673</v>
      </c>
      <c r="BI17" s="67">
        <f t="shared" si="4"/>
        <v>0</v>
      </c>
      <c r="BJ17" s="67">
        <f t="shared" si="4"/>
        <v>0</v>
      </c>
      <c r="BK17" s="67">
        <f t="shared" si="4"/>
        <v>95.317725752508366</v>
      </c>
      <c r="BL17" s="67">
        <f t="shared" si="4"/>
        <v>0</v>
      </c>
      <c r="BM17" s="67">
        <f t="shared" si="4"/>
        <v>0</v>
      </c>
      <c r="BN17" s="67">
        <f t="shared" si="4"/>
        <v>0</v>
      </c>
      <c r="BO17" s="67">
        <f t="shared" si="4"/>
        <v>0</v>
      </c>
      <c r="BP17" s="72">
        <f t="shared" si="6"/>
        <v>619.56521739130449</v>
      </c>
    </row>
    <row r="18" spans="1:68" s="50" customFormat="1" ht="20.100000000000001" customHeight="1" x14ac:dyDescent="0.25">
      <c r="A18" s="66" t="s">
        <v>245</v>
      </c>
      <c r="B18" s="67"/>
      <c r="C18" s="67"/>
      <c r="D18" s="67"/>
      <c r="E18" s="67"/>
      <c r="F18" s="67"/>
      <c r="G18" s="67"/>
      <c r="H18" s="67"/>
      <c r="I18" s="67"/>
      <c r="J18" s="67">
        <v>104</v>
      </c>
      <c r="K18" s="67">
        <v>104</v>
      </c>
      <c r="L18" s="67"/>
      <c r="M18" s="67"/>
      <c r="N18" s="67">
        <v>208</v>
      </c>
      <c r="O18" s="67">
        <v>1144</v>
      </c>
      <c r="P18" s="67">
        <v>1352</v>
      </c>
      <c r="Q18" s="67"/>
      <c r="R18" s="67">
        <v>208</v>
      </c>
      <c r="S18" s="67">
        <v>104</v>
      </c>
      <c r="T18" s="67">
        <v>104</v>
      </c>
      <c r="U18" s="67"/>
      <c r="V18" s="67">
        <v>104</v>
      </c>
      <c r="W18" s="67">
        <v>312</v>
      </c>
      <c r="X18" s="67">
        <v>312</v>
      </c>
      <c r="Y18" s="67"/>
      <c r="Z18" s="67"/>
      <c r="AA18" s="67"/>
      <c r="AB18" s="67">
        <v>104</v>
      </c>
      <c r="AC18" s="67">
        <v>104</v>
      </c>
      <c r="AD18" s="67"/>
      <c r="AE18" s="67">
        <v>208</v>
      </c>
      <c r="AF18" s="67">
        <v>104</v>
      </c>
      <c r="AG18" s="68">
        <f t="shared" si="5"/>
        <v>4576</v>
      </c>
      <c r="AH18" s="77"/>
      <c r="AI18" s="70"/>
      <c r="AJ18" s="71" t="str">
        <f t="shared" si="2"/>
        <v>18 trous Resort</v>
      </c>
      <c r="AK18" s="67">
        <f t="shared" si="3"/>
        <v>0</v>
      </c>
      <c r="AL18" s="67">
        <f t="shared" si="3"/>
        <v>0</v>
      </c>
      <c r="AM18" s="67">
        <f t="shared" si="3"/>
        <v>0</v>
      </c>
      <c r="AN18" s="67">
        <f t="shared" si="3"/>
        <v>0</v>
      </c>
      <c r="AO18" s="67">
        <f t="shared" si="3"/>
        <v>0</v>
      </c>
      <c r="AP18" s="67">
        <f t="shared" si="3"/>
        <v>0</v>
      </c>
      <c r="AQ18" s="67">
        <f t="shared" si="3"/>
        <v>0</v>
      </c>
      <c r="AR18" s="67">
        <f t="shared" si="3"/>
        <v>0</v>
      </c>
      <c r="AS18" s="67">
        <f t="shared" si="3"/>
        <v>86.956521739130437</v>
      </c>
      <c r="AT18" s="67">
        <f t="shared" si="3"/>
        <v>86.956521739130437</v>
      </c>
      <c r="AU18" s="67">
        <f t="shared" si="3"/>
        <v>0</v>
      </c>
      <c r="AV18" s="67">
        <f t="shared" si="3"/>
        <v>0</v>
      </c>
      <c r="AW18" s="67">
        <f t="shared" si="3"/>
        <v>173.91304347826087</v>
      </c>
      <c r="AX18" s="67">
        <f t="shared" si="3"/>
        <v>956.52173913043487</v>
      </c>
      <c r="AY18" s="67">
        <f t="shared" si="3"/>
        <v>1130.4347826086957</v>
      </c>
      <c r="AZ18" s="67">
        <f t="shared" si="3"/>
        <v>0</v>
      </c>
      <c r="BA18" s="67">
        <f t="shared" si="4"/>
        <v>173.91304347826087</v>
      </c>
      <c r="BB18" s="67">
        <f t="shared" si="4"/>
        <v>86.956521739130437</v>
      </c>
      <c r="BC18" s="67">
        <f t="shared" si="4"/>
        <v>86.956521739130437</v>
      </c>
      <c r="BD18" s="67">
        <f t="shared" si="4"/>
        <v>0</v>
      </c>
      <c r="BE18" s="67">
        <f t="shared" si="4"/>
        <v>86.956521739130437</v>
      </c>
      <c r="BF18" s="67">
        <f t="shared" si="4"/>
        <v>260.86956521739131</v>
      </c>
      <c r="BG18" s="67">
        <f t="shared" si="4"/>
        <v>260.86956521739131</v>
      </c>
      <c r="BH18" s="67">
        <f t="shared" si="4"/>
        <v>0</v>
      </c>
      <c r="BI18" s="67">
        <f t="shared" si="4"/>
        <v>0</v>
      </c>
      <c r="BJ18" s="67">
        <f t="shared" si="4"/>
        <v>0</v>
      </c>
      <c r="BK18" s="67">
        <f t="shared" si="4"/>
        <v>86.956521739130437</v>
      </c>
      <c r="BL18" s="67">
        <f t="shared" si="4"/>
        <v>86.956521739130437</v>
      </c>
      <c r="BM18" s="67">
        <f t="shared" si="4"/>
        <v>0</v>
      </c>
      <c r="BN18" s="67">
        <f t="shared" si="4"/>
        <v>173.91304347826087</v>
      </c>
      <c r="BO18" s="67">
        <f t="shared" si="4"/>
        <v>86.956521739130437</v>
      </c>
      <c r="BP18" s="72">
        <f t="shared" si="6"/>
        <v>3826.0869565217399</v>
      </c>
    </row>
    <row r="19" spans="1:68" s="50" customFormat="1" ht="20.100000000000001" customHeight="1" x14ac:dyDescent="0.25">
      <c r="A19" s="66" t="s">
        <v>246</v>
      </c>
      <c r="B19" s="67">
        <v>132</v>
      </c>
      <c r="C19" s="67">
        <v>88</v>
      </c>
      <c r="D19" s="67">
        <v>264</v>
      </c>
      <c r="E19" s="67"/>
      <c r="F19" s="67"/>
      <c r="G19" s="67"/>
      <c r="H19" s="67">
        <v>924</v>
      </c>
      <c r="I19" s="67">
        <v>176</v>
      </c>
      <c r="J19" s="67">
        <v>396</v>
      </c>
      <c r="K19" s="67"/>
      <c r="L19" s="67">
        <v>572</v>
      </c>
      <c r="M19" s="67"/>
      <c r="N19" s="67">
        <v>352</v>
      </c>
      <c r="O19" s="67">
        <v>132</v>
      </c>
      <c r="P19" s="67">
        <v>220</v>
      </c>
      <c r="Q19" s="67">
        <v>132</v>
      </c>
      <c r="R19" s="67"/>
      <c r="S19" s="67"/>
      <c r="T19" s="67"/>
      <c r="U19" s="67">
        <f>72+88</f>
        <v>160</v>
      </c>
      <c r="V19" s="67">
        <v>440</v>
      </c>
      <c r="W19" s="67">
        <v>98</v>
      </c>
      <c r="X19" s="67"/>
      <c r="Y19" s="67">
        <v>72</v>
      </c>
      <c r="Z19" s="67"/>
      <c r="AA19" s="67">
        <v>220</v>
      </c>
      <c r="AB19" s="67">
        <f>72+98</f>
        <v>170</v>
      </c>
      <c r="AC19" s="67">
        <f>200+176</f>
        <v>376</v>
      </c>
      <c r="AD19" s="67">
        <v>88</v>
      </c>
      <c r="AE19" s="67"/>
      <c r="AF19" s="67">
        <v>144</v>
      </c>
      <c r="AG19" s="68">
        <f t="shared" si="5"/>
        <v>5156</v>
      </c>
      <c r="AH19" s="77"/>
      <c r="AI19" s="70"/>
      <c r="AJ19" s="71" t="str">
        <f t="shared" si="2"/>
        <v>18 trous Offre spé</v>
      </c>
      <c r="AK19" s="67">
        <f t="shared" si="3"/>
        <v>110.36789297658864</v>
      </c>
      <c r="AL19" s="67">
        <f t="shared" si="3"/>
        <v>73.578595317725757</v>
      </c>
      <c r="AM19" s="67">
        <f t="shared" si="3"/>
        <v>220.73578595317727</v>
      </c>
      <c r="AN19" s="67">
        <f t="shared" si="3"/>
        <v>0</v>
      </c>
      <c r="AO19" s="67">
        <f t="shared" si="3"/>
        <v>0</v>
      </c>
      <c r="AP19" s="67">
        <f t="shared" si="3"/>
        <v>0</v>
      </c>
      <c r="AQ19" s="67">
        <f t="shared" si="3"/>
        <v>772.5752508361204</v>
      </c>
      <c r="AR19" s="67">
        <f t="shared" si="3"/>
        <v>147.15719063545151</v>
      </c>
      <c r="AS19" s="67">
        <f t="shared" si="3"/>
        <v>331.10367892976592</v>
      </c>
      <c r="AT19" s="67">
        <f t="shared" si="3"/>
        <v>0</v>
      </c>
      <c r="AU19" s="67">
        <f t="shared" si="3"/>
        <v>478.26086956521743</v>
      </c>
      <c r="AV19" s="67">
        <f t="shared" si="3"/>
        <v>0</v>
      </c>
      <c r="AW19" s="67">
        <f t="shared" si="3"/>
        <v>294.31438127090303</v>
      </c>
      <c r="AX19" s="67">
        <f t="shared" si="3"/>
        <v>110.36789297658864</v>
      </c>
      <c r="AY19" s="67">
        <f t="shared" si="3"/>
        <v>183.94648829431438</v>
      </c>
      <c r="AZ19" s="67">
        <f t="shared" si="3"/>
        <v>110.36789297658864</v>
      </c>
      <c r="BA19" s="67">
        <f t="shared" si="4"/>
        <v>0</v>
      </c>
      <c r="BB19" s="67">
        <f t="shared" si="4"/>
        <v>0</v>
      </c>
      <c r="BC19" s="67">
        <f t="shared" si="4"/>
        <v>0</v>
      </c>
      <c r="BD19" s="67">
        <f t="shared" si="4"/>
        <v>133.77926421404683</v>
      </c>
      <c r="BE19" s="67">
        <f t="shared" si="4"/>
        <v>367.89297658862876</v>
      </c>
      <c r="BF19" s="67">
        <f t="shared" si="4"/>
        <v>81.939799331103686</v>
      </c>
      <c r="BG19" s="67">
        <f t="shared" si="4"/>
        <v>0</v>
      </c>
      <c r="BH19" s="67">
        <f t="shared" si="4"/>
        <v>60.200668896321069</v>
      </c>
      <c r="BI19" s="67">
        <f t="shared" si="4"/>
        <v>0</v>
      </c>
      <c r="BJ19" s="67">
        <f t="shared" si="4"/>
        <v>183.94648829431438</v>
      </c>
      <c r="BK19" s="67">
        <f t="shared" si="4"/>
        <v>142.14046822742475</v>
      </c>
      <c r="BL19" s="67">
        <f t="shared" si="4"/>
        <v>314.38127090301003</v>
      </c>
      <c r="BM19" s="67">
        <f t="shared" si="4"/>
        <v>73.578595317725757</v>
      </c>
      <c r="BN19" s="67">
        <f t="shared" si="4"/>
        <v>0</v>
      </c>
      <c r="BO19" s="67">
        <f t="shared" si="4"/>
        <v>120.40133779264214</v>
      </c>
      <c r="BP19" s="72">
        <f t="shared" si="6"/>
        <v>4311.0367892976592</v>
      </c>
    </row>
    <row r="20" spans="1:68" s="50" customFormat="1" ht="20.100000000000001" customHeight="1" x14ac:dyDescent="0.25">
      <c r="A20" s="66" t="s">
        <v>247</v>
      </c>
      <c r="B20" s="67">
        <v>114</v>
      </c>
      <c r="C20" s="67">
        <v>228</v>
      </c>
      <c r="D20" s="67"/>
      <c r="E20" s="67"/>
      <c r="F20" s="67"/>
      <c r="G20" s="67"/>
      <c r="H20" s="67"/>
      <c r="I20" s="67"/>
      <c r="J20" s="67"/>
      <c r="K20" s="67">
        <v>114</v>
      </c>
      <c r="L20" s="67">
        <v>684</v>
      </c>
      <c r="M20" s="67">
        <v>114</v>
      </c>
      <c r="N20" s="67">
        <v>114</v>
      </c>
      <c r="O20" s="67">
        <v>570</v>
      </c>
      <c r="P20" s="67"/>
      <c r="Q20" s="67">
        <v>114</v>
      </c>
      <c r="R20" s="67"/>
      <c r="S20" s="67"/>
      <c r="T20" s="67"/>
      <c r="U20" s="67">
        <v>171</v>
      </c>
      <c r="V20" s="67">
        <v>57</v>
      </c>
      <c r="W20" s="67"/>
      <c r="X20" s="67"/>
      <c r="Y20" s="67"/>
      <c r="Z20" s="67"/>
      <c r="AA20" s="67"/>
      <c r="AB20" s="67">
        <f>114+57</f>
        <v>171</v>
      </c>
      <c r="AC20" s="67"/>
      <c r="AD20" s="67"/>
      <c r="AE20" s="67"/>
      <c r="AF20" s="67"/>
      <c r="AG20" s="68">
        <f t="shared" si="5"/>
        <v>2451</v>
      </c>
      <c r="AH20" s="77"/>
      <c r="AI20" s="70"/>
      <c r="AJ20" s="71" t="str">
        <f t="shared" si="2"/>
        <v>18 trous Journée lunch</v>
      </c>
      <c r="AK20" s="67">
        <f t="shared" si="3"/>
        <v>95.317725752508366</v>
      </c>
      <c r="AL20" s="67">
        <f t="shared" si="3"/>
        <v>190.63545150501673</v>
      </c>
      <c r="AM20" s="67">
        <f t="shared" si="3"/>
        <v>0</v>
      </c>
      <c r="AN20" s="67">
        <f t="shared" si="3"/>
        <v>0</v>
      </c>
      <c r="AO20" s="67">
        <f t="shared" si="3"/>
        <v>0</v>
      </c>
      <c r="AP20" s="67">
        <f t="shared" si="3"/>
        <v>0</v>
      </c>
      <c r="AQ20" s="67">
        <f t="shared" si="3"/>
        <v>0</v>
      </c>
      <c r="AR20" s="67">
        <f t="shared" si="3"/>
        <v>0</v>
      </c>
      <c r="AS20" s="67">
        <f t="shared" si="3"/>
        <v>0</v>
      </c>
      <c r="AT20" s="67">
        <f t="shared" si="3"/>
        <v>95.317725752508366</v>
      </c>
      <c r="AU20" s="67">
        <f t="shared" si="3"/>
        <v>571.90635451505023</v>
      </c>
      <c r="AV20" s="67">
        <f t="shared" si="3"/>
        <v>95.317725752508366</v>
      </c>
      <c r="AW20" s="67">
        <f t="shared" si="3"/>
        <v>95.317725752508366</v>
      </c>
      <c r="AX20" s="67">
        <f t="shared" si="3"/>
        <v>476.58862876254182</v>
      </c>
      <c r="AY20" s="67">
        <f t="shared" si="3"/>
        <v>0</v>
      </c>
      <c r="AZ20" s="67">
        <f t="shared" si="3"/>
        <v>95.317725752508366</v>
      </c>
      <c r="BA20" s="67">
        <f t="shared" si="4"/>
        <v>0</v>
      </c>
      <c r="BB20" s="67">
        <f t="shared" si="4"/>
        <v>0</v>
      </c>
      <c r="BC20" s="67">
        <f t="shared" si="4"/>
        <v>0</v>
      </c>
      <c r="BD20" s="67">
        <f t="shared" si="4"/>
        <v>142.97658862876256</v>
      </c>
      <c r="BE20" s="67">
        <f t="shared" si="4"/>
        <v>47.658862876254183</v>
      </c>
      <c r="BF20" s="67">
        <f t="shared" si="4"/>
        <v>0</v>
      </c>
      <c r="BG20" s="67">
        <f t="shared" si="4"/>
        <v>0</v>
      </c>
      <c r="BH20" s="67">
        <f t="shared" si="4"/>
        <v>0</v>
      </c>
      <c r="BI20" s="67">
        <f t="shared" si="4"/>
        <v>0</v>
      </c>
      <c r="BJ20" s="67">
        <f t="shared" si="4"/>
        <v>0</v>
      </c>
      <c r="BK20" s="67">
        <f t="shared" si="4"/>
        <v>142.97658862876256</v>
      </c>
      <c r="BL20" s="67">
        <f t="shared" si="4"/>
        <v>0</v>
      </c>
      <c r="BM20" s="67">
        <f t="shared" si="4"/>
        <v>0</v>
      </c>
      <c r="BN20" s="67">
        <f t="shared" si="4"/>
        <v>0</v>
      </c>
      <c r="BO20" s="67">
        <f t="shared" si="4"/>
        <v>0</v>
      </c>
      <c r="BP20" s="72">
        <f t="shared" si="6"/>
        <v>2049.33110367893</v>
      </c>
    </row>
    <row r="21" spans="1:68" s="50" customFormat="1" ht="20.100000000000001" customHeight="1" x14ac:dyDescent="0.25">
      <c r="A21" s="66" t="s">
        <v>248</v>
      </c>
      <c r="B21" s="67">
        <v>329</v>
      </c>
      <c r="C21" s="67">
        <v>188</v>
      </c>
      <c r="D21" s="67"/>
      <c r="E21" s="67"/>
      <c r="F21" s="67">
        <v>188</v>
      </c>
      <c r="G21" s="67"/>
      <c r="H21" s="67">
        <v>94</v>
      </c>
      <c r="I21" s="67"/>
      <c r="J21" s="67">
        <v>23.5</v>
      </c>
      <c r="K21" s="67"/>
      <c r="L21" s="67">
        <v>141</v>
      </c>
      <c r="M21" s="67">
        <v>23.5</v>
      </c>
      <c r="N21" s="67">
        <v>141</v>
      </c>
      <c r="O21" s="67">
        <v>282</v>
      </c>
      <c r="P21" s="67">
        <v>70.5</v>
      </c>
      <c r="Q21" s="67">
        <v>164.5</v>
      </c>
      <c r="R21" s="67">
        <v>47</v>
      </c>
      <c r="S21" s="67">
        <v>84.6</v>
      </c>
      <c r="T21" s="67">
        <v>47</v>
      </c>
      <c r="U21" s="67">
        <f>94+94</f>
        <v>188</v>
      </c>
      <c r="V21" s="67">
        <f>94+188</f>
        <v>282</v>
      </c>
      <c r="W21" s="67">
        <v>47</v>
      </c>
      <c r="X21" s="67">
        <v>329</v>
      </c>
      <c r="Y21" s="67"/>
      <c r="Z21" s="67"/>
      <c r="AA21" s="67"/>
      <c r="AB21" s="67"/>
      <c r="AC21" s="67"/>
      <c r="AD21" s="67"/>
      <c r="AE21" s="67"/>
      <c r="AF21" s="67">
        <v>376</v>
      </c>
      <c r="AG21" s="68">
        <f t="shared" si="5"/>
        <v>3045.6</v>
      </c>
      <c r="AH21" s="77"/>
      <c r="AI21" s="70"/>
      <c r="AJ21" s="71" t="str">
        <f t="shared" si="2"/>
        <v>9 trous fin de journée</v>
      </c>
      <c r="AK21" s="67">
        <f t="shared" si="3"/>
        <v>275.0836120401338</v>
      </c>
      <c r="AL21" s="67">
        <f t="shared" si="3"/>
        <v>157.19063545150502</v>
      </c>
      <c r="AM21" s="67">
        <f t="shared" si="3"/>
        <v>0</v>
      </c>
      <c r="AN21" s="67">
        <f t="shared" si="3"/>
        <v>0</v>
      </c>
      <c r="AO21" s="67">
        <f t="shared" si="3"/>
        <v>157.19063545150502</v>
      </c>
      <c r="AP21" s="67">
        <f t="shared" si="3"/>
        <v>0</v>
      </c>
      <c r="AQ21" s="67">
        <f t="shared" si="3"/>
        <v>78.595317725752508</v>
      </c>
      <c r="AR21" s="67">
        <f t="shared" si="3"/>
        <v>0</v>
      </c>
      <c r="AS21" s="67">
        <f t="shared" si="3"/>
        <v>19.648829431438127</v>
      </c>
      <c r="AT21" s="67">
        <f t="shared" si="3"/>
        <v>0</v>
      </c>
      <c r="AU21" s="67">
        <f t="shared" si="3"/>
        <v>117.89297658862877</v>
      </c>
      <c r="AV21" s="67">
        <f t="shared" si="3"/>
        <v>19.648829431438127</v>
      </c>
      <c r="AW21" s="67">
        <f t="shared" si="3"/>
        <v>117.89297658862877</v>
      </c>
      <c r="AX21" s="67">
        <f t="shared" si="3"/>
        <v>235.78595317725754</v>
      </c>
      <c r="AY21" s="67">
        <f t="shared" si="3"/>
        <v>58.946488294314385</v>
      </c>
      <c r="AZ21" s="67">
        <f t="shared" si="3"/>
        <v>137.5418060200669</v>
      </c>
      <c r="BA21" s="67">
        <f t="shared" si="4"/>
        <v>39.297658862876254</v>
      </c>
      <c r="BB21" s="67">
        <f t="shared" si="4"/>
        <v>70.735785953177256</v>
      </c>
      <c r="BC21" s="67">
        <f t="shared" si="4"/>
        <v>39.297658862876254</v>
      </c>
      <c r="BD21" s="67">
        <f t="shared" si="4"/>
        <v>157.19063545150502</v>
      </c>
      <c r="BE21" s="67">
        <f t="shared" si="4"/>
        <v>235.78595317725754</v>
      </c>
      <c r="BF21" s="67">
        <f t="shared" si="4"/>
        <v>39.297658862876254</v>
      </c>
      <c r="BG21" s="67">
        <f t="shared" si="4"/>
        <v>275.0836120401338</v>
      </c>
      <c r="BH21" s="67">
        <f t="shared" si="4"/>
        <v>0</v>
      </c>
      <c r="BI21" s="67">
        <f t="shared" si="4"/>
        <v>0</v>
      </c>
      <c r="BJ21" s="67">
        <f t="shared" si="4"/>
        <v>0</v>
      </c>
      <c r="BK21" s="67">
        <f t="shared" si="4"/>
        <v>0</v>
      </c>
      <c r="BL21" s="67">
        <f t="shared" si="4"/>
        <v>0</v>
      </c>
      <c r="BM21" s="67">
        <f t="shared" si="4"/>
        <v>0</v>
      </c>
      <c r="BN21" s="67">
        <f t="shared" si="4"/>
        <v>0</v>
      </c>
      <c r="BO21" s="67">
        <f t="shared" si="4"/>
        <v>314.38127090301003</v>
      </c>
      <c r="BP21" s="72">
        <f t="shared" si="6"/>
        <v>2546.4882943143812</v>
      </c>
    </row>
    <row r="22" spans="1:68" s="50" customFormat="1" ht="20.100000000000001" customHeight="1" x14ac:dyDescent="0.25">
      <c r="A22" s="66" t="s">
        <v>249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>
        <v>94</v>
      </c>
      <c r="X22" s="67"/>
      <c r="Y22" s="67">
        <v>94</v>
      </c>
      <c r="Z22" s="67">
        <v>47</v>
      </c>
      <c r="AA22" s="67">
        <v>282</v>
      </c>
      <c r="AB22" s="67"/>
      <c r="AC22" s="67"/>
      <c r="AD22" s="67">
        <v>211.5</v>
      </c>
      <c r="AE22" s="67"/>
      <c r="AF22" s="67"/>
      <c r="AG22" s="68">
        <f t="shared" si="5"/>
        <v>728.5</v>
      </c>
      <c r="AH22" s="77"/>
      <c r="AI22" s="70"/>
      <c r="AJ22" s="71" t="str">
        <f t="shared" si="2"/>
        <v xml:space="preserve">9 Trous </v>
      </c>
      <c r="AK22" s="67">
        <f t="shared" si="3"/>
        <v>0</v>
      </c>
      <c r="AL22" s="67">
        <f t="shared" si="3"/>
        <v>0</v>
      </c>
      <c r="AM22" s="67">
        <f t="shared" si="3"/>
        <v>0</v>
      </c>
      <c r="AN22" s="67">
        <f t="shared" si="3"/>
        <v>0</v>
      </c>
      <c r="AO22" s="67">
        <f t="shared" si="3"/>
        <v>0</v>
      </c>
      <c r="AP22" s="67">
        <f t="shared" si="3"/>
        <v>0</v>
      </c>
      <c r="AQ22" s="67">
        <f t="shared" si="3"/>
        <v>0</v>
      </c>
      <c r="AR22" s="67">
        <f t="shared" si="3"/>
        <v>0</v>
      </c>
      <c r="AS22" s="67">
        <f t="shared" si="3"/>
        <v>0</v>
      </c>
      <c r="AT22" s="67">
        <f t="shared" si="3"/>
        <v>0</v>
      </c>
      <c r="AU22" s="67">
        <f t="shared" si="3"/>
        <v>0</v>
      </c>
      <c r="AV22" s="67">
        <f t="shared" si="3"/>
        <v>0</v>
      </c>
      <c r="AW22" s="67">
        <f t="shared" si="3"/>
        <v>0</v>
      </c>
      <c r="AX22" s="67">
        <f t="shared" si="3"/>
        <v>0</v>
      </c>
      <c r="AY22" s="67">
        <f t="shared" si="3"/>
        <v>0</v>
      </c>
      <c r="AZ22" s="67">
        <f t="shared" si="3"/>
        <v>0</v>
      </c>
      <c r="BA22" s="67">
        <f t="shared" si="4"/>
        <v>0</v>
      </c>
      <c r="BB22" s="67">
        <f t="shared" si="4"/>
        <v>0</v>
      </c>
      <c r="BC22" s="67">
        <f t="shared" si="4"/>
        <v>0</v>
      </c>
      <c r="BD22" s="67">
        <f t="shared" si="4"/>
        <v>0</v>
      </c>
      <c r="BE22" s="67">
        <f t="shared" si="4"/>
        <v>0</v>
      </c>
      <c r="BF22" s="67">
        <f t="shared" si="4"/>
        <v>78.595317725752508</v>
      </c>
      <c r="BG22" s="67">
        <f t="shared" si="4"/>
        <v>0</v>
      </c>
      <c r="BH22" s="67">
        <f t="shared" si="4"/>
        <v>78.595317725752508</v>
      </c>
      <c r="BI22" s="67">
        <f t="shared" si="4"/>
        <v>39.297658862876254</v>
      </c>
      <c r="BJ22" s="67">
        <f t="shared" si="4"/>
        <v>235.78595317725754</v>
      </c>
      <c r="BK22" s="67">
        <f t="shared" si="4"/>
        <v>0</v>
      </c>
      <c r="BL22" s="67">
        <f t="shared" si="4"/>
        <v>0</v>
      </c>
      <c r="BM22" s="67">
        <f t="shared" si="4"/>
        <v>176.83946488294316</v>
      </c>
      <c r="BN22" s="67">
        <f t="shared" si="4"/>
        <v>0</v>
      </c>
      <c r="BO22" s="67">
        <f t="shared" si="4"/>
        <v>0</v>
      </c>
      <c r="BP22" s="72">
        <f t="shared" si="6"/>
        <v>609.11371237458195</v>
      </c>
    </row>
    <row r="23" spans="1:68" s="50" customFormat="1" ht="20.100000000000001" customHeight="1" x14ac:dyDescent="0.25">
      <c r="A23" s="66" t="s">
        <v>250</v>
      </c>
      <c r="B23" s="67"/>
      <c r="C23" s="67"/>
      <c r="D23" s="67"/>
      <c r="E23" s="67"/>
      <c r="F23" s="67">
        <v>110.88</v>
      </c>
      <c r="G23" s="67"/>
      <c r="H23" s="67">
        <f>443.52+110.88</f>
        <v>554.4</v>
      </c>
      <c r="I23" s="67">
        <v>110.88</v>
      </c>
      <c r="J23" s="67"/>
      <c r="K23" s="67"/>
      <c r="L23" s="67"/>
      <c r="M23" s="67"/>
      <c r="N23" s="67">
        <v>221.76</v>
      </c>
      <c r="O23" s="67"/>
      <c r="P23" s="67">
        <v>110.88</v>
      </c>
      <c r="Q23" s="67"/>
      <c r="R23" s="67"/>
      <c r="S23" s="67"/>
      <c r="T23" s="67"/>
      <c r="U23" s="67"/>
      <c r="V23" s="67">
        <v>110.88</v>
      </c>
      <c r="W23" s="67">
        <v>665.28</v>
      </c>
      <c r="X23" s="67"/>
      <c r="Y23" s="67">
        <v>110.88</v>
      </c>
      <c r="Z23" s="67">
        <v>110.88</v>
      </c>
      <c r="AA23" s="67"/>
      <c r="AB23" s="67">
        <v>166.32</v>
      </c>
      <c r="AC23" s="67">
        <f>110.88+221.76</f>
        <v>332.64</v>
      </c>
      <c r="AD23" s="67"/>
      <c r="AE23" s="67">
        <v>277.2</v>
      </c>
      <c r="AF23" s="67">
        <f>887.04+110.88+443.52</f>
        <v>1441.44</v>
      </c>
      <c r="AG23" s="68">
        <f t="shared" si="5"/>
        <v>4324.32</v>
      </c>
      <c r="AH23" s="77"/>
      <c r="AI23" s="70"/>
      <c r="AJ23" s="71" t="str">
        <f t="shared" si="2"/>
        <v>TO</v>
      </c>
      <c r="AK23" s="67">
        <f t="shared" si="3"/>
        <v>0</v>
      </c>
      <c r="AL23" s="67">
        <f t="shared" si="3"/>
        <v>0</v>
      </c>
      <c r="AM23" s="67">
        <f t="shared" si="3"/>
        <v>0</v>
      </c>
      <c r="AN23" s="67">
        <f t="shared" si="3"/>
        <v>0</v>
      </c>
      <c r="AO23" s="67">
        <f t="shared" si="3"/>
        <v>92.709030100334445</v>
      </c>
      <c r="AP23" s="67">
        <f t="shared" si="3"/>
        <v>0</v>
      </c>
      <c r="AQ23" s="67">
        <f t="shared" si="3"/>
        <v>463.54515050167225</v>
      </c>
      <c r="AR23" s="67">
        <f t="shared" si="3"/>
        <v>92.709030100334445</v>
      </c>
      <c r="AS23" s="67">
        <f t="shared" si="3"/>
        <v>0</v>
      </c>
      <c r="AT23" s="67">
        <f t="shared" si="3"/>
        <v>0</v>
      </c>
      <c r="AU23" s="67">
        <f t="shared" si="3"/>
        <v>0</v>
      </c>
      <c r="AV23" s="67">
        <f t="shared" si="3"/>
        <v>0</v>
      </c>
      <c r="AW23" s="67">
        <f t="shared" si="3"/>
        <v>185.41806020066889</v>
      </c>
      <c r="AX23" s="67">
        <f t="shared" si="3"/>
        <v>0</v>
      </c>
      <c r="AY23" s="67">
        <f t="shared" si="3"/>
        <v>92.709030100334445</v>
      </c>
      <c r="AZ23" s="67">
        <f t="shared" si="3"/>
        <v>0</v>
      </c>
      <c r="BA23" s="67">
        <f t="shared" si="4"/>
        <v>0</v>
      </c>
      <c r="BB23" s="67">
        <f t="shared" si="4"/>
        <v>0</v>
      </c>
      <c r="BC23" s="67">
        <f t="shared" si="4"/>
        <v>0</v>
      </c>
      <c r="BD23" s="67">
        <f t="shared" si="4"/>
        <v>0</v>
      </c>
      <c r="BE23" s="67">
        <f t="shared" si="4"/>
        <v>92.709030100334445</v>
      </c>
      <c r="BF23" s="67">
        <f t="shared" si="4"/>
        <v>556.25418060200673</v>
      </c>
      <c r="BG23" s="67">
        <f t="shared" si="4"/>
        <v>0</v>
      </c>
      <c r="BH23" s="67">
        <f t="shared" si="4"/>
        <v>92.709030100334445</v>
      </c>
      <c r="BI23" s="67">
        <f t="shared" si="4"/>
        <v>92.709030100334445</v>
      </c>
      <c r="BJ23" s="67">
        <f t="shared" si="4"/>
        <v>0</v>
      </c>
      <c r="BK23" s="67">
        <f t="shared" si="4"/>
        <v>139.06354515050168</v>
      </c>
      <c r="BL23" s="67">
        <f t="shared" si="4"/>
        <v>278.12709030100336</v>
      </c>
      <c r="BM23" s="67">
        <f t="shared" si="4"/>
        <v>0</v>
      </c>
      <c r="BN23" s="67">
        <f t="shared" si="4"/>
        <v>231.77257525083613</v>
      </c>
      <c r="BO23" s="67">
        <f t="shared" si="4"/>
        <v>1205.217391304348</v>
      </c>
      <c r="BP23" s="72">
        <f t="shared" si="6"/>
        <v>3615.6521739130444</v>
      </c>
    </row>
    <row r="24" spans="1:68" s="50" customFormat="1" ht="20.100000000000001" customHeight="1" x14ac:dyDescent="0.25">
      <c r="A24" s="66" t="s">
        <v>251</v>
      </c>
      <c r="B24" s="67"/>
      <c r="C24" s="67">
        <v>60</v>
      </c>
      <c r="D24" s="67">
        <v>180</v>
      </c>
      <c r="E24" s="67">
        <v>180</v>
      </c>
      <c r="F24" s="67">
        <v>180</v>
      </c>
      <c r="G24" s="67"/>
      <c r="H24" s="67">
        <v>60</v>
      </c>
      <c r="I24" s="67">
        <v>60</v>
      </c>
      <c r="J24" s="67">
        <v>120</v>
      </c>
      <c r="K24" s="67">
        <v>180</v>
      </c>
      <c r="L24" s="67">
        <v>120</v>
      </c>
      <c r="M24" s="67">
        <v>60</v>
      </c>
      <c r="N24" s="67">
        <v>120</v>
      </c>
      <c r="O24" s="67">
        <v>180</v>
      </c>
      <c r="P24" s="67"/>
      <c r="Q24" s="67"/>
      <c r="R24" s="67"/>
      <c r="S24" s="67"/>
      <c r="T24" s="67"/>
      <c r="U24" s="67">
        <v>120</v>
      </c>
      <c r="V24" s="67">
        <v>120</v>
      </c>
      <c r="W24" s="67">
        <v>120</v>
      </c>
      <c r="X24" s="67">
        <v>240</v>
      </c>
      <c r="Y24" s="67">
        <v>120</v>
      </c>
      <c r="Z24" s="67">
        <v>240</v>
      </c>
      <c r="AA24" s="67">
        <v>94</v>
      </c>
      <c r="AB24" s="67">
        <v>180</v>
      </c>
      <c r="AC24" s="67">
        <v>240</v>
      </c>
      <c r="AD24" s="67">
        <v>60</v>
      </c>
      <c r="AE24" s="67"/>
      <c r="AF24" s="67">
        <v>120</v>
      </c>
      <c r="AG24" s="68">
        <f t="shared" si="5"/>
        <v>3154</v>
      </c>
      <c r="AH24" s="78"/>
      <c r="AI24" s="79"/>
      <c r="AJ24" s="71" t="str">
        <f t="shared" si="2"/>
        <v>OSD</v>
      </c>
      <c r="AK24" s="67">
        <f>B24/$AL$1</f>
        <v>0</v>
      </c>
      <c r="AL24" s="67">
        <f t="shared" si="3"/>
        <v>50.167224080267559</v>
      </c>
      <c r="AM24" s="67">
        <f t="shared" si="3"/>
        <v>150.50167224080269</v>
      </c>
      <c r="AN24" s="67">
        <f t="shared" si="3"/>
        <v>150.50167224080269</v>
      </c>
      <c r="AO24" s="67">
        <f t="shared" si="3"/>
        <v>150.50167224080269</v>
      </c>
      <c r="AP24" s="67">
        <f t="shared" si="3"/>
        <v>0</v>
      </c>
      <c r="AQ24" s="67">
        <f t="shared" si="3"/>
        <v>50.167224080267559</v>
      </c>
      <c r="AR24" s="67">
        <f t="shared" si="3"/>
        <v>50.167224080267559</v>
      </c>
      <c r="AS24" s="67">
        <f t="shared" si="3"/>
        <v>100.33444816053512</v>
      </c>
      <c r="AT24" s="67">
        <f t="shared" si="3"/>
        <v>150.50167224080269</v>
      </c>
      <c r="AU24" s="67">
        <f t="shared" si="3"/>
        <v>100.33444816053512</v>
      </c>
      <c r="AV24" s="67">
        <f t="shared" si="3"/>
        <v>50.167224080267559</v>
      </c>
      <c r="AW24" s="67">
        <f t="shared" si="3"/>
        <v>100.33444816053512</v>
      </c>
      <c r="AX24" s="67">
        <f t="shared" si="3"/>
        <v>150.50167224080269</v>
      </c>
      <c r="AY24" s="67">
        <f t="shared" si="3"/>
        <v>0</v>
      </c>
      <c r="AZ24" s="67">
        <f t="shared" si="3"/>
        <v>0</v>
      </c>
      <c r="BA24" s="67">
        <f t="shared" si="4"/>
        <v>0</v>
      </c>
      <c r="BB24" s="67">
        <f t="shared" si="4"/>
        <v>0</v>
      </c>
      <c r="BC24" s="67">
        <f t="shared" si="4"/>
        <v>0</v>
      </c>
      <c r="BD24" s="67">
        <f t="shared" si="4"/>
        <v>100.33444816053512</v>
      </c>
      <c r="BE24" s="67">
        <f t="shared" si="4"/>
        <v>100.33444816053512</v>
      </c>
      <c r="BF24" s="67">
        <f t="shared" si="4"/>
        <v>100.33444816053512</v>
      </c>
      <c r="BG24" s="67">
        <f t="shared" si="4"/>
        <v>200.66889632107024</v>
      </c>
      <c r="BH24" s="67">
        <f t="shared" si="4"/>
        <v>100.33444816053512</v>
      </c>
      <c r="BI24" s="67">
        <f t="shared" si="4"/>
        <v>200.66889632107024</v>
      </c>
      <c r="BJ24" s="67">
        <f t="shared" si="4"/>
        <v>78.595317725752508</v>
      </c>
      <c r="BK24" s="67">
        <f t="shared" si="4"/>
        <v>150.50167224080269</v>
      </c>
      <c r="BL24" s="67">
        <f t="shared" si="4"/>
        <v>200.66889632107024</v>
      </c>
      <c r="BM24" s="67">
        <f t="shared" si="4"/>
        <v>50.167224080267559</v>
      </c>
      <c r="BN24" s="67">
        <f t="shared" si="4"/>
        <v>0</v>
      </c>
      <c r="BO24" s="67">
        <f t="shared" si="4"/>
        <v>100.33444816053512</v>
      </c>
      <c r="BP24" s="72">
        <f t="shared" si="6"/>
        <v>2637.1237458193987</v>
      </c>
    </row>
    <row r="25" spans="1:68" s="50" customFormat="1" ht="20.100000000000001" customHeight="1" x14ac:dyDescent="0.25">
      <c r="A25" s="66" t="s">
        <v>252</v>
      </c>
      <c r="B25" s="67">
        <v>101</v>
      </c>
      <c r="C25" s="67">
        <v>302.39999999999998</v>
      </c>
      <c r="D25" s="67">
        <v>100.8</v>
      </c>
      <c r="E25" s="67"/>
      <c r="F25" s="67">
        <v>100.8</v>
      </c>
      <c r="G25" s="67"/>
      <c r="H25" s="67"/>
      <c r="I25" s="67">
        <v>100.8</v>
      </c>
      <c r="J25" s="67">
        <v>50.4</v>
      </c>
      <c r="K25" s="67">
        <v>252</v>
      </c>
      <c r="L25" s="67">
        <v>352.8</v>
      </c>
      <c r="M25" s="67">
        <v>403.2</v>
      </c>
      <c r="N25" s="67">
        <v>403.2</v>
      </c>
      <c r="O25" s="67">
        <f>110.16+302.4</f>
        <v>412.55999999999995</v>
      </c>
      <c r="P25" s="67">
        <v>554.4</v>
      </c>
      <c r="Q25" s="67">
        <v>352.8</v>
      </c>
      <c r="R25" s="67">
        <v>100.8</v>
      </c>
      <c r="S25" s="67">
        <v>201.6</v>
      </c>
      <c r="T25" s="67"/>
      <c r="U25" s="67">
        <v>50.4</v>
      </c>
      <c r="V25" s="67">
        <v>302.39999999999998</v>
      </c>
      <c r="W25" s="67">
        <v>453.6</v>
      </c>
      <c r="X25" s="67">
        <v>604.79999999999995</v>
      </c>
      <c r="Y25" s="67">
        <v>504</v>
      </c>
      <c r="Z25" s="67">
        <v>201.6</v>
      </c>
      <c r="AA25" s="67"/>
      <c r="AB25" s="67">
        <v>50.4</v>
      </c>
      <c r="AC25" s="67"/>
      <c r="AD25" s="67"/>
      <c r="AE25" s="67">
        <v>50.4</v>
      </c>
      <c r="AF25" s="67"/>
      <c r="AG25" s="68">
        <f t="shared" si="5"/>
        <v>6007.1600000000008</v>
      </c>
      <c r="AH25" s="78"/>
      <c r="AI25" s="79"/>
      <c r="AJ25" s="71" t="str">
        <f t="shared" si="2"/>
        <v>Golfy 30%</v>
      </c>
      <c r="AK25" s="67">
        <f>B25/$AL$1</f>
        <v>84.448160535117054</v>
      </c>
      <c r="AL25" s="67">
        <f t="shared" si="3"/>
        <v>252.84280936454849</v>
      </c>
      <c r="AM25" s="67">
        <f t="shared" si="3"/>
        <v>84.280936454849495</v>
      </c>
      <c r="AN25" s="67">
        <f t="shared" si="3"/>
        <v>0</v>
      </c>
      <c r="AO25" s="67">
        <f t="shared" si="3"/>
        <v>84.280936454849495</v>
      </c>
      <c r="AP25" s="67">
        <f t="shared" si="3"/>
        <v>0</v>
      </c>
      <c r="AQ25" s="67">
        <f t="shared" si="3"/>
        <v>0</v>
      </c>
      <c r="AR25" s="67">
        <f t="shared" si="3"/>
        <v>84.280936454849495</v>
      </c>
      <c r="AS25" s="67">
        <f t="shared" si="3"/>
        <v>42.140468227424748</v>
      </c>
      <c r="AT25" s="67">
        <f t="shared" si="3"/>
        <v>210.70234113712377</v>
      </c>
      <c r="AU25" s="67">
        <f t="shared" si="3"/>
        <v>294.98327759197326</v>
      </c>
      <c r="AV25" s="67">
        <f t="shared" si="3"/>
        <v>337.12374581939798</v>
      </c>
      <c r="AW25" s="67">
        <f t="shared" si="3"/>
        <v>337.12374581939798</v>
      </c>
      <c r="AX25" s="67">
        <f t="shared" si="3"/>
        <v>344.94983277591967</v>
      </c>
      <c r="AY25" s="67">
        <f t="shared" si="3"/>
        <v>463.54515050167225</v>
      </c>
      <c r="AZ25" s="67">
        <f t="shared" si="3"/>
        <v>294.98327759197326</v>
      </c>
      <c r="BA25" s="67">
        <f t="shared" si="4"/>
        <v>84.280936454849495</v>
      </c>
      <c r="BB25" s="67">
        <f t="shared" si="4"/>
        <v>168.56187290969899</v>
      </c>
      <c r="BC25" s="67">
        <f t="shared" si="4"/>
        <v>0</v>
      </c>
      <c r="BD25" s="67">
        <f t="shared" si="4"/>
        <v>42.140468227424748</v>
      </c>
      <c r="BE25" s="67">
        <f t="shared" si="4"/>
        <v>252.84280936454849</v>
      </c>
      <c r="BF25" s="67">
        <f t="shared" si="4"/>
        <v>379.26421404682276</v>
      </c>
      <c r="BG25" s="67">
        <f t="shared" si="4"/>
        <v>505.68561872909697</v>
      </c>
      <c r="BH25" s="67">
        <f t="shared" si="4"/>
        <v>421.40468227424753</v>
      </c>
      <c r="BI25" s="67">
        <f t="shared" si="4"/>
        <v>168.56187290969899</v>
      </c>
      <c r="BJ25" s="67">
        <f t="shared" si="4"/>
        <v>0</v>
      </c>
      <c r="BK25" s="67">
        <f t="shared" si="4"/>
        <v>42.140468227424748</v>
      </c>
      <c r="BL25" s="67">
        <f t="shared" si="4"/>
        <v>0</v>
      </c>
      <c r="BM25" s="67">
        <f t="shared" si="4"/>
        <v>0</v>
      </c>
      <c r="BN25" s="67">
        <f t="shared" si="4"/>
        <v>42.140468227424748</v>
      </c>
      <c r="BO25" s="67">
        <f t="shared" si="4"/>
        <v>0</v>
      </c>
      <c r="BP25" s="72">
        <f t="shared" si="6"/>
        <v>5022.7090301003345</v>
      </c>
    </row>
    <row r="26" spans="1:68" s="50" customFormat="1" ht="20.100000000000001" customHeight="1" x14ac:dyDescent="0.25">
      <c r="A26" s="66" t="s">
        <v>253</v>
      </c>
      <c r="B26" s="67">
        <v>324</v>
      </c>
      <c r="C26" s="67">
        <f>99+324</f>
        <v>423</v>
      </c>
      <c r="D26" s="67">
        <v>216</v>
      </c>
      <c r="E26" s="67">
        <v>54</v>
      </c>
      <c r="F26" s="67"/>
      <c r="G26" s="67"/>
      <c r="H26" s="67">
        <v>216</v>
      </c>
      <c r="I26" s="67"/>
      <c r="J26" s="67">
        <f>108+35</f>
        <v>143</v>
      </c>
      <c r="K26" s="67">
        <f>99+108</f>
        <v>207</v>
      </c>
      <c r="L26" s="67">
        <v>198</v>
      </c>
      <c r="M26" s="67">
        <v>486</v>
      </c>
      <c r="N26" s="67">
        <f>54+35</f>
        <v>89</v>
      </c>
      <c r="O26" s="67">
        <v>162</v>
      </c>
      <c r="P26" s="67">
        <v>378</v>
      </c>
      <c r="Q26" s="67">
        <v>162</v>
      </c>
      <c r="R26" s="67">
        <f>99+54</f>
        <v>153</v>
      </c>
      <c r="S26" s="67">
        <v>216</v>
      </c>
      <c r="T26" s="67">
        <v>216</v>
      </c>
      <c r="U26" s="67">
        <v>324</v>
      </c>
      <c r="V26" s="67">
        <f>99+162</f>
        <v>261</v>
      </c>
      <c r="W26" s="67">
        <f>198+378</f>
        <v>576</v>
      </c>
      <c r="X26" s="67">
        <f>99+378</f>
        <v>477</v>
      </c>
      <c r="Y26" s="67">
        <v>324</v>
      </c>
      <c r="Z26" s="67">
        <f>297+54</f>
        <v>351</v>
      </c>
      <c r="AA26" s="67">
        <v>108</v>
      </c>
      <c r="AB26" s="67">
        <v>108</v>
      </c>
      <c r="AC26" s="67">
        <v>54</v>
      </c>
      <c r="AD26" s="67">
        <v>162</v>
      </c>
      <c r="AE26" s="67">
        <v>54</v>
      </c>
      <c r="AF26" s="67">
        <v>162</v>
      </c>
      <c r="AG26" s="68">
        <f t="shared" si="5"/>
        <v>6604</v>
      </c>
      <c r="AH26" s="78"/>
      <c r="AI26" s="79"/>
      <c r="AJ26" s="71" t="str">
        <f t="shared" si="2"/>
        <v>Golfy 25%</v>
      </c>
      <c r="AK26" s="67">
        <f>B26/$AL$1</f>
        <v>270.90301003344484</v>
      </c>
      <c r="AL26" s="67">
        <f t="shared" si="3"/>
        <v>353.67892976588632</v>
      </c>
      <c r="AM26" s="67">
        <f t="shared" si="3"/>
        <v>180.60200668896323</v>
      </c>
      <c r="AN26" s="67">
        <f t="shared" si="3"/>
        <v>45.150501672240807</v>
      </c>
      <c r="AO26" s="67">
        <f t="shared" si="3"/>
        <v>0</v>
      </c>
      <c r="AP26" s="67">
        <f t="shared" si="3"/>
        <v>0</v>
      </c>
      <c r="AQ26" s="67">
        <f t="shared" si="3"/>
        <v>180.60200668896323</v>
      </c>
      <c r="AR26" s="67">
        <f t="shared" si="3"/>
        <v>0</v>
      </c>
      <c r="AS26" s="67">
        <f t="shared" si="3"/>
        <v>119.56521739130436</v>
      </c>
      <c r="AT26" s="67">
        <f t="shared" si="3"/>
        <v>173.07692307692309</v>
      </c>
      <c r="AU26" s="67">
        <f t="shared" si="3"/>
        <v>165.55183946488296</v>
      </c>
      <c r="AV26" s="67">
        <f t="shared" si="3"/>
        <v>406.35451505016727</v>
      </c>
      <c r="AW26" s="67">
        <f t="shared" si="3"/>
        <v>74.414715719063551</v>
      </c>
      <c r="AX26" s="67">
        <f t="shared" si="3"/>
        <v>135.45150501672242</v>
      </c>
      <c r="AY26" s="67">
        <f t="shared" si="3"/>
        <v>316.05351170568565</v>
      </c>
      <c r="AZ26" s="67">
        <f t="shared" si="3"/>
        <v>135.45150501672242</v>
      </c>
      <c r="BA26" s="67">
        <f t="shared" si="4"/>
        <v>127.92642140468227</v>
      </c>
      <c r="BB26" s="67">
        <f t="shared" si="4"/>
        <v>180.60200668896323</v>
      </c>
      <c r="BC26" s="67">
        <f t="shared" si="4"/>
        <v>180.60200668896323</v>
      </c>
      <c r="BD26" s="67">
        <f t="shared" si="4"/>
        <v>270.90301003344484</v>
      </c>
      <c r="BE26" s="67">
        <f t="shared" si="4"/>
        <v>218.2274247491639</v>
      </c>
      <c r="BF26" s="67">
        <f t="shared" si="4"/>
        <v>481.60535117056855</v>
      </c>
      <c r="BG26" s="67">
        <f t="shared" si="4"/>
        <v>398.82943143812713</v>
      </c>
      <c r="BH26" s="67">
        <f t="shared" si="4"/>
        <v>270.90301003344484</v>
      </c>
      <c r="BI26" s="67">
        <f t="shared" si="4"/>
        <v>293.47826086956525</v>
      </c>
      <c r="BJ26" s="67">
        <f t="shared" si="4"/>
        <v>90.301003344481614</v>
      </c>
      <c r="BK26" s="67">
        <f t="shared" si="4"/>
        <v>90.301003344481614</v>
      </c>
      <c r="BL26" s="67">
        <f t="shared" si="4"/>
        <v>45.150501672240807</v>
      </c>
      <c r="BM26" s="67">
        <f t="shared" si="4"/>
        <v>135.45150501672242</v>
      </c>
      <c r="BN26" s="67">
        <f t="shared" si="4"/>
        <v>45.150501672240807</v>
      </c>
      <c r="BO26" s="67">
        <f t="shared" si="4"/>
        <v>135.45150501672242</v>
      </c>
      <c r="BP26" s="72">
        <f t="shared" si="6"/>
        <v>5521.7391304347839</v>
      </c>
    </row>
    <row r="27" spans="1:68" s="50" customFormat="1" ht="20.100000000000001" customHeight="1" x14ac:dyDescent="0.25">
      <c r="A27" s="66" t="s">
        <v>254</v>
      </c>
      <c r="B27" s="67">
        <f>810-108</f>
        <v>702</v>
      </c>
      <c r="C27" s="67"/>
      <c r="D27" s="67"/>
      <c r="E27" s="67"/>
      <c r="F27" s="67"/>
      <c r="G27" s="67"/>
      <c r="H27" s="67">
        <v>972</v>
      </c>
      <c r="I27" s="67"/>
      <c r="J27" s="67"/>
      <c r="K27" s="67"/>
      <c r="L27" s="67"/>
      <c r="M27" s="67"/>
      <c r="N27" s="67"/>
      <c r="O27" s="67"/>
      <c r="P27" s="67">
        <v>1382.4</v>
      </c>
      <c r="Q27" s="67">
        <f>648+748.8</f>
        <v>1396.8</v>
      </c>
      <c r="R27" s="67"/>
      <c r="S27" s="67"/>
      <c r="T27" s="67"/>
      <c r="U27" s="67"/>
      <c r="V27" s="67"/>
      <c r="W27" s="67"/>
      <c r="X27" s="67"/>
      <c r="Y27" s="67"/>
      <c r="Z27" s="67">
        <v>1382.4</v>
      </c>
      <c r="AA27" s="67"/>
      <c r="AB27" s="67"/>
      <c r="AC27" s="67">
        <v>777.6</v>
      </c>
      <c r="AD27" s="67"/>
      <c r="AE27" s="67"/>
      <c r="AF27" s="67"/>
      <c r="AG27" s="68">
        <f t="shared" si="5"/>
        <v>6613.2000000000007</v>
      </c>
      <c r="AH27" s="78"/>
      <c r="AI27" s="79"/>
      <c r="AJ27" s="71" t="str">
        <f t="shared" si="2"/>
        <v>Groupe</v>
      </c>
      <c r="AK27" s="67">
        <f>B27/$AL$1</f>
        <v>586.95652173913049</v>
      </c>
      <c r="AL27" s="67">
        <f t="shared" si="3"/>
        <v>0</v>
      </c>
      <c r="AM27" s="67">
        <f t="shared" si="3"/>
        <v>0</v>
      </c>
      <c r="AN27" s="67">
        <f t="shared" si="3"/>
        <v>0</v>
      </c>
      <c r="AO27" s="67">
        <f t="shared" si="3"/>
        <v>0</v>
      </c>
      <c r="AP27" s="67">
        <f t="shared" si="3"/>
        <v>0</v>
      </c>
      <c r="AQ27" s="67">
        <f t="shared" si="3"/>
        <v>812.70903010033453</v>
      </c>
      <c r="AR27" s="67">
        <f t="shared" si="3"/>
        <v>0</v>
      </c>
      <c r="AS27" s="67">
        <f t="shared" si="3"/>
        <v>0</v>
      </c>
      <c r="AT27" s="67">
        <f t="shared" si="3"/>
        <v>0</v>
      </c>
      <c r="AU27" s="67">
        <f t="shared" si="3"/>
        <v>0</v>
      </c>
      <c r="AV27" s="67">
        <f t="shared" si="3"/>
        <v>0</v>
      </c>
      <c r="AW27" s="67">
        <f t="shared" si="3"/>
        <v>0</v>
      </c>
      <c r="AX27" s="67">
        <f t="shared" si="3"/>
        <v>0</v>
      </c>
      <c r="AY27" s="67">
        <f t="shared" si="3"/>
        <v>1155.8528428093646</v>
      </c>
      <c r="AZ27" s="67">
        <f t="shared" si="3"/>
        <v>1167.8929765886287</v>
      </c>
      <c r="BA27" s="67">
        <f t="shared" si="4"/>
        <v>0</v>
      </c>
      <c r="BB27" s="67">
        <f t="shared" si="4"/>
        <v>0</v>
      </c>
      <c r="BC27" s="67">
        <f t="shared" si="4"/>
        <v>0</v>
      </c>
      <c r="BD27" s="67">
        <f t="shared" si="4"/>
        <v>0</v>
      </c>
      <c r="BE27" s="67">
        <f t="shared" si="4"/>
        <v>0</v>
      </c>
      <c r="BF27" s="67">
        <f t="shared" si="4"/>
        <v>0</v>
      </c>
      <c r="BG27" s="67">
        <f t="shared" si="4"/>
        <v>0</v>
      </c>
      <c r="BH27" s="67">
        <f t="shared" si="4"/>
        <v>0</v>
      </c>
      <c r="BI27" s="67">
        <f t="shared" si="4"/>
        <v>1155.8528428093646</v>
      </c>
      <c r="BJ27" s="67">
        <f t="shared" si="4"/>
        <v>0</v>
      </c>
      <c r="BK27" s="67">
        <f t="shared" si="4"/>
        <v>0</v>
      </c>
      <c r="BL27" s="67">
        <f t="shared" si="4"/>
        <v>650.1672240802676</v>
      </c>
      <c r="BM27" s="67">
        <f t="shared" si="4"/>
        <v>0</v>
      </c>
      <c r="BN27" s="67">
        <f t="shared" si="4"/>
        <v>0</v>
      </c>
      <c r="BO27" s="67">
        <f t="shared" si="4"/>
        <v>0</v>
      </c>
      <c r="BP27" s="72">
        <f t="shared" si="6"/>
        <v>5529.4314381270906</v>
      </c>
    </row>
    <row r="28" spans="1:68" s="47" customFormat="1" ht="20.100000000000001" customHeight="1" x14ac:dyDescent="0.2">
      <c r="A28" s="60" t="s">
        <v>255</v>
      </c>
      <c r="B28" s="61">
        <f t="shared" ref="B28:AF28" si="7">B29+B30+B31</f>
        <v>0</v>
      </c>
      <c r="C28" s="61">
        <f t="shared" si="7"/>
        <v>0</v>
      </c>
      <c r="D28" s="61">
        <f t="shared" si="7"/>
        <v>0</v>
      </c>
      <c r="E28" s="61">
        <f t="shared" si="7"/>
        <v>0</v>
      </c>
      <c r="F28" s="61">
        <f t="shared" si="7"/>
        <v>0</v>
      </c>
      <c r="G28" s="61">
        <f t="shared" si="7"/>
        <v>0</v>
      </c>
      <c r="H28" s="61">
        <f t="shared" si="7"/>
        <v>0</v>
      </c>
      <c r="I28" s="61">
        <f t="shared" si="7"/>
        <v>0</v>
      </c>
      <c r="J28" s="61">
        <f t="shared" si="7"/>
        <v>0</v>
      </c>
      <c r="K28" s="61">
        <f t="shared" si="7"/>
        <v>0</v>
      </c>
      <c r="L28" s="61">
        <f t="shared" si="7"/>
        <v>0</v>
      </c>
      <c r="M28" s="61">
        <f t="shared" si="7"/>
        <v>0</v>
      </c>
      <c r="N28" s="61">
        <f t="shared" si="7"/>
        <v>0</v>
      </c>
      <c r="O28" s="61">
        <f t="shared" si="7"/>
        <v>0</v>
      </c>
      <c r="P28" s="61">
        <f t="shared" si="7"/>
        <v>0</v>
      </c>
      <c r="Q28" s="61">
        <f t="shared" si="7"/>
        <v>720</v>
      </c>
      <c r="R28" s="61">
        <f t="shared" si="7"/>
        <v>0</v>
      </c>
      <c r="S28" s="61">
        <f t="shared" si="7"/>
        <v>0</v>
      </c>
      <c r="T28" s="61">
        <f t="shared" si="7"/>
        <v>0</v>
      </c>
      <c r="U28" s="61">
        <f t="shared" si="7"/>
        <v>720</v>
      </c>
      <c r="V28" s="61">
        <f t="shared" si="7"/>
        <v>0</v>
      </c>
      <c r="W28" s="61">
        <f t="shared" si="7"/>
        <v>0</v>
      </c>
      <c r="X28" s="61">
        <f t="shared" si="7"/>
        <v>0</v>
      </c>
      <c r="Y28" s="61">
        <f t="shared" si="7"/>
        <v>0</v>
      </c>
      <c r="Z28" s="61">
        <f t="shared" si="7"/>
        <v>0</v>
      </c>
      <c r="AA28" s="61">
        <f t="shared" si="7"/>
        <v>0</v>
      </c>
      <c r="AB28" s="61">
        <f t="shared" si="7"/>
        <v>0</v>
      </c>
      <c r="AC28" s="61">
        <f t="shared" si="7"/>
        <v>0</v>
      </c>
      <c r="AD28" s="61">
        <f t="shared" si="7"/>
        <v>0</v>
      </c>
      <c r="AE28" s="61">
        <f t="shared" si="7"/>
        <v>0</v>
      </c>
      <c r="AF28" s="61">
        <f t="shared" si="7"/>
        <v>720</v>
      </c>
      <c r="AG28" s="62">
        <f t="shared" ref="AG28:AG37" si="8">SUM(B28:AF28)</f>
        <v>2160</v>
      </c>
      <c r="AH28" s="80"/>
      <c r="AI28" s="81"/>
      <c r="AJ28" s="63" t="s">
        <v>256</v>
      </c>
      <c r="AK28" s="64">
        <f t="shared" ref="AK28:BO28" si="9">AK29+AK30+AK31</f>
        <v>0</v>
      </c>
      <c r="AL28" s="64">
        <f t="shared" si="9"/>
        <v>0</v>
      </c>
      <c r="AM28" s="64">
        <f t="shared" si="9"/>
        <v>0</v>
      </c>
      <c r="AN28" s="64">
        <f t="shared" si="9"/>
        <v>0</v>
      </c>
      <c r="AO28" s="64">
        <f t="shared" si="9"/>
        <v>0</v>
      </c>
      <c r="AP28" s="64">
        <f t="shared" si="9"/>
        <v>0</v>
      </c>
      <c r="AQ28" s="64">
        <f t="shared" si="9"/>
        <v>0</v>
      </c>
      <c r="AR28" s="64">
        <f t="shared" si="9"/>
        <v>0</v>
      </c>
      <c r="AS28" s="64">
        <f t="shared" si="9"/>
        <v>0</v>
      </c>
      <c r="AT28" s="64">
        <f t="shared" si="9"/>
        <v>0</v>
      </c>
      <c r="AU28" s="64">
        <f t="shared" si="9"/>
        <v>0</v>
      </c>
      <c r="AV28" s="64">
        <f t="shared" si="9"/>
        <v>0</v>
      </c>
      <c r="AW28" s="64">
        <f t="shared" si="9"/>
        <v>0</v>
      </c>
      <c r="AX28" s="64">
        <f t="shared" si="9"/>
        <v>0</v>
      </c>
      <c r="AY28" s="64">
        <f t="shared" si="9"/>
        <v>0</v>
      </c>
      <c r="AZ28" s="64">
        <f t="shared" si="9"/>
        <v>602.00668896321076</v>
      </c>
      <c r="BA28" s="64">
        <f t="shared" si="9"/>
        <v>0</v>
      </c>
      <c r="BB28" s="64">
        <f t="shared" si="9"/>
        <v>0</v>
      </c>
      <c r="BC28" s="64">
        <f t="shared" si="9"/>
        <v>0</v>
      </c>
      <c r="BD28" s="64">
        <f t="shared" si="9"/>
        <v>602.00668896321076</v>
      </c>
      <c r="BE28" s="64">
        <f t="shared" si="9"/>
        <v>0</v>
      </c>
      <c r="BF28" s="64">
        <f t="shared" si="9"/>
        <v>0</v>
      </c>
      <c r="BG28" s="64">
        <f t="shared" si="9"/>
        <v>0</v>
      </c>
      <c r="BH28" s="64">
        <f t="shared" si="9"/>
        <v>0</v>
      </c>
      <c r="BI28" s="64">
        <f t="shared" si="9"/>
        <v>0</v>
      </c>
      <c r="BJ28" s="64">
        <f t="shared" si="9"/>
        <v>0</v>
      </c>
      <c r="BK28" s="64">
        <f t="shared" si="9"/>
        <v>0</v>
      </c>
      <c r="BL28" s="64">
        <f t="shared" si="9"/>
        <v>0</v>
      </c>
      <c r="BM28" s="64">
        <f t="shared" si="9"/>
        <v>0</v>
      </c>
      <c r="BN28" s="64">
        <f t="shared" si="9"/>
        <v>0</v>
      </c>
      <c r="BO28" s="64">
        <f t="shared" si="9"/>
        <v>602.00668896321076</v>
      </c>
      <c r="BP28" s="65">
        <f>SUM(AK28:BN28)</f>
        <v>1204.0133779264215</v>
      </c>
    </row>
    <row r="29" spans="1:68" s="50" customFormat="1" ht="20.100000000000001" customHeight="1" x14ac:dyDescent="0.25">
      <c r="A29" s="66" t="s">
        <v>257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>
        <v>720</v>
      </c>
      <c r="R29" s="67"/>
      <c r="S29" s="67"/>
      <c r="T29" s="67"/>
      <c r="U29" s="67">
        <v>720</v>
      </c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>
        <v>720</v>
      </c>
      <c r="AG29" s="72">
        <f t="shared" si="8"/>
        <v>2160</v>
      </c>
      <c r="AH29" s="78"/>
      <c r="AI29" s="79"/>
      <c r="AJ29" s="71" t="str">
        <f>A29</f>
        <v>Ventes de 10 Green fees</v>
      </c>
      <c r="AK29" s="67">
        <f t="shared" ref="AK29:AZ31" si="10">B29/$AL$1</f>
        <v>0</v>
      </c>
      <c r="AL29" s="67">
        <f t="shared" si="10"/>
        <v>0</v>
      </c>
      <c r="AM29" s="67">
        <f t="shared" si="10"/>
        <v>0</v>
      </c>
      <c r="AN29" s="67">
        <f t="shared" si="10"/>
        <v>0</v>
      </c>
      <c r="AO29" s="67">
        <f t="shared" si="10"/>
        <v>0</v>
      </c>
      <c r="AP29" s="67">
        <f t="shared" si="10"/>
        <v>0</v>
      </c>
      <c r="AQ29" s="67">
        <f t="shared" si="10"/>
        <v>0</v>
      </c>
      <c r="AR29" s="67">
        <f t="shared" si="10"/>
        <v>0</v>
      </c>
      <c r="AS29" s="67">
        <f t="shared" si="10"/>
        <v>0</v>
      </c>
      <c r="AT29" s="67">
        <f t="shared" si="10"/>
        <v>0</v>
      </c>
      <c r="AU29" s="67">
        <f t="shared" si="10"/>
        <v>0</v>
      </c>
      <c r="AV29" s="67">
        <f t="shared" si="10"/>
        <v>0</v>
      </c>
      <c r="AW29" s="67">
        <f t="shared" si="10"/>
        <v>0</v>
      </c>
      <c r="AX29" s="67">
        <f t="shared" si="10"/>
        <v>0</v>
      </c>
      <c r="AY29" s="67">
        <f t="shared" si="10"/>
        <v>0</v>
      </c>
      <c r="AZ29" s="67">
        <f t="shared" si="10"/>
        <v>602.00668896321076</v>
      </c>
      <c r="BA29" s="67">
        <f t="shared" ref="BA29:BO31" si="11">R29/$AL$1</f>
        <v>0</v>
      </c>
      <c r="BB29" s="67">
        <f t="shared" si="11"/>
        <v>0</v>
      </c>
      <c r="BC29" s="67">
        <f t="shared" si="11"/>
        <v>0</v>
      </c>
      <c r="BD29" s="67">
        <f t="shared" si="11"/>
        <v>602.00668896321076</v>
      </c>
      <c r="BE29" s="67">
        <f t="shared" si="11"/>
        <v>0</v>
      </c>
      <c r="BF29" s="67">
        <f t="shared" si="11"/>
        <v>0</v>
      </c>
      <c r="BG29" s="67">
        <f t="shared" si="11"/>
        <v>0</v>
      </c>
      <c r="BH29" s="67">
        <f t="shared" si="11"/>
        <v>0</v>
      </c>
      <c r="BI29" s="67">
        <f t="shared" si="11"/>
        <v>0</v>
      </c>
      <c r="BJ29" s="67">
        <f t="shared" si="11"/>
        <v>0</v>
      </c>
      <c r="BK29" s="67">
        <f t="shared" si="11"/>
        <v>0</v>
      </c>
      <c r="BL29" s="67">
        <f t="shared" si="11"/>
        <v>0</v>
      </c>
      <c r="BM29" s="67">
        <f t="shared" si="11"/>
        <v>0</v>
      </c>
      <c r="BN29" s="67">
        <f t="shared" si="11"/>
        <v>0</v>
      </c>
      <c r="BO29" s="67">
        <f t="shared" si="11"/>
        <v>602.00668896321076</v>
      </c>
      <c r="BP29" s="72">
        <f t="shared" ref="BP29:BP35" si="12">SUM(AK29:BO29)</f>
        <v>1806.0200668896323</v>
      </c>
    </row>
    <row r="30" spans="1:68" s="50" customFormat="1" ht="20.100000000000001" customHeight="1" x14ac:dyDescent="0.2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72">
        <f t="shared" si="8"/>
        <v>0</v>
      </c>
      <c r="AH30" s="78"/>
      <c r="AI30" s="79"/>
      <c r="AJ30" s="71">
        <f>A30</f>
        <v>0</v>
      </c>
      <c r="AK30" s="67">
        <f t="shared" si="10"/>
        <v>0</v>
      </c>
      <c r="AL30" s="67">
        <f t="shared" si="10"/>
        <v>0</v>
      </c>
      <c r="AM30" s="67">
        <f t="shared" si="10"/>
        <v>0</v>
      </c>
      <c r="AN30" s="67">
        <f t="shared" si="10"/>
        <v>0</v>
      </c>
      <c r="AO30" s="67">
        <f t="shared" si="10"/>
        <v>0</v>
      </c>
      <c r="AP30" s="67">
        <f t="shared" si="10"/>
        <v>0</v>
      </c>
      <c r="AQ30" s="67">
        <f t="shared" si="10"/>
        <v>0</v>
      </c>
      <c r="AR30" s="67">
        <f t="shared" si="10"/>
        <v>0</v>
      </c>
      <c r="AS30" s="67">
        <f t="shared" si="10"/>
        <v>0</v>
      </c>
      <c r="AT30" s="67">
        <f t="shared" si="10"/>
        <v>0</v>
      </c>
      <c r="AU30" s="67">
        <f t="shared" si="10"/>
        <v>0</v>
      </c>
      <c r="AV30" s="67">
        <f t="shared" si="10"/>
        <v>0</v>
      </c>
      <c r="AW30" s="67">
        <f t="shared" si="10"/>
        <v>0</v>
      </c>
      <c r="AX30" s="67">
        <f t="shared" si="10"/>
        <v>0</v>
      </c>
      <c r="AY30" s="67">
        <f t="shared" si="10"/>
        <v>0</v>
      </c>
      <c r="AZ30" s="67">
        <f t="shared" si="10"/>
        <v>0</v>
      </c>
      <c r="BA30" s="67">
        <f t="shared" si="11"/>
        <v>0</v>
      </c>
      <c r="BB30" s="67">
        <f t="shared" si="11"/>
        <v>0</v>
      </c>
      <c r="BC30" s="67">
        <f t="shared" si="11"/>
        <v>0</v>
      </c>
      <c r="BD30" s="67">
        <f t="shared" si="11"/>
        <v>0</v>
      </c>
      <c r="BE30" s="67">
        <f t="shared" si="11"/>
        <v>0</v>
      </c>
      <c r="BF30" s="67">
        <f t="shared" si="11"/>
        <v>0</v>
      </c>
      <c r="BG30" s="67">
        <f t="shared" si="11"/>
        <v>0</v>
      </c>
      <c r="BH30" s="67">
        <f t="shared" si="11"/>
        <v>0</v>
      </c>
      <c r="BI30" s="67">
        <f t="shared" si="11"/>
        <v>0</v>
      </c>
      <c r="BJ30" s="67">
        <f t="shared" si="11"/>
        <v>0</v>
      </c>
      <c r="BK30" s="67">
        <f t="shared" si="11"/>
        <v>0</v>
      </c>
      <c r="BL30" s="67">
        <f t="shared" si="11"/>
        <v>0</v>
      </c>
      <c r="BM30" s="67">
        <f t="shared" si="11"/>
        <v>0</v>
      </c>
      <c r="BN30" s="67">
        <f t="shared" si="11"/>
        <v>0</v>
      </c>
      <c r="BO30" s="67">
        <f t="shared" si="11"/>
        <v>0</v>
      </c>
      <c r="BP30" s="72">
        <f t="shared" si="12"/>
        <v>0</v>
      </c>
    </row>
    <row r="31" spans="1:68" s="50" customFormat="1" ht="20.100000000000001" customHeight="1" x14ac:dyDescent="0.25">
      <c r="A31" s="66" t="s">
        <v>258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72">
        <f t="shared" si="8"/>
        <v>0</v>
      </c>
      <c r="AH31" s="78"/>
      <c r="AI31" s="79"/>
      <c r="AJ31" s="71" t="str">
        <f>A31</f>
        <v>Ventes Abonnements</v>
      </c>
      <c r="AK31" s="67">
        <f t="shared" si="10"/>
        <v>0</v>
      </c>
      <c r="AL31" s="67">
        <f t="shared" si="10"/>
        <v>0</v>
      </c>
      <c r="AM31" s="67">
        <f t="shared" si="10"/>
        <v>0</v>
      </c>
      <c r="AN31" s="67">
        <f t="shared" si="10"/>
        <v>0</v>
      </c>
      <c r="AO31" s="67">
        <f t="shared" si="10"/>
        <v>0</v>
      </c>
      <c r="AP31" s="67">
        <f t="shared" si="10"/>
        <v>0</v>
      </c>
      <c r="AQ31" s="67">
        <f t="shared" si="10"/>
        <v>0</v>
      </c>
      <c r="AR31" s="67">
        <f t="shared" si="10"/>
        <v>0</v>
      </c>
      <c r="AS31" s="67">
        <f t="shared" si="10"/>
        <v>0</v>
      </c>
      <c r="AT31" s="67">
        <f t="shared" si="10"/>
        <v>0</v>
      </c>
      <c r="AU31" s="67">
        <f t="shared" si="10"/>
        <v>0</v>
      </c>
      <c r="AV31" s="67">
        <f t="shared" si="10"/>
        <v>0</v>
      </c>
      <c r="AW31" s="67">
        <f t="shared" si="10"/>
        <v>0</v>
      </c>
      <c r="AX31" s="67">
        <f t="shared" si="10"/>
        <v>0</v>
      </c>
      <c r="AY31" s="67">
        <f t="shared" si="10"/>
        <v>0</v>
      </c>
      <c r="AZ31" s="67">
        <f t="shared" si="10"/>
        <v>0</v>
      </c>
      <c r="BA31" s="67">
        <f t="shared" si="11"/>
        <v>0</v>
      </c>
      <c r="BB31" s="67">
        <f t="shared" si="11"/>
        <v>0</v>
      </c>
      <c r="BC31" s="67">
        <f t="shared" si="11"/>
        <v>0</v>
      </c>
      <c r="BD31" s="67">
        <f t="shared" si="11"/>
        <v>0</v>
      </c>
      <c r="BE31" s="67">
        <f t="shared" si="11"/>
        <v>0</v>
      </c>
      <c r="BF31" s="67">
        <f t="shared" si="11"/>
        <v>0</v>
      </c>
      <c r="BG31" s="67">
        <f t="shared" si="11"/>
        <v>0</v>
      </c>
      <c r="BH31" s="67">
        <f t="shared" si="11"/>
        <v>0</v>
      </c>
      <c r="BI31" s="67">
        <f t="shared" si="11"/>
        <v>0</v>
      </c>
      <c r="BJ31" s="67">
        <f t="shared" si="11"/>
        <v>0</v>
      </c>
      <c r="BK31" s="67">
        <f t="shared" si="11"/>
        <v>0</v>
      </c>
      <c r="BL31" s="67">
        <f t="shared" si="11"/>
        <v>0</v>
      </c>
      <c r="BM31" s="67">
        <f t="shared" si="11"/>
        <v>0</v>
      </c>
      <c r="BN31" s="67">
        <f t="shared" si="11"/>
        <v>0</v>
      </c>
      <c r="BO31" s="67">
        <f t="shared" si="11"/>
        <v>0</v>
      </c>
      <c r="BP31" s="72">
        <f t="shared" si="12"/>
        <v>0</v>
      </c>
    </row>
    <row r="32" spans="1:68" s="47" customFormat="1" ht="20.100000000000001" customHeight="1" x14ac:dyDescent="0.25">
      <c r="A32" s="60" t="s">
        <v>259</v>
      </c>
      <c r="B32" s="61">
        <f>B33+B34+B35</f>
        <v>1080</v>
      </c>
      <c r="C32" s="61">
        <f t="shared" ref="C32:AF32" si="13">C33+C34+C35</f>
        <v>798</v>
      </c>
      <c r="D32" s="61">
        <f t="shared" si="13"/>
        <v>1158</v>
      </c>
      <c r="E32" s="61">
        <f t="shared" si="13"/>
        <v>184</v>
      </c>
      <c r="F32" s="61">
        <f t="shared" si="13"/>
        <v>416</v>
      </c>
      <c r="G32" s="61">
        <f t="shared" si="13"/>
        <v>1230</v>
      </c>
      <c r="H32" s="61">
        <f t="shared" si="13"/>
        <v>1205</v>
      </c>
      <c r="I32" s="61">
        <f t="shared" si="13"/>
        <v>681</v>
      </c>
      <c r="J32" s="61">
        <f t="shared" si="13"/>
        <v>974</v>
      </c>
      <c r="K32" s="61">
        <f t="shared" si="13"/>
        <v>449</v>
      </c>
      <c r="L32" s="61">
        <f t="shared" si="13"/>
        <v>683</v>
      </c>
      <c r="M32" s="61">
        <f t="shared" si="13"/>
        <v>765</v>
      </c>
      <c r="N32" s="61">
        <f t="shared" si="13"/>
        <v>931</v>
      </c>
      <c r="O32" s="61">
        <f t="shared" si="13"/>
        <v>1593</v>
      </c>
      <c r="P32" s="61">
        <f t="shared" si="13"/>
        <v>1416</v>
      </c>
      <c r="Q32" s="61">
        <f t="shared" si="13"/>
        <v>1041</v>
      </c>
      <c r="R32" s="61">
        <f t="shared" si="13"/>
        <v>666</v>
      </c>
      <c r="S32" s="61">
        <f t="shared" si="13"/>
        <v>809</v>
      </c>
      <c r="T32" s="61">
        <f t="shared" si="13"/>
        <v>777</v>
      </c>
      <c r="U32" s="61">
        <f t="shared" si="13"/>
        <v>956</v>
      </c>
      <c r="V32" s="61">
        <f t="shared" si="13"/>
        <v>1730</v>
      </c>
      <c r="W32" s="61">
        <f t="shared" si="13"/>
        <v>1412</v>
      </c>
      <c r="X32" s="61">
        <f t="shared" si="13"/>
        <v>1167</v>
      </c>
      <c r="Y32" s="61">
        <f t="shared" si="13"/>
        <v>802</v>
      </c>
      <c r="Z32" s="61">
        <f t="shared" si="13"/>
        <v>998</v>
      </c>
      <c r="AA32" s="61">
        <f t="shared" si="13"/>
        <v>827</v>
      </c>
      <c r="AB32" s="61">
        <f t="shared" si="13"/>
        <v>1242</v>
      </c>
      <c r="AC32" s="61">
        <f t="shared" si="13"/>
        <v>1112</v>
      </c>
      <c r="AD32" s="61">
        <f t="shared" si="13"/>
        <v>994</v>
      </c>
      <c r="AE32" s="61">
        <f t="shared" si="13"/>
        <v>500</v>
      </c>
      <c r="AF32" s="61">
        <f t="shared" si="13"/>
        <v>905</v>
      </c>
      <c r="AG32" s="62">
        <f t="shared" si="8"/>
        <v>29501</v>
      </c>
      <c r="AH32" s="48"/>
      <c r="AI32" s="48"/>
      <c r="AJ32" s="63" t="s">
        <v>260</v>
      </c>
      <c r="AK32" s="64">
        <f>AK33+AK34+AK35</f>
        <v>903.01003344481614</v>
      </c>
      <c r="AL32" s="64">
        <f t="shared" ref="AL32:BO32" si="14">AL33+AL34+AL35</f>
        <v>667.22408026755852</v>
      </c>
      <c r="AM32" s="64">
        <f t="shared" si="14"/>
        <v>968.22742474916402</v>
      </c>
      <c r="AN32" s="64">
        <f t="shared" si="14"/>
        <v>153.84615384615384</v>
      </c>
      <c r="AO32" s="64">
        <f t="shared" si="14"/>
        <v>347.82608695652175</v>
      </c>
      <c r="AP32" s="64">
        <f t="shared" si="14"/>
        <v>1028.428093645485</v>
      </c>
      <c r="AQ32" s="64">
        <f t="shared" si="14"/>
        <v>1007.5250836120401</v>
      </c>
      <c r="AR32" s="64">
        <f t="shared" si="14"/>
        <v>569.39799331103688</v>
      </c>
      <c r="AS32" s="64">
        <f t="shared" si="14"/>
        <v>814.38127090301009</v>
      </c>
      <c r="AT32" s="64">
        <f t="shared" si="14"/>
        <v>375.41806020066889</v>
      </c>
      <c r="AU32" s="64">
        <f t="shared" si="14"/>
        <v>571.07023411371244</v>
      </c>
      <c r="AV32" s="64">
        <f t="shared" si="14"/>
        <v>639.63210702341144</v>
      </c>
      <c r="AW32" s="64">
        <f t="shared" si="14"/>
        <v>778.42809364548498</v>
      </c>
      <c r="AX32" s="64">
        <f t="shared" si="14"/>
        <v>1331.9397993311036</v>
      </c>
      <c r="AY32" s="64">
        <f t="shared" si="14"/>
        <v>1183.9464882943143</v>
      </c>
      <c r="AZ32" s="64">
        <f t="shared" si="14"/>
        <v>870.40133779264215</v>
      </c>
      <c r="BA32" s="64">
        <f t="shared" si="14"/>
        <v>556.85618729096996</v>
      </c>
      <c r="BB32" s="64">
        <f t="shared" si="14"/>
        <v>676.42140468227433</v>
      </c>
      <c r="BC32" s="64">
        <f t="shared" si="14"/>
        <v>649.66555183946491</v>
      </c>
      <c r="BD32" s="64">
        <f t="shared" si="14"/>
        <v>799.33110367892982</v>
      </c>
      <c r="BE32" s="64">
        <f t="shared" si="14"/>
        <v>1446.4882943143814</v>
      </c>
      <c r="BF32" s="64">
        <f t="shared" si="14"/>
        <v>1180.6020066889632</v>
      </c>
      <c r="BG32" s="64">
        <f t="shared" si="14"/>
        <v>975.75250836120415</v>
      </c>
      <c r="BH32" s="64">
        <f t="shared" si="14"/>
        <v>670.56856187290975</v>
      </c>
      <c r="BI32" s="64">
        <f t="shared" si="14"/>
        <v>834.44816053511704</v>
      </c>
      <c r="BJ32" s="64">
        <f t="shared" si="14"/>
        <v>691.47157190635448</v>
      </c>
      <c r="BK32" s="64">
        <f t="shared" si="14"/>
        <v>1038.4615384615386</v>
      </c>
      <c r="BL32" s="64">
        <f t="shared" si="14"/>
        <v>929.76588628762545</v>
      </c>
      <c r="BM32" s="64">
        <f t="shared" si="14"/>
        <v>831.10367892976603</v>
      </c>
      <c r="BN32" s="64">
        <f t="shared" si="14"/>
        <v>418.0602006688963</v>
      </c>
      <c r="BO32" s="64">
        <f t="shared" si="14"/>
        <v>756.68896321070235</v>
      </c>
      <c r="BP32" s="65">
        <f t="shared" si="12"/>
        <v>24666.387959866224</v>
      </c>
    </row>
    <row r="33" spans="1:68" s="50" customFormat="1" ht="20.100000000000001" customHeight="1" x14ac:dyDescent="0.25">
      <c r="A33" s="66" t="s">
        <v>261</v>
      </c>
      <c r="B33" s="67">
        <v>947</v>
      </c>
      <c r="C33" s="67">
        <v>700</v>
      </c>
      <c r="D33" s="67">
        <v>983</v>
      </c>
      <c r="E33" s="67">
        <v>72</v>
      </c>
      <c r="F33" s="67">
        <v>367</v>
      </c>
      <c r="G33" s="67">
        <v>1230</v>
      </c>
      <c r="H33" s="67">
        <v>988</v>
      </c>
      <c r="I33" s="67">
        <v>540</v>
      </c>
      <c r="J33" s="67">
        <v>834</v>
      </c>
      <c r="K33" s="67">
        <v>386</v>
      </c>
      <c r="L33" s="67">
        <v>648</v>
      </c>
      <c r="M33" s="67">
        <v>674</v>
      </c>
      <c r="N33" s="67">
        <v>798</v>
      </c>
      <c r="O33" s="67">
        <v>1434</v>
      </c>
      <c r="P33" s="67">
        <v>1346</v>
      </c>
      <c r="Q33" s="67">
        <v>942</v>
      </c>
      <c r="R33" s="67">
        <v>638</v>
      </c>
      <c r="S33" s="67">
        <v>746</v>
      </c>
      <c r="T33" s="67">
        <v>756</v>
      </c>
      <c r="U33" s="67">
        <v>928</v>
      </c>
      <c r="V33" s="67">
        <v>1667</v>
      </c>
      <c r="W33" s="67">
        <v>1286</v>
      </c>
      <c r="X33" s="67">
        <v>999</v>
      </c>
      <c r="Y33" s="67">
        <v>767</v>
      </c>
      <c r="Z33" s="67">
        <v>942</v>
      </c>
      <c r="AA33" s="67">
        <v>736</v>
      </c>
      <c r="AB33" s="67">
        <v>1158</v>
      </c>
      <c r="AC33" s="67">
        <v>1070</v>
      </c>
      <c r="AD33" s="67">
        <v>854</v>
      </c>
      <c r="AE33" s="67">
        <v>458</v>
      </c>
      <c r="AF33" s="67">
        <v>680</v>
      </c>
      <c r="AG33" s="72">
        <f t="shared" si="8"/>
        <v>26574</v>
      </c>
      <c r="AI33" s="76"/>
      <c r="AJ33" s="71" t="str">
        <f>A33</f>
        <v xml:space="preserve">Voiturettes </v>
      </c>
      <c r="AK33" s="67">
        <f t="shared" ref="AK33:AZ35" si="15">B33/$AL$1</f>
        <v>791.80602006688969</v>
      </c>
      <c r="AL33" s="67">
        <f t="shared" si="15"/>
        <v>585.28428093645482</v>
      </c>
      <c r="AM33" s="67">
        <f t="shared" si="15"/>
        <v>821.90635451505023</v>
      </c>
      <c r="AN33" s="67">
        <f t="shared" si="15"/>
        <v>60.200668896321069</v>
      </c>
      <c r="AO33" s="67">
        <f t="shared" si="15"/>
        <v>306.8561872909699</v>
      </c>
      <c r="AP33" s="67">
        <f t="shared" si="15"/>
        <v>1028.428093645485</v>
      </c>
      <c r="AQ33" s="67">
        <f t="shared" si="15"/>
        <v>826.08695652173913</v>
      </c>
      <c r="AR33" s="67">
        <f t="shared" si="15"/>
        <v>451.50501672240807</v>
      </c>
      <c r="AS33" s="67">
        <f t="shared" si="15"/>
        <v>697.32441471571906</v>
      </c>
      <c r="AT33" s="67">
        <f t="shared" si="15"/>
        <v>322.74247491638795</v>
      </c>
      <c r="AU33" s="67">
        <f t="shared" si="15"/>
        <v>541.80602006688969</v>
      </c>
      <c r="AV33" s="67">
        <f t="shared" si="15"/>
        <v>563.54515050167231</v>
      </c>
      <c r="AW33" s="67">
        <f t="shared" si="15"/>
        <v>667.22408026755852</v>
      </c>
      <c r="AX33" s="67">
        <f t="shared" si="15"/>
        <v>1198.9966555183946</v>
      </c>
      <c r="AY33" s="67">
        <f t="shared" si="15"/>
        <v>1125.4180602006688</v>
      </c>
      <c r="AZ33" s="67">
        <f t="shared" si="15"/>
        <v>787.62541806020067</v>
      </c>
      <c r="BA33" s="67">
        <f t="shared" ref="BA33:BO35" si="16">R33/$AL$1</f>
        <v>533.44481605351177</v>
      </c>
      <c r="BB33" s="67">
        <f t="shared" si="16"/>
        <v>623.74581939799339</v>
      </c>
      <c r="BC33" s="67">
        <f t="shared" si="16"/>
        <v>632.1070234113713</v>
      </c>
      <c r="BD33" s="67">
        <f t="shared" si="16"/>
        <v>775.91973244147164</v>
      </c>
      <c r="BE33" s="67">
        <f t="shared" si="16"/>
        <v>1393.8127090301005</v>
      </c>
      <c r="BF33" s="67">
        <f t="shared" si="16"/>
        <v>1075.2508361204013</v>
      </c>
      <c r="BG33" s="67">
        <f t="shared" si="16"/>
        <v>835.28428093645493</v>
      </c>
      <c r="BH33" s="67">
        <f t="shared" si="16"/>
        <v>641.304347826087</v>
      </c>
      <c r="BI33" s="67">
        <f t="shared" si="16"/>
        <v>787.62541806020067</v>
      </c>
      <c r="BJ33" s="67">
        <f t="shared" si="16"/>
        <v>615.38461538461536</v>
      </c>
      <c r="BK33" s="67">
        <f t="shared" si="16"/>
        <v>968.2274247491639</v>
      </c>
      <c r="BL33" s="67">
        <f t="shared" si="16"/>
        <v>894.64882943143812</v>
      </c>
      <c r="BM33" s="67">
        <f t="shared" si="16"/>
        <v>714.046822742475</v>
      </c>
      <c r="BN33" s="67">
        <f t="shared" si="16"/>
        <v>382.94314381270902</v>
      </c>
      <c r="BO33" s="67">
        <f t="shared" si="16"/>
        <v>568.56187290969899</v>
      </c>
      <c r="BP33" s="72">
        <f t="shared" si="12"/>
        <v>22219.063545150504</v>
      </c>
    </row>
    <row r="34" spans="1:68" s="82" customFormat="1" ht="20.100000000000001" customHeight="1" x14ac:dyDescent="0.25">
      <c r="A34" s="66" t="s">
        <v>262</v>
      </c>
      <c r="B34" s="67">
        <v>63</v>
      </c>
      <c r="C34" s="67">
        <v>28</v>
      </c>
      <c r="D34" s="67">
        <v>140</v>
      </c>
      <c r="E34" s="67">
        <v>112</v>
      </c>
      <c r="F34" s="67">
        <v>49</v>
      </c>
      <c r="G34" s="67"/>
      <c r="H34" s="67">
        <v>147</v>
      </c>
      <c r="I34" s="67">
        <v>91</v>
      </c>
      <c r="J34" s="67">
        <v>105</v>
      </c>
      <c r="K34" s="67">
        <v>28</v>
      </c>
      <c r="L34" s="67">
        <v>35</v>
      </c>
      <c r="M34" s="67">
        <v>56</v>
      </c>
      <c r="N34" s="67">
        <v>133</v>
      </c>
      <c r="O34" s="67">
        <v>112</v>
      </c>
      <c r="P34" s="67">
        <v>70</v>
      </c>
      <c r="Q34" s="67">
        <v>84</v>
      </c>
      <c r="R34" s="67">
        <v>28</v>
      </c>
      <c r="S34" s="67">
        <v>28</v>
      </c>
      <c r="T34" s="67">
        <v>21</v>
      </c>
      <c r="U34" s="67">
        <v>28</v>
      </c>
      <c r="V34" s="67">
        <v>28</v>
      </c>
      <c r="W34" s="67">
        <v>56</v>
      </c>
      <c r="X34" s="67">
        <v>77</v>
      </c>
      <c r="Y34" s="67">
        <v>35</v>
      </c>
      <c r="Z34" s="67">
        <v>56</v>
      </c>
      <c r="AA34" s="67">
        <v>21</v>
      </c>
      <c r="AB34" s="67">
        <v>14</v>
      </c>
      <c r="AC34" s="67">
        <v>7</v>
      </c>
      <c r="AD34" s="67">
        <v>35</v>
      </c>
      <c r="AE34" s="67">
        <v>42</v>
      </c>
      <c r="AF34" s="67">
        <v>105</v>
      </c>
      <c r="AG34" s="72">
        <f t="shared" si="8"/>
        <v>1834</v>
      </c>
      <c r="AH34" s="75"/>
      <c r="AI34" s="76"/>
      <c r="AJ34" s="71" t="str">
        <f>A34</f>
        <v>Chariot Manuel</v>
      </c>
      <c r="AK34" s="67">
        <f t="shared" si="15"/>
        <v>52.675585284280942</v>
      </c>
      <c r="AL34" s="67">
        <f t="shared" si="15"/>
        <v>23.411371237458194</v>
      </c>
      <c r="AM34" s="67">
        <f t="shared" si="15"/>
        <v>117.05685618729098</v>
      </c>
      <c r="AN34" s="67">
        <f t="shared" si="15"/>
        <v>93.645484949832777</v>
      </c>
      <c r="AO34" s="67">
        <f t="shared" si="15"/>
        <v>40.969899665551843</v>
      </c>
      <c r="AP34" s="67">
        <f t="shared" si="15"/>
        <v>0</v>
      </c>
      <c r="AQ34" s="67">
        <f t="shared" si="15"/>
        <v>122.90969899665552</v>
      </c>
      <c r="AR34" s="67">
        <f t="shared" si="15"/>
        <v>76.08695652173914</v>
      </c>
      <c r="AS34" s="67">
        <f t="shared" si="15"/>
        <v>87.792642140468232</v>
      </c>
      <c r="AT34" s="67">
        <f t="shared" si="15"/>
        <v>23.411371237458194</v>
      </c>
      <c r="AU34" s="67">
        <f t="shared" si="15"/>
        <v>29.264214046822744</v>
      </c>
      <c r="AV34" s="67">
        <f t="shared" si="15"/>
        <v>46.822742474916389</v>
      </c>
      <c r="AW34" s="67">
        <f t="shared" si="15"/>
        <v>111.20401337792643</v>
      </c>
      <c r="AX34" s="67">
        <f t="shared" si="15"/>
        <v>93.645484949832777</v>
      </c>
      <c r="AY34" s="67">
        <f t="shared" si="15"/>
        <v>58.528428093645488</v>
      </c>
      <c r="AZ34" s="67">
        <f t="shared" si="15"/>
        <v>70.23411371237458</v>
      </c>
      <c r="BA34" s="67">
        <f t="shared" si="16"/>
        <v>23.411371237458194</v>
      </c>
      <c r="BB34" s="67">
        <f t="shared" si="16"/>
        <v>23.411371237458194</v>
      </c>
      <c r="BC34" s="67">
        <f t="shared" si="16"/>
        <v>17.558528428093645</v>
      </c>
      <c r="BD34" s="67">
        <f t="shared" si="16"/>
        <v>23.411371237458194</v>
      </c>
      <c r="BE34" s="67">
        <f t="shared" si="16"/>
        <v>23.411371237458194</v>
      </c>
      <c r="BF34" s="67">
        <f t="shared" si="16"/>
        <v>46.822742474916389</v>
      </c>
      <c r="BG34" s="67">
        <f t="shared" si="16"/>
        <v>64.381270903010034</v>
      </c>
      <c r="BH34" s="67">
        <f t="shared" si="16"/>
        <v>29.264214046822744</v>
      </c>
      <c r="BI34" s="67">
        <f t="shared" si="16"/>
        <v>46.822742474916389</v>
      </c>
      <c r="BJ34" s="67">
        <f t="shared" si="16"/>
        <v>17.558528428093645</v>
      </c>
      <c r="BK34" s="67">
        <f t="shared" si="16"/>
        <v>11.705685618729097</v>
      </c>
      <c r="BL34" s="67">
        <f t="shared" si="16"/>
        <v>5.8528428093645486</v>
      </c>
      <c r="BM34" s="67">
        <f t="shared" si="16"/>
        <v>29.264214046822744</v>
      </c>
      <c r="BN34" s="67">
        <f t="shared" si="16"/>
        <v>35.11705685618729</v>
      </c>
      <c r="BO34" s="67">
        <f t="shared" si="16"/>
        <v>87.792642140468232</v>
      </c>
      <c r="BP34" s="72">
        <f t="shared" si="12"/>
        <v>1533.4448160535121</v>
      </c>
    </row>
    <row r="35" spans="1:68" ht="20.100000000000001" customHeight="1" x14ac:dyDescent="0.25">
      <c r="A35" s="66" t="s">
        <v>263</v>
      </c>
      <c r="B35" s="67">
        <v>70</v>
      </c>
      <c r="C35" s="67">
        <v>70</v>
      </c>
      <c r="D35" s="67">
        <v>35</v>
      </c>
      <c r="E35" s="67"/>
      <c r="F35" s="67"/>
      <c r="G35" s="67"/>
      <c r="H35" s="67">
        <v>70</v>
      </c>
      <c r="I35" s="67">
        <v>50</v>
      </c>
      <c r="J35" s="67">
        <v>35</v>
      </c>
      <c r="K35" s="67">
        <v>35</v>
      </c>
      <c r="L35" s="67"/>
      <c r="M35" s="67">
        <v>35</v>
      </c>
      <c r="N35" s="67"/>
      <c r="O35" s="67">
        <v>47</v>
      </c>
      <c r="P35" s="67"/>
      <c r="Q35" s="67">
        <v>15</v>
      </c>
      <c r="R35" s="67"/>
      <c r="S35" s="67">
        <v>35</v>
      </c>
      <c r="T35" s="67"/>
      <c r="U35" s="67"/>
      <c r="V35" s="67">
        <v>35</v>
      </c>
      <c r="W35" s="67">
        <v>70</v>
      </c>
      <c r="X35" s="67">
        <v>91</v>
      </c>
      <c r="Y35" s="67"/>
      <c r="Z35" s="67"/>
      <c r="AA35" s="67">
        <v>70</v>
      </c>
      <c r="AB35" s="67">
        <v>70</v>
      </c>
      <c r="AC35" s="67">
        <v>35</v>
      </c>
      <c r="AD35" s="67">
        <v>105</v>
      </c>
      <c r="AE35" s="67"/>
      <c r="AF35" s="67">
        <v>120</v>
      </c>
      <c r="AG35" s="72">
        <f t="shared" si="8"/>
        <v>1093</v>
      </c>
      <c r="AH35" s="75"/>
      <c r="AI35" s="76"/>
      <c r="AJ35" s="71" t="str">
        <f>A35</f>
        <v>Location de clubs</v>
      </c>
      <c r="AK35" s="67">
        <f t="shared" si="15"/>
        <v>58.528428093645488</v>
      </c>
      <c r="AL35" s="67">
        <f t="shared" si="15"/>
        <v>58.528428093645488</v>
      </c>
      <c r="AM35" s="67">
        <f t="shared" si="15"/>
        <v>29.264214046822744</v>
      </c>
      <c r="AN35" s="67">
        <f t="shared" si="15"/>
        <v>0</v>
      </c>
      <c r="AO35" s="67">
        <f t="shared" si="15"/>
        <v>0</v>
      </c>
      <c r="AP35" s="67">
        <f t="shared" si="15"/>
        <v>0</v>
      </c>
      <c r="AQ35" s="67">
        <f t="shared" si="15"/>
        <v>58.528428093645488</v>
      </c>
      <c r="AR35" s="67">
        <f t="shared" si="15"/>
        <v>41.806020066889637</v>
      </c>
      <c r="AS35" s="67">
        <f t="shared" si="15"/>
        <v>29.264214046822744</v>
      </c>
      <c r="AT35" s="67">
        <f t="shared" si="15"/>
        <v>29.264214046822744</v>
      </c>
      <c r="AU35" s="67">
        <f t="shared" si="15"/>
        <v>0</v>
      </c>
      <c r="AV35" s="67">
        <f t="shared" si="15"/>
        <v>29.264214046822744</v>
      </c>
      <c r="AW35" s="67">
        <f t="shared" si="15"/>
        <v>0</v>
      </c>
      <c r="AX35" s="67">
        <f t="shared" si="15"/>
        <v>39.297658862876254</v>
      </c>
      <c r="AY35" s="67">
        <f t="shared" si="15"/>
        <v>0</v>
      </c>
      <c r="AZ35" s="67">
        <f t="shared" si="15"/>
        <v>12.54180602006689</v>
      </c>
      <c r="BA35" s="67">
        <f t="shared" si="16"/>
        <v>0</v>
      </c>
      <c r="BB35" s="67">
        <f t="shared" si="16"/>
        <v>29.264214046822744</v>
      </c>
      <c r="BC35" s="67">
        <f t="shared" si="16"/>
        <v>0</v>
      </c>
      <c r="BD35" s="67">
        <f t="shared" si="16"/>
        <v>0</v>
      </c>
      <c r="BE35" s="67">
        <f t="shared" si="16"/>
        <v>29.264214046822744</v>
      </c>
      <c r="BF35" s="67">
        <f t="shared" si="16"/>
        <v>58.528428093645488</v>
      </c>
      <c r="BG35" s="67">
        <f t="shared" si="16"/>
        <v>76.08695652173914</v>
      </c>
      <c r="BH35" s="67">
        <f t="shared" si="16"/>
        <v>0</v>
      </c>
      <c r="BI35" s="67">
        <f t="shared" si="16"/>
        <v>0</v>
      </c>
      <c r="BJ35" s="67">
        <f t="shared" si="16"/>
        <v>58.528428093645488</v>
      </c>
      <c r="BK35" s="67">
        <f t="shared" si="16"/>
        <v>58.528428093645488</v>
      </c>
      <c r="BL35" s="67">
        <f t="shared" si="16"/>
        <v>29.264214046822744</v>
      </c>
      <c r="BM35" s="67">
        <f t="shared" si="16"/>
        <v>87.792642140468232</v>
      </c>
      <c r="BN35" s="67">
        <f t="shared" si="16"/>
        <v>0</v>
      </c>
      <c r="BO35" s="67">
        <f t="shared" si="16"/>
        <v>100.33444816053512</v>
      </c>
      <c r="BP35" s="72">
        <f t="shared" si="12"/>
        <v>913.87959866220751</v>
      </c>
    </row>
    <row r="36" spans="1:68" s="48" customFormat="1" ht="20.100000000000001" customHeight="1" x14ac:dyDescent="0.25">
      <c r="A36" s="60" t="s">
        <v>264</v>
      </c>
      <c r="B36" s="83">
        <f>B37+B38+B46+B48+B39+B40+B41+B42+B43+B44+B45+B47</f>
        <v>267</v>
      </c>
      <c r="C36" s="83">
        <f>C37+C38+C46+C48+C39+C40+C41+C42+C43+C44+C45+C47</f>
        <v>523</v>
      </c>
      <c r="D36" s="83">
        <f t="shared" ref="D36:AF36" si="17">D37+D38+D46+D48+D39+D40+D41+D42+D43+D44+D45+D47</f>
        <v>329</v>
      </c>
      <c r="E36" s="83">
        <f t="shared" si="17"/>
        <v>51</v>
      </c>
      <c r="F36" s="83">
        <f t="shared" si="17"/>
        <v>71</v>
      </c>
      <c r="G36" s="83">
        <f t="shared" si="17"/>
        <v>115</v>
      </c>
      <c r="H36" s="83">
        <f t="shared" si="17"/>
        <v>219</v>
      </c>
      <c r="I36" s="83">
        <f t="shared" si="17"/>
        <v>119</v>
      </c>
      <c r="J36" s="83">
        <f t="shared" si="17"/>
        <v>295</v>
      </c>
      <c r="K36" s="83">
        <f t="shared" si="17"/>
        <v>101</v>
      </c>
      <c r="L36" s="83">
        <f t="shared" si="17"/>
        <v>107</v>
      </c>
      <c r="M36" s="83">
        <f t="shared" si="17"/>
        <v>96</v>
      </c>
      <c r="N36" s="83">
        <f t="shared" si="17"/>
        <v>376</v>
      </c>
      <c r="O36" s="83">
        <f t="shared" si="17"/>
        <v>434</v>
      </c>
      <c r="P36" s="83">
        <f t="shared" si="17"/>
        <v>590</v>
      </c>
      <c r="Q36" s="83">
        <f t="shared" si="17"/>
        <v>409</v>
      </c>
      <c r="R36" s="83">
        <f t="shared" si="17"/>
        <v>99</v>
      </c>
      <c r="S36" s="83">
        <f t="shared" si="17"/>
        <v>51</v>
      </c>
      <c r="T36" s="83">
        <f t="shared" si="17"/>
        <v>156</v>
      </c>
      <c r="U36" s="83">
        <f t="shared" si="17"/>
        <v>472.2</v>
      </c>
      <c r="V36" s="83">
        <f t="shared" si="17"/>
        <v>167</v>
      </c>
      <c r="W36" s="83">
        <f t="shared" si="17"/>
        <v>289</v>
      </c>
      <c r="X36" s="83">
        <f t="shared" si="17"/>
        <v>309</v>
      </c>
      <c r="Y36" s="83">
        <f t="shared" si="17"/>
        <v>156</v>
      </c>
      <c r="Z36" s="83">
        <f t="shared" si="17"/>
        <v>60</v>
      </c>
      <c r="AA36" s="83">
        <f t="shared" si="17"/>
        <v>201</v>
      </c>
      <c r="AB36" s="83">
        <f t="shared" si="17"/>
        <v>213</v>
      </c>
      <c r="AC36" s="83">
        <f t="shared" si="17"/>
        <v>964.94</v>
      </c>
      <c r="AD36" s="83">
        <f t="shared" si="17"/>
        <v>118.3</v>
      </c>
      <c r="AE36" s="83">
        <f t="shared" si="17"/>
        <v>165</v>
      </c>
      <c r="AF36" s="83">
        <f t="shared" si="17"/>
        <v>218</v>
      </c>
      <c r="AG36" s="62">
        <f t="shared" si="8"/>
        <v>7741.44</v>
      </c>
      <c r="AH36" s="84"/>
      <c r="AI36" s="85"/>
      <c r="AJ36" s="63" t="s">
        <v>265</v>
      </c>
      <c r="AK36" s="64">
        <f>AK37+AK38+AK46+AK48+AK39+AK40+AK41+AK42+AK43+AK44+AK45+AK47</f>
        <v>223.24414715719067</v>
      </c>
      <c r="AL36" s="64">
        <f t="shared" ref="AL36:BO36" si="18">AL37+AL38+AL46+AL48</f>
        <v>437.29096989966558</v>
      </c>
      <c r="AM36" s="64">
        <f t="shared" si="18"/>
        <v>275.08361204013374</v>
      </c>
      <c r="AN36" s="64">
        <f t="shared" si="18"/>
        <v>42.642140468227424</v>
      </c>
      <c r="AO36" s="64">
        <f t="shared" si="18"/>
        <v>59.364548494983282</v>
      </c>
      <c r="AP36" s="64">
        <f t="shared" si="18"/>
        <v>96.15384615384616</v>
      </c>
      <c r="AQ36" s="64">
        <f t="shared" si="18"/>
        <v>183.1103678929766</v>
      </c>
      <c r="AR36" s="64">
        <f t="shared" si="18"/>
        <v>99.498327759197338</v>
      </c>
      <c r="AS36" s="64">
        <f t="shared" si="18"/>
        <v>239.9665551839465</v>
      </c>
      <c r="AT36" s="64">
        <f t="shared" si="18"/>
        <v>84.448160535117054</v>
      </c>
      <c r="AU36" s="64">
        <f t="shared" si="18"/>
        <v>89.464882943143806</v>
      </c>
      <c r="AV36" s="64">
        <f t="shared" si="18"/>
        <v>80.267558528428097</v>
      </c>
      <c r="AW36" s="64">
        <f t="shared" si="18"/>
        <v>314.38127090301003</v>
      </c>
      <c r="AX36" s="64">
        <f t="shared" si="18"/>
        <v>356.18729096989972</v>
      </c>
      <c r="AY36" s="64">
        <f t="shared" si="18"/>
        <v>332.77591973244148</v>
      </c>
      <c r="AZ36" s="64">
        <f t="shared" si="18"/>
        <v>341.97324414715717</v>
      </c>
      <c r="BA36" s="64">
        <f t="shared" si="18"/>
        <v>82.77591973244148</v>
      </c>
      <c r="BB36" s="64">
        <f t="shared" si="18"/>
        <v>42.642140468227424</v>
      </c>
      <c r="BC36" s="64">
        <f t="shared" si="18"/>
        <v>130.43478260869566</v>
      </c>
      <c r="BD36" s="64">
        <f t="shared" si="18"/>
        <v>394.81605351170572</v>
      </c>
      <c r="BE36" s="64">
        <f t="shared" si="18"/>
        <v>139.63210702341138</v>
      </c>
      <c r="BF36" s="64">
        <f t="shared" si="18"/>
        <v>241.63879598662206</v>
      </c>
      <c r="BG36" s="64">
        <f t="shared" si="18"/>
        <v>255.85284280936457</v>
      </c>
      <c r="BH36" s="64">
        <f t="shared" si="18"/>
        <v>130.43478260869566</v>
      </c>
      <c r="BI36" s="64">
        <f t="shared" si="18"/>
        <v>50.167224080267559</v>
      </c>
      <c r="BJ36" s="64">
        <f t="shared" si="18"/>
        <v>168.06020066889633</v>
      </c>
      <c r="BK36" s="64">
        <f t="shared" si="18"/>
        <v>178.09364548494983</v>
      </c>
      <c r="BL36" s="64">
        <f t="shared" si="18"/>
        <v>806.80602006688969</v>
      </c>
      <c r="BM36" s="64">
        <f t="shared" si="18"/>
        <v>98.913043478260875</v>
      </c>
      <c r="BN36" s="64">
        <f t="shared" si="18"/>
        <v>137.95986622073579</v>
      </c>
      <c r="BO36" s="64">
        <f t="shared" si="18"/>
        <v>182.27424749163879</v>
      </c>
      <c r="BP36" s="64">
        <f>BP37+BP38+BP46+BP48+BP39+BP40+BP41+BP42+BP43+BP44+BP45+BP47</f>
        <v>6472.7759197324403</v>
      </c>
    </row>
    <row r="37" spans="1:68" ht="20.100000000000001" customHeight="1" x14ac:dyDescent="0.25">
      <c r="A37" s="66" t="s">
        <v>266</v>
      </c>
      <c r="B37" s="67">
        <v>252</v>
      </c>
      <c r="C37" s="67">
        <v>303</v>
      </c>
      <c r="D37" s="67">
        <v>84</v>
      </c>
      <c r="E37" s="67">
        <v>51</v>
      </c>
      <c r="F37" s="67">
        <v>66</v>
      </c>
      <c r="G37" s="67">
        <v>105</v>
      </c>
      <c r="H37" s="67">
        <v>219</v>
      </c>
      <c r="I37" s="67">
        <v>99</v>
      </c>
      <c r="J37" s="67">
        <v>267</v>
      </c>
      <c r="K37" s="67">
        <v>96</v>
      </c>
      <c r="L37" s="67">
        <v>102</v>
      </c>
      <c r="M37" s="67">
        <v>96</v>
      </c>
      <c r="N37" s="74">
        <v>366</v>
      </c>
      <c r="O37" s="67">
        <v>396</v>
      </c>
      <c r="P37" s="67">
        <v>393</v>
      </c>
      <c r="Q37" s="67">
        <v>219</v>
      </c>
      <c r="R37" s="67">
        <v>99</v>
      </c>
      <c r="S37" s="67">
        <v>51</v>
      </c>
      <c r="T37" s="67">
        <v>156</v>
      </c>
      <c r="U37" s="67">
        <v>135</v>
      </c>
      <c r="V37" s="67">
        <v>129</v>
      </c>
      <c r="W37" s="67">
        <v>279</v>
      </c>
      <c r="X37" s="67">
        <v>291</v>
      </c>
      <c r="Y37" s="67">
        <v>156</v>
      </c>
      <c r="Z37" s="67">
        <v>60</v>
      </c>
      <c r="AA37" s="67">
        <v>201</v>
      </c>
      <c r="AB37" s="67">
        <v>213</v>
      </c>
      <c r="AC37" s="67">
        <v>120</v>
      </c>
      <c r="AD37" s="67">
        <v>118.3</v>
      </c>
      <c r="AE37" s="67">
        <v>165</v>
      </c>
      <c r="AF37" s="67">
        <v>213</v>
      </c>
      <c r="AG37" s="72">
        <f t="shared" si="8"/>
        <v>5500.3</v>
      </c>
      <c r="AH37" s="75"/>
      <c r="AI37" s="76"/>
      <c r="AJ37" s="71" t="str">
        <f t="shared" ref="AJ37:AJ49" si="19">A37</f>
        <v>Seaux</v>
      </c>
      <c r="AK37" s="67">
        <f t="shared" ref="AK37:AZ50" si="20">B37/$AL$1</f>
        <v>210.70234113712377</v>
      </c>
      <c r="AL37" s="67">
        <f t="shared" si="20"/>
        <v>253.34448160535118</v>
      </c>
      <c r="AM37" s="67">
        <f t="shared" si="20"/>
        <v>70.23411371237458</v>
      </c>
      <c r="AN37" s="67">
        <f t="shared" si="20"/>
        <v>42.642140468227424</v>
      </c>
      <c r="AO37" s="67">
        <f t="shared" si="20"/>
        <v>55.183946488294318</v>
      </c>
      <c r="AP37" s="67">
        <f t="shared" si="20"/>
        <v>87.792642140468232</v>
      </c>
      <c r="AQ37" s="67">
        <f t="shared" si="20"/>
        <v>183.1103678929766</v>
      </c>
      <c r="AR37" s="67">
        <f t="shared" si="20"/>
        <v>82.77591973244148</v>
      </c>
      <c r="AS37" s="67">
        <f t="shared" si="20"/>
        <v>223.24414715719064</v>
      </c>
      <c r="AT37" s="67">
        <f t="shared" si="20"/>
        <v>80.267558528428097</v>
      </c>
      <c r="AU37" s="67">
        <f t="shared" si="20"/>
        <v>85.284280936454849</v>
      </c>
      <c r="AV37" s="67">
        <f t="shared" si="20"/>
        <v>80.267558528428097</v>
      </c>
      <c r="AW37" s="67">
        <f t="shared" si="20"/>
        <v>306.02006688963212</v>
      </c>
      <c r="AX37" s="67">
        <f t="shared" si="20"/>
        <v>331.10367892976592</v>
      </c>
      <c r="AY37" s="67">
        <f t="shared" si="20"/>
        <v>328.59531772575252</v>
      </c>
      <c r="AZ37" s="67">
        <f t="shared" si="20"/>
        <v>183.1103678929766</v>
      </c>
      <c r="BA37" s="67">
        <f t="shared" ref="BA37:BO50" si="21">R37/$AL$1</f>
        <v>82.77591973244148</v>
      </c>
      <c r="BB37" s="67">
        <f t="shared" si="21"/>
        <v>42.642140468227424</v>
      </c>
      <c r="BC37" s="67">
        <f t="shared" si="21"/>
        <v>130.43478260869566</v>
      </c>
      <c r="BD37" s="67">
        <f t="shared" si="21"/>
        <v>112.87625418060202</v>
      </c>
      <c r="BE37" s="67">
        <f t="shared" si="21"/>
        <v>107.85953177257525</v>
      </c>
      <c r="BF37" s="67">
        <f t="shared" si="21"/>
        <v>233.27759197324414</v>
      </c>
      <c r="BG37" s="67">
        <f t="shared" si="21"/>
        <v>243.31103678929767</v>
      </c>
      <c r="BH37" s="67">
        <f t="shared" si="21"/>
        <v>130.43478260869566</v>
      </c>
      <c r="BI37" s="67">
        <f t="shared" si="21"/>
        <v>50.167224080267559</v>
      </c>
      <c r="BJ37" s="67">
        <f t="shared" si="21"/>
        <v>168.06020066889633</v>
      </c>
      <c r="BK37" s="67">
        <f t="shared" si="21"/>
        <v>178.09364548494983</v>
      </c>
      <c r="BL37" s="67">
        <f t="shared" si="21"/>
        <v>100.33444816053512</v>
      </c>
      <c r="BM37" s="67">
        <f>AD37/$AL$1</f>
        <v>98.913043478260875</v>
      </c>
      <c r="BN37" s="67">
        <f>AE37/$AL$1</f>
        <v>137.95986622073579</v>
      </c>
      <c r="BO37" s="67">
        <f>AF37/$AL$1</f>
        <v>178.09364548494983</v>
      </c>
      <c r="BP37" s="72">
        <f>SUM(AK37:BO37)</f>
        <v>4598.9130434782601</v>
      </c>
    </row>
    <row r="38" spans="1:68" ht="20.100000000000001" customHeight="1" x14ac:dyDescent="0.25">
      <c r="A38" s="73" t="s">
        <v>267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86"/>
      <c r="O38" s="74"/>
      <c r="P38" s="74"/>
      <c r="Q38" s="74"/>
      <c r="R38" s="74"/>
      <c r="S38" s="74"/>
      <c r="T38" s="74"/>
      <c r="U38" s="74">
        <v>332.2</v>
      </c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2">
        <f t="shared" ref="AG38:AG49" si="22">SUM(B38:AF38)</f>
        <v>332.2</v>
      </c>
      <c r="AH38" s="75"/>
      <c r="AI38" s="76"/>
      <c r="AJ38" s="71" t="str">
        <f t="shared" si="19"/>
        <v>Commission Leçons</v>
      </c>
      <c r="AK38" s="67">
        <f t="shared" si="20"/>
        <v>0</v>
      </c>
      <c r="AL38" s="67">
        <f t="shared" si="20"/>
        <v>0</v>
      </c>
      <c r="AM38" s="67">
        <f t="shared" si="20"/>
        <v>0</v>
      </c>
      <c r="AN38" s="67">
        <f t="shared" si="20"/>
        <v>0</v>
      </c>
      <c r="AO38" s="67">
        <f t="shared" si="20"/>
        <v>0</v>
      </c>
      <c r="AP38" s="67">
        <f t="shared" si="20"/>
        <v>0</v>
      </c>
      <c r="AQ38" s="67">
        <f t="shared" si="20"/>
        <v>0</v>
      </c>
      <c r="AR38" s="67">
        <f t="shared" si="20"/>
        <v>0</v>
      </c>
      <c r="AS38" s="67">
        <f t="shared" si="20"/>
        <v>0</v>
      </c>
      <c r="AT38" s="67">
        <f t="shared" si="20"/>
        <v>0</v>
      </c>
      <c r="AU38" s="67">
        <f t="shared" si="20"/>
        <v>0</v>
      </c>
      <c r="AV38" s="67">
        <f t="shared" si="20"/>
        <v>0</v>
      </c>
      <c r="AW38" s="67">
        <f t="shared" si="20"/>
        <v>0</v>
      </c>
      <c r="AX38" s="67">
        <f t="shared" si="20"/>
        <v>0</v>
      </c>
      <c r="AY38" s="67">
        <f t="shared" si="20"/>
        <v>0</v>
      </c>
      <c r="AZ38" s="67">
        <f t="shared" si="20"/>
        <v>0</v>
      </c>
      <c r="BA38" s="67">
        <f t="shared" si="21"/>
        <v>0</v>
      </c>
      <c r="BB38" s="67">
        <f t="shared" si="21"/>
        <v>0</v>
      </c>
      <c r="BC38" s="67">
        <f t="shared" si="21"/>
        <v>0</v>
      </c>
      <c r="BD38" s="67">
        <f t="shared" si="21"/>
        <v>277.75919732441474</v>
      </c>
      <c r="BE38" s="67">
        <f t="shared" si="21"/>
        <v>0</v>
      </c>
      <c r="BF38" s="67">
        <f t="shared" si="21"/>
        <v>0</v>
      </c>
      <c r="BG38" s="67">
        <f t="shared" si="21"/>
        <v>0</v>
      </c>
      <c r="BH38" s="67">
        <f t="shared" si="21"/>
        <v>0</v>
      </c>
      <c r="BI38" s="67">
        <f t="shared" si="21"/>
        <v>0</v>
      </c>
      <c r="BJ38" s="67">
        <f t="shared" si="21"/>
        <v>0</v>
      </c>
      <c r="BK38" s="67">
        <f t="shared" si="21"/>
        <v>0</v>
      </c>
      <c r="BL38" s="67">
        <f t="shared" si="21"/>
        <v>0</v>
      </c>
      <c r="BM38" s="67">
        <f t="shared" si="21"/>
        <v>0</v>
      </c>
      <c r="BN38" s="67">
        <f t="shared" si="21"/>
        <v>0</v>
      </c>
      <c r="BO38" s="67">
        <f t="shared" si="21"/>
        <v>0</v>
      </c>
      <c r="BP38" s="72">
        <f t="shared" ref="BP38:BP50" si="23">SUM(AK38:BO38)</f>
        <v>277.75919732441474</v>
      </c>
    </row>
    <row r="39" spans="1:68" ht="20.100000000000001" customHeight="1" x14ac:dyDescent="0.25">
      <c r="A39" s="73" t="s">
        <v>268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86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2">
        <f t="shared" si="22"/>
        <v>0</v>
      </c>
      <c r="AH39" s="75"/>
      <c r="AI39" s="76"/>
      <c r="AJ39" s="71" t="str">
        <f t="shared" si="19"/>
        <v>Location emplacement voiture</v>
      </c>
      <c r="AK39" s="67">
        <f t="shared" si="20"/>
        <v>0</v>
      </c>
      <c r="AL39" s="67">
        <f t="shared" si="20"/>
        <v>0</v>
      </c>
      <c r="AM39" s="67">
        <f t="shared" si="20"/>
        <v>0</v>
      </c>
      <c r="AN39" s="67">
        <f t="shared" si="20"/>
        <v>0</v>
      </c>
      <c r="AO39" s="67">
        <f t="shared" si="20"/>
        <v>0</v>
      </c>
      <c r="AP39" s="67">
        <f t="shared" si="20"/>
        <v>0</v>
      </c>
      <c r="AQ39" s="67">
        <f t="shared" si="20"/>
        <v>0</v>
      </c>
      <c r="AR39" s="67">
        <f t="shared" si="20"/>
        <v>0</v>
      </c>
      <c r="AS39" s="67">
        <f t="shared" si="20"/>
        <v>0</v>
      </c>
      <c r="AT39" s="67">
        <f t="shared" si="20"/>
        <v>0</v>
      </c>
      <c r="AU39" s="67">
        <f t="shared" si="20"/>
        <v>0</v>
      </c>
      <c r="AV39" s="67">
        <f t="shared" si="20"/>
        <v>0</v>
      </c>
      <c r="AW39" s="67">
        <f t="shared" si="20"/>
        <v>0</v>
      </c>
      <c r="AX39" s="67">
        <f t="shared" si="20"/>
        <v>0</v>
      </c>
      <c r="AY39" s="67">
        <f t="shared" si="20"/>
        <v>0</v>
      </c>
      <c r="AZ39" s="67">
        <f t="shared" si="20"/>
        <v>0</v>
      </c>
      <c r="BA39" s="67">
        <f t="shared" si="21"/>
        <v>0</v>
      </c>
      <c r="BB39" s="67">
        <f t="shared" si="21"/>
        <v>0</v>
      </c>
      <c r="BC39" s="67">
        <f t="shared" si="21"/>
        <v>0</v>
      </c>
      <c r="BD39" s="67">
        <f t="shared" si="21"/>
        <v>0</v>
      </c>
      <c r="BE39" s="67">
        <f t="shared" si="21"/>
        <v>0</v>
      </c>
      <c r="BF39" s="67">
        <f t="shared" si="21"/>
        <v>0</v>
      </c>
      <c r="BG39" s="67">
        <f t="shared" si="21"/>
        <v>0</v>
      </c>
      <c r="BH39" s="67">
        <f t="shared" si="21"/>
        <v>0</v>
      </c>
      <c r="BI39" s="67">
        <f t="shared" si="21"/>
        <v>0</v>
      </c>
      <c r="BJ39" s="67">
        <f t="shared" si="21"/>
        <v>0</v>
      </c>
      <c r="BK39" s="67">
        <f t="shared" si="21"/>
        <v>0</v>
      </c>
      <c r="BL39" s="67">
        <f t="shared" si="21"/>
        <v>0</v>
      </c>
      <c r="BM39" s="67">
        <f t="shared" si="21"/>
        <v>0</v>
      </c>
      <c r="BN39" s="67">
        <f t="shared" si="21"/>
        <v>0</v>
      </c>
      <c r="BO39" s="67">
        <f t="shared" si="21"/>
        <v>0</v>
      </c>
      <c r="BP39" s="72">
        <f t="shared" si="23"/>
        <v>0</v>
      </c>
    </row>
    <row r="40" spans="1:68" ht="20.100000000000001" customHeight="1" x14ac:dyDescent="0.25">
      <c r="A40" s="73" t="s">
        <v>269</v>
      </c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86"/>
      <c r="O40" s="74"/>
      <c r="P40" s="74">
        <v>192</v>
      </c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2">
        <f t="shared" si="22"/>
        <v>192</v>
      </c>
      <c r="AH40" s="75"/>
      <c r="AI40" s="76"/>
      <c r="AJ40" s="71" t="str">
        <f t="shared" si="19"/>
        <v>Droit de compét</v>
      </c>
      <c r="AK40" s="67">
        <f t="shared" si="20"/>
        <v>0</v>
      </c>
      <c r="AL40" s="67">
        <f t="shared" si="20"/>
        <v>0</v>
      </c>
      <c r="AM40" s="67">
        <f t="shared" si="20"/>
        <v>0</v>
      </c>
      <c r="AN40" s="67">
        <f t="shared" si="20"/>
        <v>0</v>
      </c>
      <c r="AO40" s="67">
        <f t="shared" si="20"/>
        <v>0</v>
      </c>
      <c r="AP40" s="67">
        <f t="shared" si="20"/>
        <v>0</v>
      </c>
      <c r="AQ40" s="67">
        <f t="shared" si="20"/>
        <v>0</v>
      </c>
      <c r="AR40" s="67">
        <f t="shared" si="20"/>
        <v>0</v>
      </c>
      <c r="AS40" s="67">
        <f t="shared" si="20"/>
        <v>0</v>
      </c>
      <c r="AT40" s="67">
        <f t="shared" si="20"/>
        <v>0</v>
      </c>
      <c r="AU40" s="67">
        <f t="shared" si="20"/>
        <v>0</v>
      </c>
      <c r="AV40" s="67">
        <f t="shared" si="20"/>
        <v>0</v>
      </c>
      <c r="AW40" s="67">
        <f t="shared" si="20"/>
        <v>0</v>
      </c>
      <c r="AX40" s="67">
        <f t="shared" si="20"/>
        <v>0</v>
      </c>
      <c r="AY40" s="67">
        <f t="shared" si="20"/>
        <v>160.53511705685619</v>
      </c>
      <c r="AZ40" s="67">
        <f t="shared" si="20"/>
        <v>0</v>
      </c>
      <c r="BA40" s="67">
        <f t="shared" si="21"/>
        <v>0</v>
      </c>
      <c r="BB40" s="67">
        <f t="shared" si="21"/>
        <v>0</v>
      </c>
      <c r="BC40" s="67">
        <f t="shared" si="21"/>
        <v>0</v>
      </c>
      <c r="BD40" s="67">
        <f t="shared" si="21"/>
        <v>0</v>
      </c>
      <c r="BE40" s="67">
        <f t="shared" si="21"/>
        <v>0</v>
      </c>
      <c r="BF40" s="67">
        <f t="shared" si="21"/>
        <v>0</v>
      </c>
      <c r="BG40" s="67">
        <f t="shared" si="21"/>
        <v>0</v>
      </c>
      <c r="BH40" s="67">
        <f t="shared" si="21"/>
        <v>0</v>
      </c>
      <c r="BI40" s="67">
        <f t="shared" si="21"/>
        <v>0</v>
      </c>
      <c r="BJ40" s="67">
        <f t="shared" si="21"/>
        <v>0</v>
      </c>
      <c r="BK40" s="67">
        <f t="shared" si="21"/>
        <v>0</v>
      </c>
      <c r="BL40" s="67">
        <f t="shared" si="21"/>
        <v>0</v>
      </c>
      <c r="BM40" s="67">
        <f t="shared" si="21"/>
        <v>0</v>
      </c>
      <c r="BN40" s="67">
        <f t="shared" si="21"/>
        <v>0</v>
      </c>
      <c r="BO40" s="67">
        <f t="shared" si="21"/>
        <v>0</v>
      </c>
      <c r="BP40" s="72">
        <f t="shared" si="23"/>
        <v>160.53511705685619</v>
      </c>
    </row>
    <row r="41" spans="1:68" ht="20.100000000000001" customHeight="1" x14ac:dyDescent="0.25">
      <c r="A41" s="73" t="s">
        <v>270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86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2">
        <f t="shared" si="22"/>
        <v>0</v>
      </c>
      <c r="AH41" s="75"/>
      <c r="AI41" s="76"/>
      <c r="AJ41" s="71" t="str">
        <f t="shared" si="19"/>
        <v>Duplicata FFG 10€</v>
      </c>
      <c r="AK41" s="67">
        <f t="shared" si="20"/>
        <v>0</v>
      </c>
      <c r="AL41" s="67">
        <f t="shared" si="20"/>
        <v>0</v>
      </c>
      <c r="AM41" s="67">
        <f t="shared" si="20"/>
        <v>0</v>
      </c>
      <c r="AN41" s="67">
        <f t="shared" si="20"/>
        <v>0</v>
      </c>
      <c r="AO41" s="67">
        <f t="shared" si="20"/>
        <v>0</v>
      </c>
      <c r="AP41" s="67">
        <f t="shared" si="20"/>
        <v>0</v>
      </c>
      <c r="AQ41" s="67">
        <f t="shared" si="20"/>
        <v>0</v>
      </c>
      <c r="AR41" s="67">
        <f t="shared" si="20"/>
        <v>0</v>
      </c>
      <c r="AS41" s="67">
        <f t="shared" si="20"/>
        <v>0</v>
      </c>
      <c r="AT41" s="67">
        <f t="shared" si="20"/>
        <v>0</v>
      </c>
      <c r="AU41" s="67">
        <f t="shared" si="20"/>
        <v>0</v>
      </c>
      <c r="AV41" s="67">
        <f t="shared" si="20"/>
        <v>0</v>
      </c>
      <c r="AW41" s="67">
        <f t="shared" si="20"/>
        <v>0</v>
      </c>
      <c r="AX41" s="67">
        <f t="shared" si="20"/>
        <v>0</v>
      </c>
      <c r="AY41" s="67">
        <f t="shared" si="20"/>
        <v>0</v>
      </c>
      <c r="AZ41" s="67">
        <f t="shared" si="20"/>
        <v>0</v>
      </c>
      <c r="BA41" s="67">
        <f t="shared" si="21"/>
        <v>0</v>
      </c>
      <c r="BB41" s="67">
        <f t="shared" si="21"/>
        <v>0</v>
      </c>
      <c r="BC41" s="67">
        <f t="shared" si="21"/>
        <v>0</v>
      </c>
      <c r="BD41" s="67">
        <f t="shared" si="21"/>
        <v>0</v>
      </c>
      <c r="BE41" s="67">
        <f t="shared" si="21"/>
        <v>0</v>
      </c>
      <c r="BF41" s="67">
        <f t="shared" si="21"/>
        <v>0</v>
      </c>
      <c r="BG41" s="67">
        <f t="shared" si="21"/>
        <v>0</v>
      </c>
      <c r="BH41" s="67">
        <f t="shared" si="21"/>
        <v>0</v>
      </c>
      <c r="BI41" s="67">
        <f t="shared" si="21"/>
        <v>0</v>
      </c>
      <c r="BJ41" s="67">
        <f t="shared" si="21"/>
        <v>0</v>
      </c>
      <c r="BK41" s="67">
        <f t="shared" si="21"/>
        <v>0</v>
      </c>
      <c r="BL41" s="67">
        <f t="shared" si="21"/>
        <v>0</v>
      </c>
      <c r="BM41" s="67">
        <f t="shared" si="21"/>
        <v>0</v>
      </c>
      <c r="BN41" s="67">
        <f t="shared" si="21"/>
        <v>0</v>
      </c>
      <c r="BO41" s="67">
        <f t="shared" si="21"/>
        <v>0</v>
      </c>
      <c r="BP41" s="72">
        <f t="shared" si="23"/>
        <v>0</v>
      </c>
    </row>
    <row r="42" spans="1:68" ht="20.100000000000001" customHeight="1" x14ac:dyDescent="0.25">
      <c r="A42" s="73" t="s">
        <v>271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86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2">
        <f t="shared" si="22"/>
        <v>0</v>
      </c>
      <c r="AH42" s="75"/>
      <c r="AI42" s="76"/>
      <c r="AJ42" s="71" t="str">
        <f t="shared" si="19"/>
        <v>Comm FFG jr et perso 1,55 €</v>
      </c>
      <c r="AK42" s="67">
        <f t="shared" si="20"/>
        <v>0</v>
      </c>
      <c r="AL42" s="67">
        <f t="shared" si="20"/>
        <v>0</v>
      </c>
      <c r="AM42" s="67">
        <f t="shared" si="20"/>
        <v>0</v>
      </c>
      <c r="AN42" s="67">
        <f t="shared" si="20"/>
        <v>0</v>
      </c>
      <c r="AO42" s="67">
        <f t="shared" si="20"/>
        <v>0</v>
      </c>
      <c r="AP42" s="67">
        <f t="shared" si="20"/>
        <v>0</v>
      </c>
      <c r="AQ42" s="67">
        <f t="shared" si="20"/>
        <v>0</v>
      </c>
      <c r="AR42" s="67">
        <f t="shared" si="20"/>
        <v>0</v>
      </c>
      <c r="AS42" s="67">
        <f t="shared" si="20"/>
        <v>0</v>
      </c>
      <c r="AT42" s="67">
        <f t="shared" si="20"/>
        <v>0</v>
      </c>
      <c r="AU42" s="67">
        <f t="shared" si="20"/>
        <v>0</v>
      </c>
      <c r="AV42" s="67">
        <f t="shared" si="20"/>
        <v>0</v>
      </c>
      <c r="AW42" s="67">
        <f t="shared" si="20"/>
        <v>0</v>
      </c>
      <c r="AX42" s="67">
        <f t="shared" si="20"/>
        <v>0</v>
      </c>
      <c r="AY42" s="67">
        <f t="shared" si="20"/>
        <v>0</v>
      </c>
      <c r="AZ42" s="67">
        <f t="shared" si="20"/>
        <v>0</v>
      </c>
      <c r="BA42" s="67">
        <f t="shared" si="21"/>
        <v>0</v>
      </c>
      <c r="BB42" s="67">
        <f t="shared" si="21"/>
        <v>0</v>
      </c>
      <c r="BC42" s="67">
        <f t="shared" si="21"/>
        <v>0</v>
      </c>
      <c r="BD42" s="67">
        <f t="shared" si="21"/>
        <v>0</v>
      </c>
      <c r="BE42" s="67">
        <f t="shared" si="21"/>
        <v>0</v>
      </c>
      <c r="BF42" s="67">
        <f t="shared" si="21"/>
        <v>0</v>
      </c>
      <c r="BG42" s="67">
        <f t="shared" si="21"/>
        <v>0</v>
      </c>
      <c r="BH42" s="67">
        <f t="shared" si="21"/>
        <v>0</v>
      </c>
      <c r="BI42" s="67">
        <f t="shared" si="21"/>
        <v>0</v>
      </c>
      <c r="BJ42" s="67">
        <f t="shared" si="21"/>
        <v>0</v>
      </c>
      <c r="BK42" s="67">
        <f t="shared" si="21"/>
        <v>0</v>
      </c>
      <c r="BL42" s="67">
        <f t="shared" si="21"/>
        <v>0</v>
      </c>
      <c r="BM42" s="67">
        <f t="shared" si="21"/>
        <v>0</v>
      </c>
      <c r="BN42" s="67">
        <f t="shared" si="21"/>
        <v>0</v>
      </c>
      <c r="BO42" s="67">
        <f t="shared" si="21"/>
        <v>0</v>
      </c>
      <c r="BP42" s="72">
        <f t="shared" si="23"/>
        <v>0</v>
      </c>
    </row>
    <row r="43" spans="1:68" ht="20.100000000000001" customHeight="1" x14ac:dyDescent="0.25">
      <c r="A43" s="73" t="s">
        <v>272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86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2">
        <f t="shared" si="22"/>
        <v>0</v>
      </c>
      <c r="AH43" s="75"/>
      <c r="AI43" s="76"/>
      <c r="AJ43" s="71" t="str">
        <f t="shared" si="19"/>
        <v>Comm FFG avec chgt 4,1 €</v>
      </c>
      <c r="AK43" s="67">
        <f t="shared" si="20"/>
        <v>0</v>
      </c>
      <c r="AL43" s="67">
        <f t="shared" si="20"/>
        <v>0</v>
      </c>
      <c r="AM43" s="67">
        <f t="shared" si="20"/>
        <v>0</v>
      </c>
      <c r="AN43" s="67">
        <f t="shared" si="20"/>
        <v>0</v>
      </c>
      <c r="AO43" s="67">
        <f t="shared" si="20"/>
        <v>0</v>
      </c>
      <c r="AP43" s="67">
        <f t="shared" si="20"/>
        <v>0</v>
      </c>
      <c r="AQ43" s="67">
        <f t="shared" si="20"/>
        <v>0</v>
      </c>
      <c r="AR43" s="67">
        <f t="shared" si="20"/>
        <v>0</v>
      </c>
      <c r="AS43" s="67">
        <f t="shared" si="20"/>
        <v>0</v>
      </c>
      <c r="AT43" s="67">
        <f t="shared" si="20"/>
        <v>0</v>
      </c>
      <c r="AU43" s="67">
        <f t="shared" si="20"/>
        <v>0</v>
      </c>
      <c r="AV43" s="67">
        <f t="shared" si="20"/>
        <v>0</v>
      </c>
      <c r="AW43" s="67">
        <f t="shared" si="20"/>
        <v>0</v>
      </c>
      <c r="AX43" s="67">
        <f t="shared" si="20"/>
        <v>0</v>
      </c>
      <c r="AY43" s="67">
        <f t="shared" si="20"/>
        <v>0</v>
      </c>
      <c r="AZ43" s="67">
        <f t="shared" si="20"/>
        <v>0</v>
      </c>
      <c r="BA43" s="67">
        <f t="shared" si="21"/>
        <v>0</v>
      </c>
      <c r="BB43" s="67">
        <f t="shared" si="21"/>
        <v>0</v>
      </c>
      <c r="BC43" s="67">
        <f t="shared" si="21"/>
        <v>0</v>
      </c>
      <c r="BD43" s="67">
        <f t="shared" si="21"/>
        <v>0</v>
      </c>
      <c r="BE43" s="67">
        <f t="shared" si="21"/>
        <v>0</v>
      </c>
      <c r="BF43" s="67">
        <f t="shared" si="21"/>
        <v>0</v>
      </c>
      <c r="BG43" s="67">
        <f t="shared" si="21"/>
        <v>0</v>
      </c>
      <c r="BH43" s="67">
        <f t="shared" si="21"/>
        <v>0</v>
      </c>
      <c r="BI43" s="67">
        <f t="shared" si="21"/>
        <v>0</v>
      </c>
      <c r="BJ43" s="67">
        <f t="shared" si="21"/>
        <v>0</v>
      </c>
      <c r="BK43" s="67">
        <f t="shared" si="21"/>
        <v>0</v>
      </c>
      <c r="BL43" s="67">
        <f t="shared" si="21"/>
        <v>0</v>
      </c>
      <c r="BM43" s="67">
        <f t="shared" si="21"/>
        <v>0</v>
      </c>
      <c r="BN43" s="67">
        <f t="shared" si="21"/>
        <v>0</v>
      </c>
      <c r="BO43" s="67">
        <f t="shared" si="21"/>
        <v>0</v>
      </c>
      <c r="BP43" s="72">
        <f t="shared" si="23"/>
        <v>0</v>
      </c>
    </row>
    <row r="44" spans="1:68" ht="20.100000000000001" customHeight="1" x14ac:dyDescent="0.25">
      <c r="A44" s="73" t="s">
        <v>273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86"/>
      <c r="O44" s="74"/>
      <c r="P44" s="74"/>
      <c r="Q44" s="74"/>
      <c r="R44" s="74"/>
      <c r="S44" s="74"/>
      <c r="T44" s="74"/>
      <c r="U44" s="74"/>
      <c r="V44" s="74"/>
      <c r="W44" s="74"/>
      <c r="X44" s="74">
        <v>3</v>
      </c>
      <c r="Y44" s="74"/>
      <c r="Z44" s="74"/>
      <c r="AA44" s="74"/>
      <c r="AB44" s="74"/>
      <c r="AC44" s="74"/>
      <c r="AD44" s="74"/>
      <c r="AE44" s="74"/>
      <c r="AF44" s="74"/>
      <c r="AG44" s="72">
        <f t="shared" si="22"/>
        <v>3</v>
      </c>
      <c r="AH44" s="75"/>
      <c r="AI44" s="76"/>
      <c r="AJ44" s="71" t="str">
        <f t="shared" si="19"/>
        <v>Commission FFG ss chgt 3€</v>
      </c>
      <c r="AK44" s="67">
        <f t="shared" si="20"/>
        <v>0</v>
      </c>
      <c r="AL44" s="67">
        <f t="shared" si="20"/>
        <v>0</v>
      </c>
      <c r="AM44" s="67">
        <f t="shared" si="20"/>
        <v>0</v>
      </c>
      <c r="AN44" s="67">
        <f t="shared" si="20"/>
        <v>0</v>
      </c>
      <c r="AO44" s="67">
        <f t="shared" si="20"/>
        <v>0</v>
      </c>
      <c r="AP44" s="67">
        <f t="shared" si="20"/>
        <v>0</v>
      </c>
      <c r="AQ44" s="67">
        <f t="shared" si="20"/>
        <v>0</v>
      </c>
      <c r="AR44" s="67">
        <f t="shared" si="20"/>
        <v>0</v>
      </c>
      <c r="AS44" s="67">
        <f t="shared" si="20"/>
        <v>0</v>
      </c>
      <c r="AT44" s="67">
        <f t="shared" si="20"/>
        <v>0</v>
      </c>
      <c r="AU44" s="67">
        <f t="shared" si="20"/>
        <v>0</v>
      </c>
      <c r="AV44" s="67">
        <f t="shared" si="20"/>
        <v>0</v>
      </c>
      <c r="AW44" s="67">
        <f t="shared" si="20"/>
        <v>0</v>
      </c>
      <c r="AX44" s="67">
        <f t="shared" si="20"/>
        <v>0</v>
      </c>
      <c r="AY44" s="67">
        <f t="shared" si="20"/>
        <v>0</v>
      </c>
      <c r="AZ44" s="67">
        <f t="shared" si="20"/>
        <v>0</v>
      </c>
      <c r="BA44" s="67">
        <f t="shared" si="21"/>
        <v>0</v>
      </c>
      <c r="BB44" s="67">
        <f t="shared" si="21"/>
        <v>0</v>
      </c>
      <c r="BC44" s="67">
        <f t="shared" si="21"/>
        <v>0</v>
      </c>
      <c r="BD44" s="67">
        <f t="shared" si="21"/>
        <v>0</v>
      </c>
      <c r="BE44" s="67">
        <f t="shared" si="21"/>
        <v>0</v>
      </c>
      <c r="BF44" s="67">
        <f t="shared" si="21"/>
        <v>0</v>
      </c>
      <c r="BG44" s="67">
        <f t="shared" si="21"/>
        <v>2.508361204013378</v>
      </c>
      <c r="BH44" s="67">
        <f t="shared" si="21"/>
        <v>0</v>
      </c>
      <c r="BI44" s="67">
        <f t="shared" si="21"/>
        <v>0</v>
      </c>
      <c r="BJ44" s="67">
        <f t="shared" si="21"/>
        <v>0</v>
      </c>
      <c r="BK44" s="67">
        <f t="shared" si="21"/>
        <v>0</v>
      </c>
      <c r="BL44" s="67">
        <f t="shared" si="21"/>
        <v>0</v>
      </c>
      <c r="BM44" s="67">
        <f t="shared" si="21"/>
        <v>0</v>
      </c>
      <c r="BN44" s="67">
        <f t="shared" si="21"/>
        <v>0</v>
      </c>
      <c r="BO44" s="67">
        <f t="shared" si="21"/>
        <v>0</v>
      </c>
      <c r="BP44" s="72">
        <f t="shared" si="23"/>
        <v>2.508361204013378</v>
      </c>
    </row>
    <row r="45" spans="1:68" ht="20.100000000000001" customHeight="1" x14ac:dyDescent="0.25">
      <c r="A45" s="73" t="s">
        <v>274</v>
      </c>
      <c r="B45" s="74"/>
      <c r="C45" s="74"/>
      <c r="D45" s="74"/>
      <c r="E45" s="74"/>
      <c r="F45" s="74"/>
      <c r="G45" s="74"/>
      <c r="H45" s="74"/>
      <c r="I45" s="74"/>
      <c r="J45" s="74">
        <v>8</v>
      </c>
      <c r="K45" s="74"/>
      <c r="L45" s="74"/>
      <c r="M45" s="74"/>
      <c r="N45" s="87"/>
      <c r="O45" s="74">
        <v>8</v>
      </c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2">
        <f t="shared" si="22"/>
        <v>16</v>
      </c>
      <c r="AH45" s="75"/>
      <c r="AI45" s="76"/>
      <c r="AJ45" s="71" t="str">
        <f t="shared" si="19"/>
        <v>Commission FFG créa 8€</v>
      </c>
      <c r="AK45" s="67">
        <f t="shared" si="20"/>
        <v>0</v>
      </c>
      <c r="AL45" s="67">
        <f t="shared" si="20"/>
        <v>0</v>
      </c>
      <c r="AM45" s="67">
        <f t="shared" si="20"/>
        <v>0</v>
      </c>
      <c r="AN45" s="67">
        <f t="shared" si="20"/>
        <v>0</v>
      </c>
      <c r="AO45" s="67">
        <f t="shared" si="20"/>
        <v>0</v>
      </c>
      <c r="AP45" s="67">
        <f t="shared" si="20"/>
        <v>0</v>
      </c>
      <c r="AQ45" s="67">
        <f t="shared" si="20"/>
        <v>0</v>
      </c>
      <c r="AR45" s="67">
        <f t="shared" si="20"/>
        <v>0</v>
      </c>
      <c r="AS45" s="67">
        <f t="shared" si="20"/>
        <v>6.6889632107023411</v>
      </c>
      <c r="AT45" s="67">
        <f t="shared" si="20"/>
        <v>0</v>
      </c>
      <c r="AU45" s="67">
        <f t="shared" si="20"/>
        <v>0</v>
      </c>
      <c r="AV45" s="67">
        <f t="shared" si="20"/>
        <v>0</v>
      </c>
      <c r="AW45" s="67">
        <f t="shared" si="20"/>
        <v>0</v>
      </c>
      <c r="AX45" s="67">
        <f t="shared" si="20"/>
        <v>6.6889632107023411</v>
      </c>
      <c r="AY45" s="67">
        <f t="shared" si="20"/>
        <v>0</v>
      </c>
      <c r="AZ45" s="67">
        <f t="shared" si="20"/>
        <v>0</v>
      </c>
      <c r="BA45" s="67">
        <f t="shared" si="21"/>
        <v>0</v>
      </c>
      <c r="BB45" s="67">
        <f t="shared" si="21"/>
        <v>0</v>
      </c>
      <c r="BC45" s="67">
        <f t="shared" si="21"/>
        <v>0</v>
      </c>
      <c r="BD45" s="67">
        <f t="shared" si="21"/>
        <v>0</v>
      </c>
      <c r="BE45" s="67">
        <f t="shared" si="21"/>
        <v>0</v>
      </c>
      <c r="BF45" s="67">
        <f t="shared" si="21"/>
        <v>0</v>
      </c>
      <c r="BG45" s="67">
        <f t="shared" si="21"/>
        <v>0</v>
      </c>
      <c r="BH45" s="67">
        <f t="shared" si="21"/>
        <v>0</v>
      </c>
      <c r="BI45" s="67">
        <f t="shared" si="21"/>
        <v>0</v>
      </c>
      <c r="BJ45" s="67">
        <f t="shared" si="21"/>
        <v>0</v>
      </c>
      <c r="BK45" s="67">
        <f t="shared" si="21"/>
        <v>0</v>
      </c>
      <c r="BL45" s="67">
        <f t="shared" si="21"/>
        <v>0</v>
      </c>
      <c r="BM45" s="67">
        <f t="shared" si="21"/>
        <v>0</v>
      </c>
      <c r="BN45" s="67">
        <f t="shared" si="21"/>
        <v>0</v>
      </c>
      <c r="BO45" s="67">
        <f t="shared" si="21"/>
        <v>0</v>
      </c>
      <c r="BP45" s="72">
        <f t="shared" si="23"/>
        <v>13.377926421404682</v>
      </c>
    </row>
    <row r="46" spans="1:68" ht="20.100000000000001" customHeight="1" x14ac:dyDescent="0.25">
      <c r="A46" s="73" t="s">
        <v>275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88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2">
        <f t="shared" si="22"/>
        <v>0</v>
      </c>
      <c r="AH46" s="75"/>
      <c r="AI46" s="76"/>
      <c r="AJ46" s="71" t="str">
        <f t="shared" si="19"/>
        <v>Commission FFG 3,55/1,53</v>
      </c>
      <c r="AK46" s="67">
        <f t="shared" si="20"/>
        <v>0</v>
      </c>
      <c r="AL46" s="67">
        <f t="shared" si="20"/>
        <v>0</v>
      </c>
      <c r="AM46" s="67">
        <f t="shared" si="20"/>
        <v>0</v>
      </c>
      <c r="AN46" s="67">
        <f t="shared" si="20"/>
        <v>0</v>
      </c>
      <c r="AO46" s="67">
        <f t="shared" si="20"/>
        <v>0</v>
      </c>
      <c r="AP46" s="67">
        <f t="shared" si="20"/>
        <v>0</v>
      </c>
      <c r="AQ46" s="67">
        <f t="shared" si="20"/>
        <v>0</v>
      </c>
      <c r="AR46" s="67">
        <f t="shared" si="20"/>
        <v>0</v>
      </c>
      <c r="AS46" s="67">
        <f t="shared" si="20"/>
        <v>0</v>
      </c>
      <c r="AT46" s="67">
        <f t="shared" si="20"/>
        <v>0</v>
      </c>
      <c r="AU46" s="67">
        <f t="shared" si="20"/>
        <v>0</v>
      </c>
      <c r="AV46" s="67">
        <f t="shared" si="20"/>
        <v>0</v>
      </c>
      <c r="AW46" s="67">
        <f>N14/$AL$1</f>
        <v>0</v>
      </c>
      <c r="AX46" s="67">
        <f t="shared" si="20"/>
        <v>0</v>
      </c>
      <c r="AY46" s="67">
        <f t="shared" si="20"/>
        <v>0</v>
      </c>
      <c r="AZ46" s="67">
        <f t="shared" si="20"/>
        <v>0</v>
      </c>
      <c r="BA46" s="67">
        <f t="shared" si="21"/>
        <v>0</v>
      </c>
      <c r="BB46" s="67">
        <f t="shared" si="21"/>
        <v>0</v>
      </c>
      <c r="BC46" s="67">
        <f t="shared" si="21"/>
        <v>0</v>
      </c>
      <c r="BD46" s="67">
        <f t="shared" si="21"/>
        <v>0</v>
      </c>
      <c r="BE46" s="67">
        <f t="shared" si="21"/>
        <v>0</v>
      </c>
      <c r="BF46" s="67">
        <f t="shared" si="21"/>
        <v>0</v>
      </c>
      <c r="BG46" s="67">
        <f t="shared" si="21"/>
        <v>0</v>
      </c>
      <c r="BH46" s="67">
        <f t="shared" si="21"/>
        <v>0</v>
      </c>
      <c r="BI46" s="67">
        <f t="shared" si="21"/>
        <v>0</v>
      </c>
      <c r="BJ46" s="67">
        <f t="shared" si="21"/>
        <v>0</v>
      </c>
      <c r="BK46" s="67">
        <f t="shared" si="21"/>
        <v>0</v>
      </c>
      <c r="BL46" s="67">
        <f t="shared" si="21"/>
        <v>0</v>
      </c>
      <c r="BM46" s="67">
        <f t="shared" si="21"/>
        <v>0</v>
      </c>
      <c r="BN46" s="67">
        <f t="shared" si="21"/>
        <v>0</v>
      </c>
      <c r="BO46" s="67">
        <f t="shared" si="21"/>
        <v>0</v>
      </c>
      <c r="BP46" s="72">
        <f t="shared" si="23"/>
        <v>0</v>
      </c>
    </row>
    <row r="47" spans="1:68" ht="20.100000000000001" customHeight="1" x14ac:dyDescent="0.25">
      <c r="A47" s="73" t="s">
        <v>276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2">
        <f t="shared" si="22"/>
        <v>0</v>
      </c>
      <c r="AH47" s="75"/>
      <c r="AI47" s="76"/>
      <c r="AJ47" s="71" t="str">
        <f t="shared" si="19"/>
        <v>Droit de Roulage</v>
      </c>
      <c r="AK47" s="67">
        <f t="shared" si="20"/>
        <v>0</v>
      </c>
      <c r="AL47" s="67">
        <f t="shared" si="20"/>
        <v>0</v>
      </c>
      <c r="AM47" s="67">
        <f t="shared" si="20"/>
        <v>0</v>
      </c>
      <c r="AN47" s="67">
        <f t="shared" si="20"/>
        <v>0</v>
      </c>
      <c r="AO47" s="67">
        <f t="shared" si="20"/>
        <v>0</v>
      </c>
      <c r="AP47" s="67">
        <f t="shared" si="20"/>
        <v>0</v>
      </c>
      <c r="AQ47" s="67">
        <f t="shared" si="20"/>
        <v>0</v>
      </c>
      <c r="AR47" s="67">
        <f t="shared" si="20"/>
        <v>0</v>
      </c>
      <c r="AS47" s="67">
        <f t="shared" si="20"/>
        <v>0</v>
      </c>
      <c r="AT47" s="67">
        <f t="shared" si="20"/>
        <v>0</v>
      </c>
      <c r="AU47" s="67">
        <f t="shared" si="20"/>
        <v>0</v>
      </c>
      <c r="AV47" s="67">
        <f t="shared" si="20"/>
        <v>0</v>
      </c>
      <c r="AW47" s="67">
        <f>N47/$AL$1</f>
        <v>0</v>
      </c>
      <c r="AX47" s="67">
        <f t="shared" si="20"/>
        <v>0</v>
      </c>
      <c r="AY47" s="67">
        <f t="shared" si="20"/>
        <v>0</v>
      </c>
      <c r="AZ47" s="67">
        <f t="shared" si="20"/>
        <v>0</v>
      </c>
      <c r="BA47" s="67">
        <f t="shared" si="21"/>
        <v>0</v>
      </c>
      <c r="BB47" s="67">
        <f t="shared" si="21"/>
        <v>0</v>
      </c>
      <c r="BC47" s="67">
        <f t="shared" si="21"/>
        <v>0</v>
      </c>
      <c r="BD47" s="67">
        <f t="shared" si="21"/>
        <v>0</v>
      </c>
      <c r="BE47" s="67">
        <f t="shared" si="21"/>
        <v>0</v>
      </c>
      <c r="BF47" s="67">
        <f t="shared" si="21"/>
        <v>0</v>
      </c>
      <c r="BG47" s="67">
        <f t="shared" si="21"/>
        <v>0</v>
      </c>
      <c r="BH47" s="67">
        <f t="shared" si="21"/>
        <v>0</v>
      </c>
      <c r="BI47" s="67">
        <f t="shared" si="21"/>
        <v>0</v>
      </c>
      <c r="BJ47" s="67">
        <f t="shared" si="21"/>
        <v>0</v>
      </c>
      <c r="BK47" s="67">
        <f t="shared" si="21"/>
        <v>0</v>
      </c>
      <c r="BL47" s="67">
        <f t="shared" si="21"/>
        <v>0</v>
      </c>
      <c r="BM47" s="67">
        <f t="shared" si="21"/>
        <v>0</v>
      </c>
      <c r="BN47" s="67">
        <f t="shared" si="21"/>
        <v>0</v>
      </c>
      <c r="BO47" s="67">
        <f t="shared" si="21"/>
        <v>0</v>
      </c>
      <c r="BP47" s="72">
        <f t="shared" si="23"/>
        <v>0</v>
      </c>
    </row>
    <row r="48" spans="1:68" ht="20.100000000000001" customHeight="1" x14ac:dyDescent="0.25">
      <c r="A48" s="73" t="s">
        <v>277</v>
      </c>
      <c r="B48" s="74">
        <v>15</v>
      </c>
      <c r="C48" s="74">
        <v>220</v>
      </c>
      <c r="D48" s="74">
        <f>25+220</f>
        <v>245</v>
      </c>
      <c r="E48" s="74"/>
      <c r="F48" s="74">
        <v>5</v>
      </c>
      <c r="G48" s="74">
        <v>10</v>
      </c>
      <c r="H48" s="74"/>
      <c r="I48" s="74">
        <v>20</v>
      </c>
      <c r="J48" s="74">
        <v>20</v>
      </c>
      <c r="K48" s="74">
        <v>5</v>
      </c>
      <c r="L48" s="74">
        <v>5</v>
      </c>
      <c r="M48" s="74"/>
      <c r="N48" s="74">
        <v>10</v>
      </c>
      <c r="O48" s="74">
        <v>30</v>
      </c>
      <c r="P48" s="74">
        <v>5</v>
      </c>
      <c r="Q48" s="74">
        <f>25+165</f>
        <v>190</v>
      </c>
      <c r="R48" s="74"/>
      <c r="S48" s="74"/>
      <c r="T48" s="74"/>
      <c r="U48" s="74">
        <v>5</v>
      </c>
      <c r="V48" s="74">
        <v>38</v>
      </c>
      <c r="W48" s="74">
        <v>10</v>
      </c>
      <c r="X48" s="74">
        <v>15</v>
      </c>
      <c r="Y48" s="74"/>
      <c r="Z48" s="74"/>
      <c r="AA48" s="74"/>
      <c r="AB48" s="74"/>
      <c r="AC48" s="74">
        <v>844.94</v>
      </c>
      <c r="AD48" s="74"/>
      <c r="AE48" s="74"/>
      <c r="AF48" s="74">
        <v>5</v>
      </c>
      <c r="AG48" s="72">
        <f t="shared" si="22"/>
        <v>1697.94</v>
      </c>
      <c r="AH48" s="75"/>
      <c r="AI48" s="76"/>
      <c r="AJ48" s="71" t="str">
        <f t="shared" si="19"/>
        <v>Divers</v>
      </c>
      <c r="AK48" s="67">
        <f t="shared" si="20"/>
        <v>12.54180602006689</v>
      </c>
      <c r="AL48" s="67">
        <f t="shared" si="20"/>
        <v>183.94648829431438</v>
      </c>
      <c r="AM48" s="67">
        <f t="shared" si="20"/>
        <v>204.84949832775919</v>
      </c>
      <c r="AN48" s="67">
        <f t="shared" si="20"/>
        <v>0</v>
      </c>
      <c r="AO48" s="67">
        <f t="shared" si="20"/>
        <v>4.1806020066889635</v>
      </c>
      <c r="AP48" s="67">
        <f t="shared" si="20"/>
        <v>8.3612040133779271</v>
      </c>
      <c r="AQ48" s="67">
        <f t="shared" si="20"/>
        <v>0</v>
      </c>
      <c r="AR48" s="67">
        <f t="shared" si="20"/>
        <v>16.722408026755854</v>
      </c>
      <c r="AS48" s="67">
        <f t="shared" si="20"/>
        <v>16.722408026755854</v>
      </c>
      <c r="AT48" s="67">
        <f t="shared" si="20"/>
        <v>4.1806020066889635</v>
      </c>
      <c r="AU48" s="67">
        <f t="shared" si="20"/>
        <v>4.1806020066889635</v>
      </c>
      <c r="AV48" s="67">
        <f t="shared" si="20"/>
        <v>0</v>
      </c>
      <c r="AW48" s="67">
        <f t="shared" si="20"/>
        <v>8.3612040133779271</v>
      </c>
      <c r="AX48" s="67">
        <f t="shared" si="20"/>
        <v>25.083612040133779</v>
      </c>
      <c r="AY48" s="67">
        <f t="shared" si="20"/>
        <v>4.1806020066889635</v>
      </c>
      <c r="AZ48" s="67">
        <f t="shared" si="20"/>
        <v>158.86287625418061</v>
      </c>
      <c r="BA48" s="67">
        <f t="shared" si="21"/>
        <v>0</v>
      </c>
      <c r="BB48" s="67">
        <f t="shared" si="21"/>
        <v>0</v>
      </c>
      <c r="BC48" s="67">
        <f t="shared" si="21"/>
        <v>0</v>
      </c>
      <c r="BD48" s="67">
        <f t="shared" si="21"/>
        <v>4.1806020066889635</v>
      </c>
      <c r="BE48" s="67">
        <f t="shared" si="21"/>
        <v>31.772575250836123</v>
      </c>
      <c r="BF48" s="67">
        <f t="shared" si="21"/>
        <v>8.3612040133779271</v>
      </c>
      <c r="BG48" s="67">
        <f t="shared" si="21"/>
        <v>12.54180602006689</v>
      </c>
      <c r="BH48" s="67">
        <f t="shared" si="21"/>
        <v>0</v>
      </c>
      <c r="BI48" s="67">
        <f t="shared" si="21"/>
        <v>0</v>
      </c>
      <c r="BJ48" s="67">
        <f t="shared" si="21"/>
        <v>0</v>
      </c>
      <c r="BK48" s="67">
        <f t="shared" si="21"/>
        <v>0</v>
      </c>
      <c r="BL48" s="67">
        <f t="shared" si="21"/>
        <v>706.4715719063546</v>
      </c>
      <c r="BM48" s="67">
        <f t="shared" si="21"/>
        <v>0</v>
      </c>
      <c r="BN48" s="67">
        <f t="shared" si="21"/>
        <v>0</v>
      </c>
      <c r="BO48" s="67">
        <f t="shared" si="21"/>
        <v>4.1806020066889635</v>
      </c>
      <c r="BP48" s="72">
        <f t="shared" si="23"/>
        <v>1419.6822742474917</v>
      </c>
    </row>
    <row r="49" spans="1:68" s="48" customFormat="1" ht="20.100000000000001" customHeight="1" thickBot="1" x14ac:dyDescent="0.3">
      <c r="A49" s="89" t="s">
        <v>278</v>
      </c>
      <c r="B49" s="90">
        <f>B50*20%</f>
        <v>89.600000000000009</v>
      </c>
      <c r="C49" s="90">
        <f t="shared" ref="C49:AF49" si="24">C50*20%</f>
        <v>75.8</v>
      </c>
      <c r="D49" s="90">
        <f t="shared" si="24"/>
        <v>129</v>
      </c>
      <c r="E49" s="90">
        <f t="shared" si="24"/>
        <v>70.8</v>
      </c>
      <c r="F49" s="90">
        <f t="shared" si="24"/>
        <v>95</v>
      </c>
      <c r="G49" s="90">
        <f t="shared" si="24"/>
        <v>8</v>
      </c>
      <c r="H49" s="90">
        <f t="shared" si="24"/>
        <v>211.20000000000002</v>
      </c>
      <c r="I49" s="90">
        <f t="shared" si="24"/>
        <v>36.6</v>
      </c>
      <c r="J49" s="90">
        <f t="shared" si="24"/>
        <v>142.80000000000001</v>
      </c>
      <c r="K49" s="90">
        <f t="shared" si="24"/>
        <v>39</v>
      </c>
      <c r="L49" s="90">
        <f t="shared" si="24"/>
        <v>60.400000000000006</v>
      </c>
      <c r="M49" s="90">
        <f t="shared" si="24"/>
        <v>96.170000000000016</v>
      </c>
      <c r="N49" s="90">
        <f t="shared" si="24"/>
        <v>209.39800000000002</v>
      </c>
      <c r="O49" s="90">
        <f t="shared" si="24"/>
        <v>192.12</v>
      </c>
      <c r="P49" s="90">
        <f t="shared" si="24"/>
        <v>147</v>
      </c>
      <c r="Q49" s="90">
        <f t="shared" si="24"/>
        <v>90.220000000000013</v>
      </c>
      <c r="R49" s="90">
        <f t="shared" si="24"/>
        <v>131.6</v>
      </c>
      <c r="S49" s="90">
        <f t="shared" si="24"/>
        <v>33.4</v>
      </c>
      <c r="T49" s="90">
        <f t="shared" si="24"/>
        <v>44</v>
      </c>
      <c r="U49" s="90">
        <f t="shared" si="24"/>
        <v>32.4</v>
      </c>
      <c r="V49" s="90">
        <f t="shared" si="24"/>
        <v>201.60000000000002</v>
      </c>
      <c r="W49" s="90">
        <f t="shared" si="24"/>
        <v>96.4</v>
      </c>
      <c r="X49" s="90">
        <f t="shared" si="24"/>
        <v>92.62</v>
      </c>
      <c r="Y49" s="90">
        <f t="shared" si="24"/>
        <v>102.72000000000001</v>
      </c>
      <c r="Z49" s="90">
        <f t="shared" si="24"/>
        <v>94.960000000000008</v>
      </c>
      <c r="AA49" s="90">
        <f t="shared" si="24"/>
        <v>65.400000000000006</v>
      </c>
      <c r="AB49" s="90">
        <f t="shared" si="24"/>
        <v>105.7</v>
      </c>
      <c r="AC49" s="90">
        <f t="shared" si="24"/>
        <v>143.34</v>
      </c>
      <c r="AD49" s="90">
        <f t="shared" si="24"/>
        <v>127.98</v>
      </c>
      <c r="AE49" s="90">
        <f t="shared" si="24"/>
        <v>116.52000000000001</v>
      </c>
      <c r="AF49" s="90">
        <f t="shared" si="24"/>
        <v>240.8</v>
      </c>
      <c r="AG49" s="72">
        <f t="shared" si="22"/>
        <v>3322.5480000000002</v>
      </c>
      <c r="AH49" s="84"/>
      <c r="AI49" s="85"/>
      <c r="AJ49" s="91" t="str">
        <f t="shared" si="19"/>
        <v>Proshop (20% du CA)</v>
      </c>
      <c r="AK49" s="92">
        <f t="shared" si="20"/>
        <v>74.916387959866228</v>
      </c>
      <c r="AL49" s="92">
        <f t="shared" si="20"/>
        <v>63.37792642140468</v>
      </c>
      <c r="AM49" s="92">
        <f t="shared" si="20"/>
        <v>107.85953177257525</v>
      </c>
      <c r="AN49" s="92">
        <f t="shared" si="20"/>
        <v>59.197324414715716</v>
      </c>
      <c r="AO49" s="92">
        <f t="shared" si="20"/>
        <v>79.431438127090303</v>
      </c>
      <c r="AP49" s="92">
        <f t="shared" si="20"/>
        <v>6.6889632107023411</v>
      </c>
      <c r="AQ49" s="92">
        <f t="shared" si="20"/>
        <v>176.58862876254182</v>
      </c>
      <c r="AR49" s="92">
        <f t="shared" si="20"/>
        <v>30.602006688963215</v>
      </c>
      <c r="AS49" s="92">
        <f t="shared" si="20"/>
        <v>119.3979933110368</v>
      </c>
      <c r="AT49" s="92">
        <f t="shared" si="20"/>
        <v>32.608695652173914</v>
      </c>
      <c r="AU49" s="92">
        <f t="shared" si="20"/>
        <v>50.501672240802684</v>
      </c>
      <c r="AV49" s="92">
        <f t="shared" si="20"/>
        <v>80.409698996655536</v>
      </c>
      <c r="AW49" s="92">
        <f t="shared" si="20"/>
        <v>175.08193979933114</v>
      </c>
      <c r="AX49" s="92">
        <f t="shared" si="20"/>
        <v>160.63545150501673</v>
      </c>
      <c r="AY49" s="92">
        <f t="shared" si="20"/>
        <v>122.90969899665552</v>
      </c>
      <c r="AZ49" s="92">
        <f t="shared" si="20"/>
        <v>75.43478260869567</v>
      </c>
      <c r="BA49" s="92">
        <f t="shared" si="21"/>
        <v>110.03344481605352</v>
      </c>
      <c r="BB49" s="92">
        <f t="shared" si="21"/>
        <v>27.926421404682273</v>
      </c>
      <c r="BC49" s="92">
        <f t="shared" si="21"/>
        <v>36.789297658862878</v>
      </c>
      <c r="BD49" s="92">
        <f t="shared" si="21"/>
        <v>27.090301003344482</v>
      </c>
      <c r="BE49" s="92">
        <f t="shared" si="21"/>
        <v>168.56187290969902</v>
      </c>
      <c r="BF49" s="92">
        <f t="shared" si="21"/>
        <v>80.602006688963215</v>
      </c>
      <c r="BG49" s="92">
        <f t="shared" si="21"/>
        <v>77.441471571906362</v>
      </c>
      <c r="BH49" s="92">
        <f t="shared" si="21"/>
        <v>85.886287625418078</v>
      </c>
      <c r="BI49" s="92">
        <f t="shared" si="21"/>
        <v>79.397993311036799</v>
      </c>
      <c r="BJ49" s="92">
        <f t="shared" si="21"/>
        <v>54.682274247491648</v>
      </c>
      <c r="BK49" s="92">
        <f t="shared" si="21"/>
        <v>88.377926421404695</v>
      </c>
      <c r="BL49" s="92">
        <f t="shared" si="21"/>
        <v>119.84949832775921</v>
      </c>
      <c r="BM49" s="67">
        <f t="shared" si="21"/>
        <v>107.00668896321071</v>
      </c>
      <c r="BN49" s="67">
        <f t="shared" si="21"/>
        <v>97.424749163879611</v>
      </c>
      <c r="BO49" s="67">
        <f t="shared" si="21"/>
        <v>201.3377926421405</v>
      </c>
      <c r="BP49" s="72">
        <f t="shared" si="23"/>
        <v>2778.0501672240807</v>
      </c>
    </row>
    <row r="50" spans="1:68" ht="20.100000000000001" customHeight="1" thickTop="1" thickBot="1" x14ac:dyDescent="0.3">
      <c r="A50" s="93" t="s">
        <v>279</v>
      </c>
      <c r="B50" s="94">
        <f>168+15+33+214+18</f>
        <v>448</v>
      </c>
      <c r="C50" s="94">
        <f>73+33+56+6+175+36</f>
        <v>379</v>
      </c>
      <c r="D50" s="94">
        <f>58+45+53+3+486</f>
        <v>645</v>
      </c>
      <c r="E50" s="94">
        <f>41+52+32+12+181+36</f>
        <v>354</v>
      </c>
      <c r="F50" s="94">
        <f>47+35+310+83</f>
        <v>475</v>
      </c>
      <c r="G50" s="94">
        <v>40</v>
      </c>
      <c r="H50" s="94">
        <f>138+22+8+866+22</f>
        <v>1056</v>
      </c>
      <c r="I50" s="94">
        <f>55+39+89</f>
        <v>183</v>
      </c>
      <c r="J50" s="94">
        <f>62+35+165+18+409+25</f>
        <v>714</v>
      </c>
      <c r="K50" s="94">
        <f>146+49</f>
        <v>195</v>
      </c>
      <c r="L50" s="94">
        <f>91+20+11+180</f>
        <v>302</v>
      </c>
      <c r="M50" s="94">
        <f>78+61+106+5.85+230</f>
        <v>480.85</v>
      </c>
      <c r="N50" s="94">
        <f>121+86+54+12+601.99+172</f>
        <v>1046.99</v>
      </c>
      <c r="O50" s="94">
        <f>276+11+55+55+372.6+191</f>
        <v>960.6</v>
      </c>
      <c r="P50" s="94">
        <f>157+38+53+15+366+22+84</f>
        <v>735</v>
      </c>
      <c r="Q50" s="94">
        <f>87+51+10.1+268+35</f>
        <v>451.1</v>
      </c>
      <c r="R50" s="94">
        <f>48+56+25+519+10</f>
        <v>658</v>
      </c>
      <c r="S50" s="94">
        <f>43+5+2+117</f>
        <v>167</v>
      </c>
      <c r="T50" s="94">
        <f>69+151</f>
        <v>220</v>
      </c>
      <c r="U50" s="94">
        <f>51+31+50+20+10</f>
        <v>162</v>
      </c>
      <c r="V50" s="94">
        <f>206+35+101+11+645+10</f>
        <v>1008</v>
      </c>
      <c r="W50" s="94">
        <f>207+15+81+15+152+12</f>
        <v>482</v>
      </c>
      <c r="X50" s="94">
        <f>121+15+56+17.1+220+22+12</f>
        <v>463.1</v>
      </c>
      <c r="Y50" s="94">
        <f>154.5+57.5+56+10+223.6+12</f>
        <v>513.6</v>
      </c>
      <c r="Z50" s="94">
        <f>75+100+3+276.8+20</f>
        <v>474.8</v>
      </c>
      <c r="AA50" s="94">
        <f>85+75+9+29+69+60</f>
        <v>327</v>
      </c>
      <c r="AB50" s="94">
        <f>29+12.5+28+26+387+46</f>
        <v>528.5</v>
      </c>
      <c r="AC50" s="94">
        <f>98+35.5+118+24+310+131.2</f>
        <v>716.7</v>
      </c>
      <c r="AD50" s="94">
        <f>122+8+68.9+14+343+72+12</f>
        <v>639.9</v>
      </c>
      <c r="AE50" s="94">
        <f>50+87+8+325.6+112</f>
        <v>582.6</v>
      </c>
      <c r="AF50" s="94">
        <f>179+33+141+14+825+12</f>
        <v>1204</v>
      </c>
      <c r="AG50" s="95">
        <f>SUM(B50:AF50)</f>
        <v>16612.740000000002</v>
      </c>
      <c r="AJ50" s="96" t="s">
        <v>280</v>
      </c>
      <c r="AK50" s="97">
        <f t="shared" si="20"/>
        <v>374.58193979933111</v>
      </c>
      <c r="AL50" s="97">
        <f t="shared" si="20"/>
        <v>316.88963210702343</v>
      </c>
      <c r="AM50" s="97">
        <f t="shared" si="20"/>
        <v>539.29765886287623</v>
      </c>
      <c r="AN50" s="97">
        <f t="shared" si="20"/>
        <v>295.98662207357859</v>
      </c>
      <c r="AO50" s="97">
        <f t="shared" si="20"/>
        <v>397.15719063545151</v>
      </c>
      <c r="AP50" s="97">
        <f t="shared" si="20"/>
        <v>33.444816053511708</v>
      </c>
      <c r="AQ50" s="97">
        <f t="shared" si="20"/>
        <v>882.94314381270908</v>
      </c>
      <c r="AR50" s="97">
        <f t="shared" si="20"/>
        <v>153.01003344481606</v>
      </c>
      <c r="AS50" s="97">
        <f t="shared" si="20"/>
        <v>596.98996655518397</v>
      </c>
      <c r="AT50" s="97">
        <f t="shared" si="20"/>
        <v>163.04347826086956</v>
      </c>
      <c r="AU50" s="97">
        <f t="shared" si="20"/>
        <v>252.5083612040134</v>
      </c>
      <c r="AV50" s="97">
        <f t="shared" si="20"/>
        <v>402.04849498327764</v>
      </c>
      <c r="AW50" s="97">
        <f t="shared" si="20"/>
        <v>875.40969899665561</v>
      </c>
      <c r="AX50" s="97">
        <f t="shared" si="20"/>
        <v>803.17725752508363</v>
      </c>
      <c r="AY50" s="97">
        <f t="shared" si="20"/>
        <v>614.54849498327758</v>
      </c>
      <c r="AZ50" s="97">
        <f t="shared" si="20"/>
        <v>377.17391304347831</v>
      </c>
      <c r="BA50" s="97">
        <f t="shared" si="21"/>
        <v>550.1672240802676</v>
      </c>
      <c r="BB50" s="97">
        <f t="shared" si="21"/>
        <v>139.63210702341138</v>
      </c>
      <c r="BC50" s="97">
        <f t="shared" si="21"/>
        <v>183.94648829431438</v>
      </c>
      <c r="BD50" s="97">
        <f t="shared" si="21"/>
        <v>135.45150501672242</v>
      </c>
      <c r="BE50" s="97">
        <f t="shared" si="21"/>
        <v>842.80936454849507</v>
      </c>
      <c r="BF50" s="97">
        <f t="shared" si="21"/>
        <v>403.01003344481609</v>
      </c>
      <c r="BG50" s="97">
        <f t="shared" si="21"/>
        <v>387.20735785953178</v>
      </c>
      <c r="BH50" s="97">
        <f t="shared" si="21"/>
        <v>429.43143812709036</v>
      </c>
      <c r="BI50" s="97">
        <f t="shared" si="21"/>
        <v>396.98996655518397</v>
      </c>
      <c r="BJ50" s="97">
        <f t="shared" si="21"/>
        <v>273.41137123745818</v>
      </c>
      <c r="BK50" s="97">
        <f t="shared" si="21"/>
        <v>441.88963210702343</v>
      </c>
      <c r="BL50" s="97">
        <f t="shared" si="21"/>
        <v>599.24749163879608</v>
      </c>
      <c r="BM50" s="97">
        <f>AD50/$AL$1</f>
        <v>535.03344481605347</v>
      </c>
      <c r="BN50" s="97">
        <f t="shared" si="21"/>
        <v>487.12374581939804</v>
      </c>
      <c r="BO50" s="97">
        <f t="shared" si="21"/>
        <v>1006.6889632107024</v>
      </c>
      <c r="BP50" s="72">
        <f t="shared" si="23"/>
        <v>13890.250836120404</v>
      </c>
    </row>
    <row r="51" spans="1:68" s="48" customFormat="1" ht="20.100000000000001" customHeight="1" thickTop="1" thickBot="1" x14ac:dyDescent="0.3">
      <c r="A51" s="93" t="s">
        <v>281</v>
      </c>
      <c r="B51" s="98">
        <f>B10+B28+B32+B36+B50</f>
        <v>7194.1</v>
      </c>
      <c r="C51" s="98">
        <f t="shared" ref="C51:AG51" si="25">C36+C32+C28+C10+C50</f>
        <v>4806.6000000000004</v>
      </c>
      <c r="D51" s="98">
        <f t="shared" si="25"/>
        <v>7631.7</v>
      </c>
      <c r="E51" s="98">
        <f t="shared" si="25"/>
        <v>1163.8</v>
      </c>
      <c r="F51" s="98">
        <f t="shared" si="25"/>
        <v>3238.16</v>
      </c>
      <c r="G51" s="98">
        <f t="shared" si="25"/>
        <v>4557.8</v>
      </c>
      <c r="H51" s="98">
        <f t="shared" si="25"/>
        <v>8917.4500000000007</v>
      </c>
      <c r="I51" s="98">
        <f t="shared" si="25"/>
        <v>4460.41</v>
      </c>
      <c r="J51" s="98">
        <f t="shared" si="25"/>
        <v>6574.58</v>
      </c>
      <c r="K51" s="98">
        <f t="shared" si="25"/>
        <v>4078.53</v>
      </c>
      <c r="L51" s="98">
        <f t="shared" si="25"/>
        <v>5237</v>
      </c>
      <c r="M51" s="98">
        <f t="shared" si="25"/>
        <v>4759.05</v>
      </c>
      <c r="N51" s="98">
        <f t="shared" si="25"/>
        <v>7973.8099999999995</v>
      </c>
      <c r="O51" s="98">
        <f t="shared" si="25"/>
        <v>11008.7</v>
      </c>
      <c r="P51" s="98">
        <f t="shared" si="25"/>
        <v>8612.85</v>
      </c>
      <c r="Q51" s="98">
        <f t="shared" si="25"/>
        <v>8319.4</v>
      </c>
      <c r="R51" s="98">
        <f t="shared" si="25"/>
        <v>5895.95</v>
      </c>
      <c r="S51" s="98">
        <f t="shared" si="25"/>
        <v>5594.4900000000007</v>
      </c>
      <c r="T51" s="98">
        <f t="shared" si="25"/>
        <v>3860</v>
      </c>
      <c r="U51" s="98">
        <f t="shared" si="25"/>
        <v>6760.8</v>
      </c>
      <c r="V51" s="98">
        <f t="shared" si="25"/>
        <v>9336.0099999999984</v>
      </c>
      <c r="W51" s="98">
        <f t="shared" si="25"/>
        <v>6851.27</v>
      </c>
      <c r="X51" s="98">
        <f t="shared" si="25"/>
        <v>7593.3600000000015</v>
      </c>
      <c r="Y51" s="98">
        <f t="shared" si="25"/>
        <v>6068.2100000000009</v>
      </c>
      <c r="Z51" s="98">
        <f t="shared" si="25"/>
        <v>4978.01</v>
      </c>
      <c r="AA51" s="98">
        <f t="shared" si="25"/>
        <v>4940.2</v>
      </c>
      <c r="AB51" s="98">
        <f t="shared" si="25"/>
        <v>6611.0400000000009</v>
      </c>
      <c r="AC51" s="98">
        <f t="shared" si="25"/>
        <v>8287.2200000000012</v>
      </c>
      <c r="AD51" s="98">
        <f>AD36+AD32+AD28+AD10+AD50</f>
        <v>5130.2</v>
      </c>
      <c r="AE51" s="98">
        <f>AE36+AE32+AE28+AE10+AE50</f>
        <v>4727.8</v>
      </c>
      <c r="AF51" s="98">
        <f>AF36+AF32+AF28+AF10+AF50</f>
        <v>8450.58</v>
      </c>
      <c r="AG51" s="98">
        <f t="shared" si="25"/>
        <v>193619.08</v>
      </c>
      <c r="AJ51" s="99" t="s">
        <v>282</v>
      </c>
      <c r="AK51" s="98">
        <f t="shared" ref="AK51:BP51" si="26">AK36+AK32+AK28+AK10+AK50</f>
        <v>6015.1337792642153</v>
      </c>
      <c r="AL51" s="98">
        <f t="shared" si="26"/>
        <v>4018.8963210702336</v>
      </c>
      <c r="AM51" s="98">
        <f t="shared" si="26"/>
        <v>6381.0200668896323</v>
      </c>
      <c r="AN51" s="98">
        <f t="shared" si="26"/>
        <v>973.07692307692309</v>
      </c>
      <c r="AO51" s="98">
        <f t="shared" si="26"/>
        <v>2707.4916387959865</v>
      </c>
      <c r="AP51" s="98">
        <f t="shared" si="26"/>
        <v>3810.8695652173915</v>
      </c>
      <c r="AQ51" s="98">
        <f t="shared" si="26"/>
        <v>7456.0618729097005</v>
      </c>
      <c r="AR51" s="98">
        <f t="shared" si="26"/>
        <v>3729.439799331104</v>
      </c>
      <c r="AS51" s="98">
        <f t="shared" si="26"/>
        <v>5490.4515050167229</v>
      </c>
      <c r="AT51" s="98">
        <f t="shared" si="26"/>
        <v>3410.1421404682283</v>
      </c>
      <c r="AU51" s="98">
        <f t="shared" si="26"/>
        <v>4378.7625418060206</v>
      </c>
      <c r="AV51" s="98">
        <f t="shared" si="26"/>
        <v>3979.1387959866224</v>
      </c>
      <c r="AW51" s="98">
        <f t="shared" si="26"/>
        <v>6667.0652173913059</v>
      </c>
      <c r="AX51" s="98">
        <f t="shared" si="26"/>
        <v>9197.9096989966547</v>
      </c>
      <c r="AY51" s="98">
        <f t="shared" si="26"/>
        <v>7040.8444816053525</v>
      </c>
      <c r="AZ51" s="98">
        <f t="shared" si="26"/>
        <v>6956.0200668896323</v>
      </c>
      <c r="BA51" s="98">
        <f t="shared" si="26"/>
        <v>4929.7240802675578</v>
      </c>
      <c r="BB51" s="98">
        <f t="shared" si="26"/>
        <v>4677.6672240802682</v>
      </c>
      <c r="BC51" s="98">
        <f t="shared" si="26"/>
        <v>3227.4247491638798</v>
      </c>
      <c r="BD51" s="98">
        <f t="shared" si="26"/>
        <v>5652.8428093645489</v>
      </c>
      <c r="BE51" s="98">
        <f t="shared" si="26"/>
        <v>7806.0284280936457</v>
      </c>
      <c r="BF51" s="98">
        <f t="shared" si="26"/>
        <v>5728.4866220735794</v>
      </c>
      <c r="BG51" s="98">
        <f t="shared" si="26"/>
        <v>6346.4548494983283</v>
      </c>
      <c r="BH51" s="98">
        <f t="shared" si="26"/>
        <v>5073.7541806020072</v>
      </c>
      <c r="BI51" s="98">
        <f t="shared" si="26"/>
        <v>4162.2157190635453</v>
      </c>
      <c r="BJ51" s="98">
        <f t="shared" si="26"/>
        <v>4130.6020066889623</v>
      </c>
      <c r="BK51" s="98">
        <f t="shared" si="26"/>
        <v>5527.6254180602018</v>
      </c>
      <c r="BL51" s="98">
        <f t="shared" si="26"/>
        <v>6929.113712374583</v>
      </c>
      <c r="BM51" s="98">
        <f>BM36+BM32+BM28+BM10+BM50</f>
        <v>4289.4648829431444</v>
      </c>
      <c r="BN51" s="98">
        <f>BN36+BN32+BN28+BN10+BN50</f>
        <v>3953.0100334448161</v>
      </c>
      <c r="BO51" s="98">
        <f>BO36+BO32+BO28+BO10+BO50</f>
        <v>7065.7023411371238</v>
      </c>
      <c r="BP51" s="98">
        <f t="shared" si="26"/>
        <v>161286.85618729098</v>
      </c>
    </row>
    <row r="52" spans="1:68" s="48" customFormat="1" ht="20.100000000000001" customHeight="1" thickTop="1" x14ac:dyDescent="0.25">
      <c r="A52" s="100" t="s">
        <v>283</v>
      </c>
      <c r="B52" s="101">
        <f>B53+B56+B57+B60+B64+B65+B68+B69+B66+B67+B71+B59+B61+B62+B63+B70</f>
        <v>118</v>
      </c>
      <c r="C52" s="101">
        <f>C53+C56+C57+C60+C64+C65+C68+C69+C66+C67+C71+C61+C59+C62+C63+C70</f>
        <v>90</v>
      </c>
      <c r="D52" s="101">
        <f>D53+D56+D57+D60+D64+D65+D68+D69+D66+D67+D71+D59+D61+D62+D63+D70</f>
        <v>120</v>
      </c>
      <c r="E52" s="101">
        <f t="shared" ref="E52:AF52" si="27">E53+E56+E57+E60+E64+E65+E68+E69+E66+E67+E71+E59+E61+E62+E63+E70</f>
        <v>11</v>
      </c>
      <c r="F52" s="101">
        <f t="shared" si="27"/>
        <v>46</v>
      </c>
      <c r="G52" s="101">
        <f t="shared" si="27"/>
        <v>88</v>
      </c>
      <c r="H52" s="101">
        <f t="shared" si="27"/>
        <v>153</v>
      </c>
      <c r="I52" s="101">
        <f t="shared" si="27"/>
        <v>74</v>
      </c>
      <c r="J52" s="101">
        <f t="shared" si="27"/>
        <v>104</v>
      </c>
      <c r="K52" s="101">
        <f t="shared" si="27"/>
        <v>77</v>
      </c>
      <c r="L52" s="101">
        <f t="shared" si="27"/>
        <v>106</v>
      </c>
      <c r="M52" s="101">
        <f t="shared" si="27"/>
        <v>78</v>
      </c>
      <c r="N52" s="101">
        <f t="shared" si="27"/>
        <v>147</v>
      </c>
      <c r="O52" s="101">
        <f t="shared" si="27"/>
        <v>173</v>
      </c>
      <c r="P52" s="101">
        <f t="shared" si="27"/>
        <v>124</v>
      </c>
      <c r="Q52" s="101">
        <f t="shared" si="27"/>
        <v>130</v>
      </c>
      <c r="R52" s="101">
        <f t="shared" si="27"/>
        <v>125</v>
      </c>
      <c r="S52" s="101">
        <f t="shared" si="27"/>
        <v>102</v>
      </c>
      <c r="T52" s="101">
        <f t="shared" si="27"/>
        <v>55</v>
      </c>
      <c r="U52" s="101">
        <f t="shared" si="27"/>
        <v>104</v>
      </c>
      <c r="V52" s="101">
        <f t="shared" si="27"/>
        <v>139</v>
      </c>
      <c r="W52" s="101">
        <f t="shared" si="27"/>
        <v>116</v>
      </c>
      <c r="X52" s="101">
        <f t="shared" si="27"/>
        <v>108</v>
      </c>
      <c r="Y52" s="101">
        <f t="shared" si="27"/>
        <v>101</v>
      </c>
      <c r="Z52" s="101">
        <f t="shared" si="27"/>
        <v>109</v>
      </c>
      <c r="AA52" s="101">
        <f t="shared" si="27"/>
        <v>91</v>
      </c>
      <c r="AB52" s="101">
        <f t="shared" si="27"/>
        <v>105</v>
      </c>
      <c r="AC52" s="101">
        <f t="shared" si="27"/>
        <v>131</v>
      </c>
      <c r="AD52" s="101">
        <f t="shared" si="27"/>
        <v>77</v>
      </c>
      <c r="AE52" s="101">
        <f t="shared" si="27"/>
        <v>71</v>
      </c>
      <c r="AF52" s="101">
        <f t="shared" si="27"/>
        <v>120</v>
      </c>
      <c r="AG52" s="102">
        <f>SUM(B52:AF52)</f>
        <v>3193</v>
      </c>
      <c r="AJ52" s="103" t="s">
        <v>283</v>
      </c>
      <c r="AK52" s="104">
        <f>AK53+AK56+AK57+AK60+AK64+AK65+AK68+AK69+AK66+AK67+AK71</f>
        <v>103</v>
      </c>
      <c r="AL52" s="104">
        <f t="shared" ref="AL52:BO52" si="28">AL53+AL56+AL57+AL60+AL64+AL65+AL68+AL69+AL66+AL67+AL71</f>
        <v>79</v>
      </c>
      <c r="AM52" s="104">
        <f t="shared" si="28"/>
        <v>114</v>
      </c>
      <c r="AN52" s="104">
        <f t="shared" si="28"/>
        <v>11</v>
      </c>
      <c r="AO52" s="104">
        <f t="shared" si="28"/>
        <v>42</v>
      </c>
      <c r="AP52" s="104">
        <f t="shared" si="28"/>
        <v>88</v>
      </c>
      <c r="AQ52" s="104">
        <f t="shared" si="28"/>
        <v>130</v>
      </c>
      <c r="AR52" s="104">
        <f t="shared" si="28"/>
        <v>65</v>
      </c>
      <c r="AS52" s="104">
        <f t="shared" si="28"/>
        <v>95</v>
      </c>
      <c r="AT52" s="104">
        <f t="shared" si="28"/>
        <v>72</v>
      </c>
      <c r="AU52" s="104">
        <f t="shared" si="28"/>
        <v>77</v>
      </c>
      <c r="AV52" s="104">
        <f t="shared" si="28"/>
        <v>74</v>
      </c>
      <c r="AW52" s="104">
        <f t="shared" si="28"/>
        <v>125</v>
      </c>
      <c r="AX52" s="104">
        <f t="shared" si="28"/>
        <v>152</v>
      </c>
      <c r="AY52" s="104">
        <f t="shared" si="28"/>
        <v>115</v>
      </c>
      <c r="AZ52" s="104">
        <f t="shared" si="28"/>
        <v>114</v>
      </c>
      <c r="BA52" s="104">
        <f t="shared" si="28"/>
        <v>123</v>
      </c>
      <c r="BB52" s="104">
        <f t="shared" si="28"/>
        <v>96</v>
      </c>
      <c r="BC52" s="104">
        <f t="shared" si="28"/>
        <v>54</v>
      </c>
      <c r="BD52" s="104">
        <f t="shared" si="28"/>
        <v>89</v>
      </c>
      <c r="BE52" s="104">
        <f t="shared" si="28"/>
        <v>121</v>
      </c>
      <c r="BF52" s="104">
        <f t="shared" si="28"/>
        <v>103</v>
      </c>
      <c r="BG52" s="104">
        <f t="shared" si="28"/>
        <v>101</v>
      </c>
      <c r="BH52" s="104">
        <f t="shared" si="28"/>
        <v>95</v>
      </c>
      <c r="BI52" s="104">
        <f t="shared" si="28"/>
        <v>107</v>
      </c>
      <c r="BJ52" s="104">
        <f t="shared" si="28"/>
        <v>85</v>
      </c>
      <c r="BK52" s="104">
        <f t="shared" si="28"/>
        <v>89</v>
      </c>
      <c r="BL52" s="104">
        <f t="shared" si="28"/>
        <v>119</v>
      </c>
      <c r="BM52" s="104">
        <f t="shared" si="28"/>
        <v>71</v>
      </c>
      <c r="BN52" s="104">
        <f t="shared" si="28"/>
        <v>71</v>
      </c>
      <c r="BO52" s="104">
        <f t="shared" si="28"/>
        <v>108</v>
      </c>
      <c r="BP52" s="105">
        <f>SUM(AK52:BO52)</f>
        <v>2888</v>
      </c>
    </row>
    <row r="53" spans="1:68" s="50" customFormat="1" ht="20.100000000000001" customHeight="1" x14ac:dyDescent="0.25">
      <c r="A53" s="66" t="s">
        <v>284</v>
      </c>
      <c r="B53" s="106">
        <f>118-63</f>
        <v>55</v>
      </c>
      <c r="C53" s="106">
        <f>90-66</f>
        <v>24</v>
      </c>
      <c r="D53" s="106">
        <f>120-64</f>
        <v>56</v>
      </c>
      <c r="E53" s="106">
        <f>11-7</f>
        <v>4</v>
      </c>
      <c r="F53" s="106">
        <f>46-35</f>
        <v>11</v>
      </c>
      <c r="G53" s="106">
        <f>88-88</f>
        <v>0</v>
      </c>
      <c r="H53" s="106">
        <f>153-110</f>
        <v>43</v>
      </c>
      <c r="I53" s="106">
        <f>74-50</f>
        <v>24</v>
      </c>
      <c r="J53" s="106">
        <f>104-59</f>
        <v>45</v>
      </c>
      <c r="K53" s="106">
        <f>77-5-33</f>
        <v>39</v>
      </c>
      <c r="L53" s="106">
        <f>106-13-12-5-42</f>
        <v>34</v>
      </c>
      <c r="M53" s="106">
        <f>78-25-18</f>
        <v>35</v>
      </c>
      <c r="N53" s="106">
        <f>147-74</f>
        <v>73</v>
      </c>
      <c r="O53" s="106">
        <f>168+5-95</f>
        <v>78</v>
      </c>
      <c r="P53" s="106">
        <f>116+8-100</f>
        <v>24</v>
      </c>
      <c r="Q53" s="106">
        <f>130-71</f>
        <v>59</v>
      </c>
      <c r="R53" s="106">
        <f>125-61</f>
        <v>64</v>
      </c>
      <c r="S53" s="106">
        <f>102-39</f>
        <v>63</v>
      </c>
      <c r="T53" s="106">
        <f>55-15</f>
        <v>40</v>
      </c>
      <c r="U53" s="106">
        <f>104-46</f>
        <v>58</v>
      </c>
      <c r="V53" s="106">
        <f>139-67</f>
        <v>72</v>
      </c>
      <c r="W53" s="106">
        <f>116-82</f>
        <v>34</v>
      </c>
      <c r="X53" s="106">
        <f>108-57</f>
        <v>51</v>
      </c>
      <c r="Y53" s="106">
        <f>101-47</f>
        <v>54</v>
      </c>
      <c r="Z53" s="106">
        <f>109-83</f>
        <v>26</v>
      </c>
      <c r="AA53" s="106">
        <f>91-5-8-23-4</f>
        <v>51</v>
      </c>
      <c r="AB53" s="106">
        <f>105-28-13-7</f>
        <v>57</v>
      </c>
      <c r="AC53" s="106">
        <f>131-73</f>
        <v>58</v>
      </c>
      <c r="AD53" s="106">
        <f>77-38</f>
        <v>39</v>
      </c>
      <c r="AE53" s="106">
        <f>71-13-14</f>
        <v>44</v>
      </c>
      <c r="AF53" s="106">
        <f>120-16-39-27</f>
        <v>38</v>
      </c>
      <c r="AG53" s="107">
        <f>SUM(B53:AF53)</f>
        <v>1353</v>
      </c>
      <c r="AH53" s="33"/>
      <c r="AI53" s="33"/>
      <c r="AJ53" s="71" t="str">
        <f t="shared" ref="AJ53:BO53" si="29">A53</f>
        <v>nb de green fees 18 Trous</v>
      </c>
      <c r="AK53" s="106">
        <f t="shared" si="29"/>
        <v>55</v>
      </c>
      <c r="AL53" s="106">
        <f t="shared" si="29"/>
        <v>24</v>
      </c>
      <c r="AM53" s="106">
        <f t="shared" si="29"/>
        <v>56</v>
      </c>
      <c r="AN53" s="106">
        <f t="shared" si="29"/>
        <v>4</v>
      </c>
      <c r="AO53" s="106">
        <f t="shared" si="29"/>
        <v>11</v>
      </c>
      <c r="AP53" s="106">
        <f t="shared" si="29"/>
        <v>0</v>
      </c>
      <c r="AQ53" s="106">
        <f t="shared" si="29"/>
        <v>43</v>
      </c>
      <c r="AR53" s="106">
        <f t="shared" si="29"/>
        <v>24</v>
      </c>
      <c r="AS53" s="106">
        <f t="shared" si="29"/>
        <v>45</v>
      </c>
      <c r="AT53" s="106">
        <f t="shared" si="29"/>
        <v>39</v>
      </c>
      <c r="AU53" s="106">
        <f t="shared" si="29"/>
        <v>34</v>
      </c>
      <c r="AV53" s="106">
        <f t="shared" si="29"/>
        <v>35</v>
      </c>
      <c r="AW53" s="106">
        <f t="shared" si="29"/>
        <v>73</v>
      </c>
      <c r="AX53" s="106">
        <f t="shared" si="29"/>
        <v>78</v>
      </c>
      <c r="AY53" s="106">
        <f t="shared" si="29"/>
        <v>24</v>
      </c>
      <c r="AZ53" s="106">
        <f t="shared" si="29"/>
        <v>59</v>
      </c>
      <c r="BA53" s="106">
        <f t="shared" si="29"/>
        <v>64</v>
      </c>
      <c r="BB53" s="106">
        <f t="shared" si="29"/>
        <v>63</v>
      </c>
      <c r="BC53" s="106">
        <f t="shared" si="29"/>
        <v>40</v>
      </c>
      <c r="BD53" s="106">
        <f t="shared" si="29"/>
        <v>58</v>
      </c>
      <c r="BE53" s="106">
        <f t="shared" si="29"/>
        <v>72</v>
      </c>
      <c r="BF53" s="106">
        <f t="shared" si="29"/>
        <v>34</v>
      </c>
      <c r="BG53" s="106">
        <f t="shared" si="29"/>
        <v>51</v>
      </c>
      <c r="BH53" s="106">
        <f t="shared" si="29"/>
        <v>54</v>
      </c>
      <c r="BI53" s="106">
        <f t="shared" si="29"/>
        <v>26</v>
      </c>
      <c r="BJ53" s="106">
        <f t="shared" si="29"/>
        <v>51</v>
      </c>
      <c r="BK53" s="106">
        <f t="shared" si="29"/>
        <v>57</v>
      </c>
      <c r="BL53" s="106">
        <f t="shared" si="29"/>
        <v>58</v>
      </c>
      <c r="BM53" s="106">
        <f t="shared" si="29"/>
        <v>39</v>
      </c>
      <c r="BN53" s="106">
        <f t="shared" si="29"/>
        <v>44</v>
      </c>
      <c r="BO53" s="106">
        <f t="shared" si="29"/>
        <v>38</v>
      </c>
      <c r="BP53" s="107">
        <f>SUM(AK53:BO53)</f>
        <v>1353</v>
      </c>
    </row>
    <row r="54" spans="1:68" s="50" customFormat="1" ht="20.100000000000001" customHeight="1" x14ac:dyDescent="0.25">
      <c r="A54" s="73" t="s">
        <v>285</v>
      </c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7"/>
      <c r="AH54" s="33"/>
      <c r="AI54" s="33"/>
      <c r="AJ54" s="109"/>
      <c r="AK54" s="106"/>
      <c r="AL54" s="106"/>
      <c r="AM54" s="106"/>
      <c r="AN54" s="106"/>
      <c r="AO54" s="106"/>
      <c r="AP54" s="106"/>
      <c r="AQ54" s="106"/>
      <c r="AR54" s="106"/>
      <c r="AS54" s="106"/>
      <c r="AT54" s="106"/>
      <c r="AU54" s="106"/>
      <c r="AV54" s="106"/>
      <c r="AW54" s="106"/>
      <c r="AX54" s="106"/>
      <c r="AY54" s="106"/>
      <c r="AZ54" s="106"/>
      <c r="BA54" s="106"/>
      <c r="BB54" s="106"/>
      <c r="BC54" s="106"/>
      <c r="BD54" s="106"/>
      <c r="BE54" s="106"/>
      <c r="BF54" s="106"/>
      <c r="BG54" s="106"/>
      <c r="BH54" s="106"/>
      <c r="BI54" s="106"/>
      <c r="BJ54" s="106"/>
      <c r="BK54" s="106"/>
      <c r="BL54" s="106"/>
      <c r="BM54" s="106"/>
      <c r="BN54" s="106"/>
      <c r="BO54" s="106"/>
      <c r="BP54" s="107"/>
    </row>
    <row r="55" spans="1:68" s="50" customFormat="1" ht="20.100000000000001" customHeight="1" x14ac:dyDescent="0.25">
      <c r="A55" s="73" t="s">
        <v>286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07"/>
      <c r="AH55" s="33"/>
      <c r="AI55" s="33"/>
      <c r="AJ55" s="109"/>
      <c r="AK55" s="106"/>
      <c r="AL55" s="106"/>
      <c r="AM55" s="106"/>
      <c r="AN55" s="106"/>
      <c r="AO55" s="106"/>
      <c r="AP55" s="106"/>
      <c r="AQ55" s="106"/>
      <c r="AR55" s="106"/>
      <c r="AS55" s="106"/>
      <c r="AT55" s="106"/>
      <c r="AU55" s="106"/>
      <c r="AV55" s="106"/>
      <c r="AW55" s="106"/>
      <c r="AX55" s="106"/>
      <c r="AY55" s="106"/>
      <c r="AZ55" s="106"/>
      <c r="BA55" s="106"/>
      <c r="BB55" s="106"/>
      <c r="BC55" s="106"/>
      <c r="BD55" s="106"/>
      <c r="BE55" s="106"/>
      <c r="BF55" s="106"/>
      <c r="BG55" s="106"/>
      <c r="BH55" s="106"/>
      <c r="BI55" s="106"/>
      <c r="BJ55" s="106"/>
      <c r="BK55" s="106"/>
      <c r="BL55" s="106"/>
      <c r="BM55" s="106"/>
      <c r="BN55" s="106"/>
      <c r="BO55" s="106"/>
      <c r="BP55" s="107"/>
    </row>
    <row r="56" spans="1:68" ht="20.100000000000001" customHeight="1" x14ac:dyDescent="0.25">
      <c r="A56" s="73" t="s">
        <v>241</v>
      </c>
      <c r="B56" s="108"/>
      <c r="C56" s="108"/>
      <c r="D56" s="108"/>
      <c r="E56" s="108"/>
      <c r="F56" s="108"/>
      <c r="G56" s="108">
        <v>77</v>
      </c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108"/>
      <c r="AG56" s="107">
        <f t="shared" ref="AG56:AG71" si="30">SUM(B56:AF56)</f>
        <v>77</v>
      </c>
      <c r="AJ56" s="109" t="s">
        <v>241</v>
      </c>
      <c r="AK56" s="106">
        <f t="shared" ref="AK56:BO67" si="31">B56</f>
        <v>0</v>
      </c>
      <c r="AL56" s="106">
        <f t="shared" si="31"/>
        <v>0</v>
      </c>
      <c r="AM56" s="106">
        <f t="shared" si="31"/>
        <v>0</v>
      </c>
      <c r="AN56" s="106">
        <f t="shared" si="31"/>
        <v>0</v>
      </c>
      <c r="AO56" s="106">
        <f t="shared" si="31"/>
        <v>0</v>
      </c>
      <c r="AP56" s="106">
        <f t="shared" si="31"/>
        <v>77</v>
      </c>
      <c r="AQ56" s="106">
        <f t="shared" si="31"/>
        <v>0</v>
      </c>
      <c r="AR56" s="106">
        <f t="shared" si="31"/>
        <v>0</v>
      </c>
      <c r="AS56" s="106">
        <f t="shared" si="31"/>
        <v>0</v>
      </c>
      <c r="AT56" s="106">
        <f t="shared" si="31"/>
        <v>0</v>
      </c>
      <c r="AU56" s="106">
        <f t="shared" si="31"/>
        <v>0</v>
      </c>
      <c r="AV56" s="106">
        <f t="shared" si="31"/>
        <v>0</v>
      </c>
      <c r="AW56" s="106">
        <f t="shared" si="31"/>
        <v>0</v>
      </c>
      <c r="AX56" s="106">
        <f t="shared" si="31"/>
        <v>0</v>
      </c>
      <c r="AY56" s="106">
        <f t="shared" si="31"/>
        <v>0</v>
      </c>
      <c r="AZ56" s="106">
        <f t="shared" si="31"/>
        <v>0</v>
      </c>
      <c r="BA56" s="106">
        <f t="shared" si="31"/>
        <v>0</v>
      </c>
      <c r="BB56" s="106">
        <f t="shared" si="31"/>
        <v>0</v>
      </c>
      <c r="BC56" s="106">
        <f t="shared" si="31"/>
        <v>0</v>
      </c>
      <c r="BD56" s="106">
        <f t="shared" si="31"/>
        <v>0</v>
      </c>
      <c r="BE56" s="106">
        <f t="shared" si="31"/>
        <v>0</v>
      </c>
      <c r="BF56" s="106">
        <f t="shared" si="31"/>
        <v>0</v>
      </c>
      <c r="BG56" s="106">
        <f t="shared" si="31"/>
        <v>0</v>
      </c>
      <c r="BH56" s="106">
        <f t="shared" si="31"/>
        <v>0</v>
      </c>
      <c r="BI56" s="106">
        <f t="shared" si="31"/>
        <v>0</v>
      </c>
      <c r="BJ56" s="106">
        <f t="shared" si="31"/>
        <v>0</v>
      </c>
      <c r="BK56" s="106">
        <f t="shared" si="31"/>
        <v>0</v>
      </c>
      <c r="BL56" s="106">
        <f t="shared" si="31"/>
        <v>0</v>
      </c>
      <c r="BM56" s="106">
        <f t="shared" si="31"/>
        <v>0</v>
      </c>
      <c r="BN56" s="106">
        <f t="shared" si="31"/>
        <v>0</v>
      </c>
      <c r="BO56" s="106">
        <f t="shared" si="31"/>
        <v>0</v>
      </c>
      <c r="BP56" s="107">
        <f t="shared" ref="BP56:BP71" si="32">SUM(AK56:BO56)</f>
        <v>77</v>
      </c>
    </row>
    <row r="57" spans="1:68" s="50" customFormat="1" ht="20.100000000000001" customHeight="1" x14ac:dyDescent="0.25">
      <c r="A57" s="66" t="s">
        <v>287</v>
      </c>
      <c r="B57" s="106">
        <v>6</v>
      </c>
      <c r="C57" s="106">
        <v>9</v>
      </c>
      <c r="D57" s="106">
        <v>24</v>
      </c>
      <c r="E57" s="106">
        <v>3</v>
      </c>
      <c r="F57" s="106">
        <v>23</v>
      </c>
      <c r="G57" s="106">
        <v>2</v>
      </c>
      <c r="H57" s="106">
        <v>21</v>
      </c>
      <c r="I57" s="106">
        <v>27</v>
      </c>
      <c r="J57" s="106">
        <v>23</v>
      </c>
      <c r="K57" s="106"/>
      <c r="L57" s="106"/>
      <c r="M57" s="106">
        <v>2</v>
      </c>
      <c r="N57" s="106">
        <v>8</v>
      </c>
      <c r="O57" s="106">
        <v>10</v>
      </c>
      <c r="P57" s="106">
        <v>8</v>
      </c>
      <c r="Q57" s="106">
        <v>9</v>
      </c>
      <c r="R57" s="106">
        <v>5</v>
      </c>
      <c r="S57" s="106"/>
      <c r="T57" s="106"/>
      <c r="U57" s="106"/>
      <c r="V57" s="106">
        <v>3</v>
      </c>
      <c r="W57" s="106">
        <v>7</v>
      </c>
      <c r="X57" s="106">
        <v>11</v>
      </c>
      <c r="Y57" s="106">
        <v>3</v>
      </c>
      <c r="Z57" s="106"/>
      <c r="AA57" s="106"/>
      <c r="AB57" s="106">
        <v>8</v>
      </c>
      <c r="AC57" s="106">
        <v>2</v>
      </c>
      <c r="AD57" s="106">
        <v>12</v>
      </c>
      <c r="AE57" s="106">
        <v>2</v>
      </c>
      <c r="AF57" s="106">
        <v>10</v>
      </c>
      <c r="AG57" s="107">
        <f t="shared" si="30"/>
        <v>238</v>
      </c>
      <c r="AH57" s="33"/>
      <c r="AI57" s="33"/>
      <c r="AJ57" s="71" t="str">
        <f t="shared" ref="AJ57:AS59" si="33">A57</f>
        <v>nb de green fees Hôtel</v>
      </c>
      <c r="AK57" s="106">
        <f t="shared" si="31"/>
        <v>6</v>
      </c>
      <c r="AL57" s="106">
        <f t="shared" si="33"/>
        <v>9</v>
      </c>
      <c r="AM57" s="106">
        <f t="shared" si="33"/>
        <v>24</v>
      </c>
      <c r="AN57" s="106">
        <f t="shared" si="33"/>
        <v>3</v>
      </c>
      <c r="AO57" s="106">
        <f t="shared" si="33"/>
        <v>23</v>
      </c>
      <c r="AP57" s="106">
        <f t="shared" si="33"/>
        <v>2</v>
      </c>
      <c r="AQ57" s="106">
        <f t="shared" si="33"/>
        <v>21</v>
      </c>
      <c r="AR57" s="106">
        <f t="shared" si="33"/>
        <v>27</v>
      </c>
      <c r="AS57" s="106">
        <f t="shared" si="33"/>
        <v>23</v>
      </c>
      <c r="AT57" s="106">
        <f t="shared" si="31"/>
        <v>0</v>
      </c>
      <c r="AU57" s="106">
        <f t="shared" si="31"/>
        <v>0</v>
      </c>
      <c r="AV57" s="106">
        <f t="shared" si="31"/>
        <v>2</v>
      </c>
      <c r="AW57" s="106">
        <f t="shared" si="31"/>
        <v>8</v>
      </c>
      <c r="AX57" s="106">
        <f t="shared" si="31"/>
        <v>10</v>
      </c>
      <c r="AY57" s="106">
        <f t="shared" si="31"/>
        <v>8</v>
      </c>
      <c r="AZ57" s="106">
        <f t="shared" si="31"/>
        <v>9</v>
      </c>
      <c r="BA57" s="106">
        <f t="shared" si="31"/>
        <v>5</v>
      </c>
      <c r="BB57" s="106">
        <f t="shared" si="31"/>
        <v>0</v>
      </c>
      <c r="BC57" s="106">
        <f t="shared" si="31"/>
        <v>0</v>
      </c>
      <c r="BD57" s="106">
        <f t="shared" si="31"/>
        <v>0</v>
      </c>
      <c r="BE57" s="106">
        <f t="shared" si="31"/>
        <v>3</v>
      </c>
      <c r="BF57" s="106">
        <f t="shared" si="31"/>
        <v>7</v>
      </c>
      <c r="BG57" s="106">
        <f t="shared" si="31"/>
        <v>11</v>
      </c>
      <c r="BH57" s="106">
        <f t="shared" si="31"/>
        <v>3</v>
      </c>
      <c r="BI57" s="106">
        <f t="shared" si="31"/>
        <v>0</v>
      </c>
      <c r="BJ57" s="106">
        <f t="shared" si="31"/>
        <v>0</v>
      </c>
      <c r="BK57" s="106">
        <f t="shared" si="31"/>
        <v>8</v>
      </c>
      <c r="BL57" s="106">
        <f t="shared" si="31"/>
        <v>2</v>
      </c>
      <c r="BM57" s="106">
        <f t="shared" si="31"/>
        <v>12</v>
      </c>
      <c r="BN57" s="106">
        <f t="shared" si="31"/>
        <v>2</v>
      </c>
      <c r="BO57" s="106">
        <f t="shared" si="31"/>
        <v>10</v>
      </c>
      <c r="BP57" s="107">
        <f t="shared" si="32"/>
        <v>238</v>
      </c>
    </row>
    <row r="58" spans="1:68" s="50" customFormat="1" ht="20.100000000000001" customHeight="1" x14ac:dyDescent="0.25">
      <c r="A58" s="66" t="s">
        <v>288</v>
      </c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7"/>
      <c r="AH58" s="33"/>
      <c r="AI58" s="33"/>
      <c r="AJ58" s="71"/>
      <c r="AK58" s="106"/>
      <c r="AL58" s="106"/>
      <c r="AM58" s="106"/>
      <c r="AN58" s="106"/>
      <c r="AO58" s="106"/>
      <c r="AP58" s="106"/>
      <c r="AQ58" s="106"/>
      <c r="AR58" s="106"/>
      <c r="AS58" s="106"/>
      <c r="AT58" s="106"/>
      <c r="AU58" s="106"/>
      <c r="AV58" s="106"/>
      <c r="AW58" s="106"/>
      <c r="AX58" s="106"/>
      <c r="AY58" s="106"/>
      <c r="AZ58" s="106"/>
      <c r="BA58" s="106"/>
      <c r="BB58" s="106"/>
      <c r="BC58" s="106"/>
      <c r="BD58" s="106"/>
      <c r="BE58" s="106"/>
      <c r="BF58" s="106"/>
      <c r="BG58" s="106"/>
      <c r="BH58" s="106"/>
      <c r="BI58" s="106"/>
      <c r="BJ58" s="106"/>
      <c r="BK58" s="106"/>
      <c r="BL58" s="106"/>
      <c r="BM58" s="106"/>
      <c r="BN58" s="106"/>
      <c r="BO58" s="106"/>
      <c r="BP58" s="107"/>
    </row>
    <row r="59" spans="1:68" s="50" customFormat="1" ht="20.100000000000001" customHeight="1" x14ac:dyDescent="0.25">
      <c r="A59" s="66" t="s">
        <v>289</v>
      </c>
      <c r="B59" s="106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>
        <v>2</v>
      </c>
      <c r="O59" s="106"/>
      <c r="P59" s="106"/>
      <c r="Q59" s="106"/>
      <c r="R59" s="106"/>
      <c r="S59" s="106">
        <v>2</v>
      </c>
      <c r="T59" s="106"/>
      <c r="U59" s="106">
        <v>2</v>
      </c>
      <c r="V59" s="106"/>
      <c r="W59" s="106">
        <v>1</v>
      </c>
      <c r="X59" s="106"/>
      <c r="Y59" s="106">
        <v>4</v>
      </c>
      <c r="Z59" s="106"/>
      <c r="AA59" s="106"/>
      <c r="AB59" s="106">
        <v>2</v>
      </c>
      <c r="AC59" s="106"/>
      <c r="AD59" s="106"/>
      <c r="AE59" s="106"/>
      <c r="AF59" s="106"/>
      <c r="AG59" s="107">
        <f t="shared" si="30"/>
        <v>13</v>
      </c>
      <c r="AH59" s="33"/>
      <c r="AI59" s="33"/>
      <c r="AJ59" s="71" t="s">
        <v>289</v>
      </c>
      <c r="AK59" s="106">
        <f t="shared" si="31"/>
        <v>0</v>
      </c>
      <c r="AL59" s="106">
        <f t="shared" si="33"/>
        <v>0</v>
      </c>
      <c r="AM59" s="106">
        <f t="shared" si="33"/>
        <v>0</v>
      </c>
      <c r="AN59" s="106">
        <f t="shared" si="33"/>
        <v>0</v>
      </c>
      <c r="AO59" s="106">
        <f t="shared" si="33"/>
        <v>0</v>
      </c>
      <c r="AP59" s="106">
        <f t="shared" si="33"/>
        <v>0</v>
      </c>
      <c r="AQ59" s="106">
        <f t="shared" si="33"/>
        <v>0</v>
      </c>
      <c r="AR59" s="106">
        <f t="shared" si="33"/>
        <v>0</v>
      </c>
      <c r="AS59" s="106">
        <f t="shared" si="33"/>
        <v>0</v>
      </c>
      <c r="AT59" s="106">
        <f t="shared" si="31"/>
        <v>0</v>
      </c>
      <c r="AU59" s="106">
        <f t="shared" si="31"/>
        <v>0</v>
      </c>
      <c r="AV59" s="106">
        <f t="shared" si="31"/>
        <v>0</v>
      </c>
      <c r="AW59" s="106">
        <f t="shared" si="31"/>
        <v>2</v>
      </c>
      <c r="AX59" s="106">
        <f t="shared" si="31"/>
        <v>0</v>
      </c>
      <c r="AY59" s="106">
        <f t="shared" si="31"/>
        <v>0</v>
      </c>
      <c r="AZ59" s="106">
        <f t="shared" si="31"/>
        <v>0</v>
      </c>
      <c r="BA59" s="106">
        <f t="shared" si="31"/>
        <v>0</v>
      </c>
      <c r="BB59" s="106">
        <f t="shared" si="31"/>
        <v>2</v>
      </c>
      <c r="BC59" s="106">
        <f t="shared" si="31"/>
        <v>0</v>
      </c>
      <c r="BD59" s="106">
        <f t="shared" si="31"/>
        <v>2</v>
      </c>
      <c r="BE59" s="106">
        <f t="shared" si="31"/>
        <v>0</v>
      </c>
      <c r="BF59" s="106">
        <f t="shared" si="31"/>
        <v>1</v>
      </c>
      <c r="BG59" s="106">
        <f t="shared" si="31"/>
        <v>0</v>
      </c>
      <c r="BH59" s="106">
        <f t="shared" si="31"/>
        <v>4</v>
      </c>
      <c r="BI59" s="106">
        <f t="shared" si="31"/>
        <v>0</v>
      </c>
      <c r="BJ59" s="106">
        <f t="shared" si="31"/>
        <v>0</v>
      </c>
      <c r="BK59" s="106">
        <f t="shared" si="31"/>
        <v>2</v>
      </c>
      <c r="BL59" s="106">
        <f t="shared" si="31"/>
        <v>0</v>
      </c>
      <c r="BM59" s="106">
        <f t="shared" si="31"/>
        <v>0</v>
      </c>
      <c r="BN59" s="106">
        <f t="shared" si="31"/>
        <v>0</v>
      </c>
      <c r="BO59" s="106">
        <f t="shared" si="31"/>
        <v>0</v>
      </c>
      <c r="BP59" s="107">
        <f t="shared" si="32"/>
        <v>13</v>
      </c>
    </row>
    <row r="60" spans="1:68" s="50" customFormat="1" ht="20.100000000000001" customHeight="1" x14ac:dyDescent="0.25">
      <c r="A60" s="66" t="s">
        <v>290</v>
      </c>
      <c r="B60" s="106"/>
      <c r="C60" s="106"/>
      <c r="D60" s="106"/>
      <c r="E60" s="106"/>
      <c r="F60" s="106"/>
      <c r="G60" s="106"/>
      <c r="H60" s="106"/>
      <c r="I60" s="106"/>
      <c r="J60" s="106">
        <v>2</v>
      </c>
      <c r="K60" s="106">
        <v>2</v>
      </c>
      <c r="L60" s="106"/>
      <c r="M60" s="106"/>
      <c r="N60" s="106">
        <v>4</v>
      </c>
      <c r="O60" s="106">
        <v>22</v>
      </c>
      <c r="P60" s="106">
        <v>26</v>
      </c>
      <c r="Q60" s="106"/>
      <c r="R60" s="106">
        <v>4</v>
      </c>
      <c r="S60" s="106">
        <v>2</v>
      </c>
      <c r="T60" s="106">
        <v>2</v>
      </c>
      <c r="U60" s="106"/>
      <c r="V60" s="106">
        <v>2</v>
      </c>
      <c r="W60" s="106">
        <v>6</v>
      </c>
      <c r="X60" s="106">
        <v>6</v>
      </c>
      <c r="Y60" s="106"/>
      <c r="Z60" s="106"/>
      <c r="AA60" s="106"/>
      <c r="AB60" s="106">
        <v>2</v>
      </c>
      <c r="AC60" s="106">
        <v>2</v>
      </c>
      <c r="AD60" s="106"/>
      <c r="AE60" s="106">
        <v>4</v>
      </c>
      <c r="AF60" s="106">
        <v>2</v>
      </c>
      <c r="AG60" s="107">
        <f t="shared" si="30"/>
        <v>88</v>
      </c>
      <c r="AH60" s="33"/>
      <c r="AI60" s="33"/>
      <c r="AJ60" s="71" t="str">
        <f t="shared" ref="AJ60:AS63" si="34">A60</f>
        <v>nb de 18 trous Resort</v>
      </c>
      <c r="AK60" s="106">
        <f t="shared" si="31"/>
        <v>0</v>
      </c>
      <c r="AL60" s="106">
        <f t="shared" si="34"/>
        <v>0</v>
      </c>
      <c r="AM60" s="106">
        <f t="shared" si="34"/>
        <v>0</v>
      </c>
      <c r="AN60" s="106">
        <f t="shared" si="34"/>
        <v>0</v>
      </c>
      <c r="AO60" s="106">
        <f t="shared" si="34"/>
        <v>0</v>
      </c>
      <c r="AP60" s="106">
        <f t="shared" si="34"/>
        <v>0</v>
      </c>
      <c r="AQ60" s="106">
        <f t="shared" si="34"/>
        <v>0</v>
      </c>
      <c r="AR60" s="106">
        <f t="shared" si="34"/>
        <v>0</v>
      </c>
      <c r="AS60" s="106">
        <f t="shared" si="34"/>
        <v>2</v>
      </c>
      <c r="AT60" s="106">
        <f t="shared" si="31"/>
        <v>2</v>
      </c>
      <c r="AU60" s="106">
        <f t="shared" si="31"/>
        <v>0</v>
      </c>
      <c r="AV60" s="106">
        <f t="shared" si="31"/>
        <v>0</v>
      </c>
      <c r="AW60" s="106">
        <f t="shared" si="31"/>
        <v>4</v>
      </c>
      <c r="AX60" s="106">
        <f t="shared" si="31"/>
        <v>22</v>
      </c>
      <c r="AY60" s="106">
        <f t="shared" si="31"/>
        <v>26</v>
      </c>
      <c r="AZ60" s="106">
        <f t="shared" si="31"/>
        <v>0</v>
      </c>
      <c r="BA60" s="106">
        <f t="shared" si="31"/>
        <v>4</v>
      </c>
      <c r="BB60" s="106">
        <f t="shared" si="31"/>
        <v>2</v>
      </c>
      <c r="BC60" s="106">
        <f t="shared" si="31"/>
        <v>2</v>
      </c>
      <c r="BD60" s="106">
        <f t="shared" si="31"/>
        <v>0</v>
      </c>
      <c r="BE60" s="106">
        <f t="shared" si="31"/>
        <v>2</v>
      </c>
      <c r="BF60" s="106">
        <f t="shared" si="31"/>
        <v>6</v>
      </c>
      <c r="BG60" s="106">
        <f t="shared" si="31"/>
        <v>6</v>
      </c>
      <c r="BH60" s="106">
        <f t="shared" si="31"/>
        <v>0</v>
      </c>
      <c r="BI60" s="106">
        <f t="shared" si="31"/>
        <v>0</v>
      </c>
      <c r="BJ60" s="106">
        <f t="shared" si="31"/>
        <v>0</v>
      </c>
      <c r="BK60" s="106">
        <f t="shared" si="31"/>
        <v>2</v>
      </c>
      <c r="BL60" s="106">
        <f t="shared" si="31"/>
        <v>2</v>
      </c>
      <c r="BM60" s="106">
        <f t="shared" si="31"/>
        <v>0</v>
      </c>
      <c r="BN60" s="106">
        <f t="shared" si="31"/>
        <v>4</v>
      </c>
      <c r="BO60" s="106">
        <f t="shared" si="31"/>
        <v>2</v>
      </c>
      <c r="BP60" s="107">
        <f t="shared" si="32"/>
        <v>88</v>
      </c>
    </row>
    <row r="61" spans="1:68" s="50" customFormat="1" ht="20.100000000000001" customHeight="1" x14ac:dyDescent="0.25">
      <c r="A61" s="66" t="s">
        <v>291</v>
      </c>
      <c r="B61" s="106">
        <v>3</v>
      </c>
      <c r="C61" s="106">
        <v>2</v>
      </c>
      <c r="D61" s="106">
        <v>6</v>
      </c>
      <c r="E61" s="106"/>
      <c r="F61" s="106"/>
      <c r="G61" s="106"/>
      <c r="H61" s="106">
        <v>21</v>
      </c>
      <c r="I61" s="106">
        <v>4</v>
      </c>
      <c r="J61" s="106">
        <v>9</v>
      </c>
      <c r="K61" s="106"/>
      <c r="L61" s="106">
        <v>13</v>
      </c>
      <c r="M61" s="106"/>
      <c r="N61" s="106">
        <v>13</v>
      </c>
      <c r="O61" s="106">
        <v>3</v>
      </c>
      <c r="P61" s="106">
        <v>5</v>
      </c>
      <c r="Q61" s="106">
        <v>3</v>
      </c>
      <c r="R61" s="106"/>
      <c r="S61" s="106">
        <v>2</v>
      </c>
      <c r="T61" s="106"/>
      <c r="U61" s="106">
        <v>4</v>
      </c>
      <c r="V61" s="106">
        <v>10</v>
      </c>
      <c r="W61" s="106">
        <v>2</v>
      </c>
      <c r="X61" s="106"/>
      <c r="Y61" s="106">
        <v>2</v>
      </c>
      <c r="Z61" s="106"/>
      <c r="AA61" s="106">
        <v>5</v>
      </c>
      <c r="AB61" s="106">
        <v>4</v>
      </c>
      <c r="AC61" s="106">
        <v>8</v>
      </c>
      <c r="AD61" s="106">
        <v>2</v>
      </c>
      <c r="AE61" s="106"/>
      <c r="AF61" s="106">
        <v>4</v>
      </c>
      <c r="AG61" s="107">
        <f t="shared" si="30"/>
        <v>125</v>
      </c>
      <c r="AH61" s="33"/>
      <c r="AI61" s="33"/>
      <c r="AJ61" s="71" t="s">
        <v>292</v>
      </c>
      <c r="AK61" s="106">
        <f t="shared" si="31"/>
        <v>3</v>
      </c>
      <c r="AL61" s="106">
        <f t="shared" si="34"/>
        <v>2</v>
      </c>
      <c r="AM61" s="106">
        <f t="shared" si="34"/>
        <v>6</v>
      </c>
      <c r="AN61" s="106">
        <f t="shared" si="34"/>
        <v>0</v>
      </c>
      <c r="AO61" s="106">
        <f t="shared" si="34"/>
        <v>0</v>
      </c>
      <c r="AP61" s="106">
        <f t="shared" si="34"/>
        <v>0</v>
      </c>
      <c r="AQ61" s="106">
        <f t="shared" si="34"/>
        <v>21</v>
      </c>
      <c r="AR61" s="106">
        <f t="shared" si="34"/>
        <v>4</v>
      </c>
      <c r="AS61" s="106">
        <f t="shared" si="34"/>
        <v>9</v>
      </c>
      <c r="AT61" s="106">
        <f t="shared" si="31"/>
        <v>0</v>
      </c>
      <c r="AU61" s="106">
        <f t="shared" si="31"/>
        <v>13</v>
      </c>
      <c r="AV61" s="106">
        <f t="shared" si="31"/>
        <v>0</v>
      </c>
      <c r="AW61" s="106">
        <f t="shared" si="31"/>
        <v>13</v>
      </c>
      <c r="AX61" s="106">
        <f t="shared" si="31"/>
        <v>3</v>
      </c>
      <c r="AY61" s="106">
        <f t="shared" si="31"/>
        <v>5</v>
      </c>
      <c r="AZ61" s="106">
        <f t="shared" si="31"/>
        <v>3</v>
      </c>
      <c r="BA61" s="106">
        <f t="shared" si="31"/>
        <v>0</v>
      </c>
      <c r="BB61" s="106">
        <f t="shared" si="31"/>
        <v>2</v>
      </c>
      <c r="BC61" s="106">
        <f t="shared" si="31"/>
        <v>0</v>
      </c>
      <c r="BD61" s="106">
        <f t="shared" si="31"/>
        <v>4</v>
      </c>
      <c r="BE61" s="106">
        <f t="shared" si="31"/>
        <v>10</v>
      </c>
      <c r="BF61" s="106">
        <f t="shared" si="31"/>
        <v>2</v>
      </c>
      <c r="BG61" s="106">
        <f t="shared" si="31"/>
        <v>0</v>
      </c>
      <c r="BH61" s="106">
        <f t="shared" si="31"/>
        <v>2</v>
      </c>
      <c r="BI61" s="106">
        <f t="shared" si="31"/>
        <v>0</v>
      </c>
      <c r="BJ61" s="106">
        <f t="shared" si="31"/>
        <v>5</v>
      </c>
      <c r="BK61" s="106">
        <f t="shared" si="31"/>
        <v>4</v>
      </c>
      <c r="BL61" s="106">
        <f t="shared" si="31"/>
        <v>8</v>
      </c>
      <c r="BM61" s="106">
        <f t="shared" si="31"/>
        <v>2</v>
      </c>
      <c r="BN61" s="106">
        <f t="shared" si="31"/>
        <v>0</v>
      </c>
      <c r="BO61" s="106">
        <f t="shared" si="31"/>
        <v>4</v>
      </c>
      <c r="BP61" s="107">
        <f t="shared" si="32"/>
        <v>125</v>
      </c>
    </row>
    <row r="62" spans="1:68" s="50" customFormat="1" ht="20.100000000000001" customHeight="1" x14ac:dyDescent="0.25">
      <c r="A62" s="66" t="s">
        <v>293</v>
      </c>
      <c r="B62" s="106">
        <v>2</v>
      </c>
      <c r="C62" s="106">
        <v>4</v>
      </c>
      <c r="D62" s="106"/>
      <c r="E62" s="106"/>
      <c r="F62" s="106"/>
      <c r="G62" s="106"/>
      <c r="H62" s="106"/>
      <c r="I62" s="106"/>
      <c r="J62" s="106"/>
      <c r="K62" s="106">
        <v>2</v>
      </c>
      <c r="L62" s="106">
        <v>12</v>
      </c>
      <c r="M62" s="106">
        <v>2</v>
      </c>
      <c r="N62" s="106">
        <v>2</v>
      </c>
      <c r="O62" s="106">
        <v>10</v>
      </c>
      <c r="P62" s="106"/>
      <c r="Q62" s="106">
        <v>2</v>
      </c>
      <c r="R62" s="106"/>
      <c r="S62" s="106"/>
      <c r="T62" s="106"/>
      <c r="U62" s="106">
        <v>3</v>
      </c>
      <c r="V62" s="106">
        <v>1</v>
      </c>
      <c r="W62" s="106"/>
      <c r="X62" s="106"/>
      <c r="Y62" s="106"/>
      <c r="Z62" s="106"/>
      <c r="AA62" s="106"/>
      <c r="AB62" s="106">
        <v>3</v>
      </c>
      <c r="AC62" s="106"/>
      <c r="AD62" s="106"/>
      <c r="AE62" s="106"/>
      <c r="AF62" s="106"/>
      <c r="AG62" s="107">
        <f t="shared" si="30"/>
        <v>43</v>
      </c>
      <c r="AH62" s="33"/>
      <c r="AI62" s="33"/>
      <c r="AJ62" s="71" t="s">
        <v>293</v>
      </c>
      <c r="AK62" s="106">
        <f t="shared" si="31"/>
        <v>2</v>
      </c>
      <c r="AL62" s="106">
        <f t="shared" si="34"/>
        <v>4</v>
      </c>
      <c r="AM62" s="106">
        <f t="shared" si="34"/>
        <v>0</v>
      </c>
      <c r="AN62" s="106">
        <f t="shared" si="34"/>
        <v>0</v>
      </c>
      <c r="AO62" s="106">
        <f t="shared" si="34"/>
        <v>0</v>
      </c>
      <c r="AP62" s="106">
        <f t="shared" si="34"/>
        <v>0</v>
      </c>
      <c r="AQ62" s="106">
        <f t="shared" si="34"/>
        <v>0</v>
      </c>
      <c r="AR62" s="106">
        <f t="shared" si="34"/>
        <v>0</v>
      </c>
      <c r="AS62" s="106">
        <f t="shared" si="34"/>
        <v>0</v>
      </c>
      <c r="AT62" s="106">
        <f t="shared" si="31"/>
        <v>2</v>
      </c>
      <c r="AU62" s="106">
        <f t="shared" si="31"/>
        <v>12</v>
      </c>
      <c r="AV62" s="106">
        <f t="shared" si="31"/>
        <v>2</v>
      </c>
      <c r="AW62" s="106">
        <f t="shared" si="31"/>
        <v>2</v>
      </c>
      <c r="AX62" s="106">
        <f t="shared" si="31"/>
        <v>10</v>
      </c>
      <c r="AY62" s="106">
        <f t="shared" si="31"/>
        <v>0</v>
      </c>
      <c r="AZ62" s="106">
        <f t="shared" si="31"/>
        <v>2</v>
      </c>
      <c r="BA62" s="106">
        <f t="shared" si="31"/>
        <v>0</v>
      </c>
      <c r="BB62" s="106">
        <f t="shared" si="31"/>
        <v>0</v>
      </c>
      <c r="BC62" s="106">
        <f t="shared" si="31"/>
        <v>0</v>
      </c>
      <c r="BD62" s="106">
        <f t="shared" si="31"/>
        <v>3</v>
      </c>
      <c r="BE62" s="106">
        <f t="shared" si="31"/>
        <v>1</v>
      </c>
      <c r="BF62" s="106">
        <f t="shared" si="31"/>
        <v>0</v>
      </c>
      <c r="BG62" s="106">
        <f t="shared" si="31"/>
        <v>0</v>
      </c>
      <c r="BH62" s="106">
        <f t="shared" si="31"/>
        <v>0</v>
      </c>
      <c r="BI62" s="106">
        <f t="shared" si="31"/>
        <v>0</v>
      </c>
      <c r="BJ62" s="106">
        <f t="shared" si="31"/>
        <v>0</v>
      </c>
      <c r="BK62" s="106">
        <f t="shared" si="31"/>
        <v>3</v>
      </c>
      <c r="BL62" s="106">
        <f t="shared" si="31"/>
        <v>0</v>
      </c>
      <c r="BM62" s="106">
        <f t="shared" si="31"/>
        <v>0</v>
      </c>
      <c r="BN62" s="106">
        <f t="shared" si="31"/>
        <v>0</v>
      </c>
      <c r="BO62" s="106">
        <f t="shared" si="31"/>
        <v>0</v>
      </c>
      <c r="BP62" s="107">
        <f t="shared" si="32"/>
        <v>43</v>
      </c>
    </row>
    <row r="63" spans="1:68" s="50" customFormat="1" ht="20.100000000000001" customHeight="1" x14ac:dyDescent="0.25">
      <c r="A63" s="66" t="s">
        <v>294</v>
      </c>
      <c r="B63" s="106">
        <v>7</v>
      </c>
      <c r="C63" s="106">
        <v>5</v>
      </c>
      <c r="D63" s="106"/>
      <c r="E63" s="106"/>
      <c r="F63" s="106">
        <v>4</v>
      </c>
      <c r="G63" s="106"/>
      <c r="H63" s="106">
        <v>2</v>
      </c>
      <c r="I63" s="106"/>
      <c r="J63" s="106"/>
      <c r="K63" s="106">
        <v>1</v>
      </c>
      <c r="L63" s="106">
        <v>3</v>
      </c>
      <c r="M63" s="106"/>
      <c r="N63" s="106">
        <v>4</v>
      </c>
      <c r="O63" s="106">
        <v>6</v>
      </c>
      <c r="P63" s="106">
        <v>2</v>
      </c>
      <c r="Q63" s="106">
        <v>4</v>
      </c>
      <c r="R63" s="106">
        <v>1</v>
      </c>
      <c r="S63" s="106">
        <v>2</v>
      </c>
      <c r="T63" s="106">
        <v>1</v>
      </c>
      <c r="U63" s="106">
        <v>4</v>
      </c>
      <c r="V63" s="106">
        <v>6</v>
      </c>
      <c r="W63" s="106">
        <v>1</v>
      </c>
      <c r="X63" s="106">
        <v>7</v>
      </c>
      <c r="Y63" s="106"/>
      <c r="Z63" s="106"/>
      <c r="AA63" s="106"/>
      <c r="AB63" s="106"/>
      <c r="AC63" s="106"/>
      <c r="AD63" s="106"/>
      <c r="AE63" s="106"/>
      <c r="AF63" s="106">
        <v>8</v>
      </c>
      <c r="AG63" s="107">
        <f t="shared" si="30"/>
        <v>68</v>
      </c>
      <c r="AH63" s="33"/>
      <c r="AI63" s="33"/>
      <c r="AJ63" s="71" t="s">
        <v>294</v>
      </c>
      <c r="AK63" s="106">
        <f t="shared" si="31"/>
        <v>7</v>
      </c>
      <c r="AL63" s="106">
        <f t="shared" si="34"/>
        <v>5</v>
      </c>
      <c r="AM63" s="106">
        <f t="shared" si="34"/>
        <v>0</v>
      </c>
      <c r="AN63" s="106">
        <f t="shared" si="34"/>
        <v>0</v>
      </c>
      <c r="AO63" s="106">
        <f t="shared" si="34"/>
        <v>4</v>
      </c>
      <c r="AP63" s="106">
        <f t="shared" si="34"/>
        <v>0</v>
      </c>
      <c r="AQ63" s="106">
        <f t="shared" si="34"/>
        <v>2</v>
      </c>
      <c r="AR63" s="106">
        <f t="shared" si="34"/>
        <v>0</v>
      </c>
      <c r="AS63" s="106">
        <f t="shared" si="34"/>
        <v>0</v>
      </c>
      <c r="AT63" s="106">
        <f t="shared" si="31"/>
        <v>1</v>
      </c>
      <c r="AU63" s="106">
        <f t="shared" si="31"/>
        <v>3</v>
      </c>
      <c r="AV63" s="106">
        <f t="shared" si="31"/>
        <v>0</v>
      </c>
      <c r="AW63" s="106">
        <f t="shared" si="31"/>
        <v>4</v>
      </c>
      <c r="AX63" s="106">
        <f t="shared" si="31"/>
        <v>6</v>
      </c>
      <c r="AY63" s="106">
        <f t="shared" si="31"/>
        <v>2</v>
      </c>
      <c r="AZ63" s="106">
        <f t="shared" si="31"/>
        <v>4</v>
      </c>
      <c r="BA63" s="106">
        <f t="shared" si="31"/>
        <v>1</v>
      </c>
      <c r="BB63" s="106">
        <f t="shared" si="31"/>
        <v>2</v>
      </c>
      <c r="BC63" s="106">
        <f t="shared" si="31"/>
        <v>1</v>
      </c>
      <c r="BD63" s="106">
        <f t="shared" si="31"/>
        <v>4</v>
      </c>
      <c r="BE63" s="106">
        <f t="shared" si="31"/>
        <v>6</v>
      </c>
      <c r="BF63" s="106">
        <f t="shared" si="31"/>
        <v>1</v>
      </c>
      <c r="BG63" s="106">
        <f t="shared" si="31"/>
        <v>7</v>
      </c>
      <c r="BH63" s="106">
        <f t="shared" si="31"/>
        <v>0</v>
      </c>
      <c r="BI63" s="106">
        <f t="shared" si="31"/>
        <v>0</v>
      </c>
      <c r="BJ63" s="106">
        <f t="shared" si="31"/>
        <v>0</v>
      </c>
      <c r="BK63" s="106">
        <f t="shared" si="31"/>
        <v>0</v>
      </c>
      <c r="BL63" s="106">
        <f t="shared" si="31"/>
        <v>0</v>
      </c>
      <c r="BM63" s="106">
        <f t="shared" si="31"/>
        <v>0</v>
      </c>
      <c r="BN63" s="106">
        <f t="shared" si="31"/>
        <v>0</v>
      </c>
      <c r="BO63" s="106">
        <f t="shared" si="31"/>
        <v>8</v>
      </c>
      <c r="BP63" s="107">
        <f t="shared" si="32"/>
        <v>68</v>
      </c>
    </row>
    <row r="64" spans="1:68" s="50" customFormat="1" ht="20.100000000000001" customHeight="1" x14ac:dyDescent="0.25">
      <c r="A64" s="66" t="s">
        <v>295</v>
      </c>
      <c r="B64" s="106"/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>
        <v>1</v>
      </c>
      <c r="N64" s="106"/>
      <c r="O64" s="106"/>
      <c r="P64" s="106"/>
      <c r="Q64" s="106"/>
      <c r="R64" s="106"/>
      <c r="S64" s="106"/>
      <c r="T64" s="106"/>
      <c r="U64" s="106"/>
      <c r="V64" s="106"/>
      <c r="W64" s="106">
        <v>2</v>
      </c>
      <c r="X64" s="106"/>
      <c r="Y64" s="106">
        <v>2</v>
      </c>
      <c r="Z64" s="106">
        <v>1</v>
      </c>
      <c r="AA64" s="106">
        <v>6</v>
      </c>
      <c r="AB64" s="106"/>
      <c r="AC64" s="106"/>
      <c r="AD64" s="106">
        <v>6</v>
      </c>
      <c r="AE64" s="106"/>
      <c r="AF64" s="106"/>
      <c r="AG64" s="107">
        <f t="shared" si="30"/>
        <v>18</v>
      </c>
      <c r="AH64" s="33"/>
      <c r="AI64" s="33"/>
      <c r="AJ64" s="71" t="str">
        <f t="shared" ref="AJ64:AY71" si="35">A64</f>
        <v>nb de green fees 9 Trous</v>
      </c>
      <c r="AK64" s="106">
        <f t="shared" si="31"/>
        <v>0</v>
      </c>
      <c r="AL64" s="106">
        <f t="shared" si="35"/>
        <v>0</v>
      </c>
      <c r="AM64" s="106">
        <f t="shared" si="35"/>
        <v>0</v>
      </c>
      <c r="AN64" s="106">
        <f t="shared" si="35"/>
        <v>0</v>
      </c>
      <c r="AO64" s="106">
        <f t="shared" si="35"/>
        <v>0</v>
      </c>
      <c r="AP64" s="106">
        <f t="shared" si="35"/>
        <v>0</v>
      </c>
      <c r="AQ64" s="106">
        <f t="shared" si="35"/>
        <v>0</v>
      </c>
      <c r="AR64" s="106">
        <f t="shared" si="35"/>
        <v>0</v>
      </c>
      <c r="AS64" s="106">
        <f t="shared" si="35"/>
        <v>0</v>
      </c>
      <c r="AT64" s="106">
        <f t="shared" si="31"/>
        <v>0</v>
      </c>
      <c r="AU64" s="106">
        <f t="shared" si="31"/>
        <v>0</v>
      </c>
      <c r="AV64" s="106">
        <f t="shared" si="31"/>
        <v>1</v>
      </c>
      <c r="AW64" s="106">
        <f t="shared" si="31"/>
        <v>0</v>
      </c>
      <c r="AX64" s="106">
        <f t="shared" si="31"/>
        <v>0</v>
      </c>
      <c r="AY64" s="106">
        <f t="shared" si="31"/>
        <v>0</v>
      </c>
      <c r="AZ64" s="106">
        <f t="shared" si="31"/>
        <v>0</v>
      </c>
      <c r="BA64" s="106">
        <f t="shared" si="31"/>
        <v>0</v>
      </c>
      <c r="BB64" s="106">
        <f t="shared" si="31"/>
        <v>0</v>
      </c>
      <c r="BC64" s="106">
        <f t="shared" si="31"/>
        <v>0</v>
      </c>
      <c r="BD64" s="106">
        <f t="shared" si="31"/>
        <v>0</v>
      </c>
      <c r="BE64" s="106">
        <f t="shared" si="31"/>
        <v>0</v>
      </c>
      <c r="BF64" s="106">
        <f t="shared" si="31"/>
        <v>2</v>
      </c>
      <c r="BG64" s="106">
        <f t="shared" si="31"/>
        <v>0</v>
      </c>
      <c r="BH64" s="106">
        <f t="shared" si="31"/>
        <v>2</v>
      </c>
      <c r="BI64" s="106">
        <f t="shared" si="31"/>
        <v>1</v>
      </c>
      <c r="BJ64" s="106">
        <f t="shared" si="31"/>
        <v>6</v>
      </c>
      <c r="BK64" s="106">
        <f t="shared" si="31"/>
        <v>0</v>
      </c>
      <c r="BL64" s="106">
        <f t="shared" si="31"/>
        <v>0</v>
      </c>
      <c r="BM64" s="106">
        <f t="shared" si="31"/>
        <v>6</v>
      </c>
      <c r="BN64" s="106">
        <f t="shared" si="31"/>
        <v>0</v>
      </c>
      <c r="BO64" s="106">
        <f t="shared" si="31"/>
        <v>0</v>
      </c>
      <c r="BP64" s="107">
        <f t="shared" si="32"/>
        <v>18</v>
      </c>
    </row>
    <row r="65" spans="1:68" s="50" customFormat="1" ht="20.100000000000001" customHeight="1" x14ac:dyDescent="0.25">
      <c r="A65" s="66" t="s">
        <v>250</v>
      </c>
      <c r="B65" s="106"/>
      <c r="C65" s="106"/>
      <c r="D65" s="106"/>
      <c r="E65" s="106"/>
      <c r="F65" s="106">
        <v>2</v>
      </c>
      <c r="G65" s="106"/>
      <c r="H65" s="106">
        <v>10</v>
      </c>
      <c r="I65" s="106">
        <v>2</v>
      </c>
      <c r="J65" s="106"/>
      <c r="K65" s="106"/>
      <c r="L65" s="106"/>
      <c r="M65" s="106"/>
      <c r="N65" s="106">
        <v>4</v>
      </c>
      <c r="O65" s="106"/>
      <c r="P65" s="106">
        <v>2</v>
      </c>
      <c r="Q65" s="106"/>
      <c r="R65" s="106"/>
      <c r="S65" s="106"/>
      <c r="T65" s="106"/>
      <c r="U65" s="106"/>
      <c r="V65" s="106">
        <v>2</v>
      </c>
      <c r="W65" s="106">
        <v>12</v>
      </c>
      <c r="X65" s="106"/>
      <c r="Y65" s="106">
        <v>2</v>
      </c>
      <c r="Z65" s="106">
        <v>2</v>
      </c>
      <c r="AA65" s="106"/>
      <c r="AB65" s="106">
        <v>3</v>
      </c>
      <c r="AC65" s="106">
        <v>6</v>
      </c>
      <c r="AD65" s="106"/>
      <c r="AE65" s="106">
        <v>5</v>
      </c>
      <c r="AF65" s="106">
        <f>18+8</f>
        <v>26</v>
      </c>
      <c r="AG65" s="107">
        <f t="shared" si="30"/>
        <v>78</v>
      </c>
      <c r="AH65" s="33"/>
      <c r="AI65" s="33"/>
      <c r="AJ65" s="71" t="str">
        <f t="shared" si="35"/>
        <v>TO</v>
      </c>
      <c r="AK65" s="106">
        <f t="shared" si="31"/>
        <v>0</v>
      </c>
      <c r="AL65" s="106">
        <f t="shared" si="35"/>
        <v>0</v>
      </c>
      <c r="AM65" s="106">
        <f t="shared" si="35"/>
        <v>0</v>
      </c>
      <c r="AN65" s="106">
        <f t="shared" si="35"/>
        <v>0</v>
      </c>
      <c r="AO65" s="106">
        <f t="shared" si="35"/>
        <v>2</v>
      </c>
      <c r="AP65" s="106">
        <f t="shared" si="35"/>
        <v>0</v>
      </c>
      <c r="AQ65" s="106">
        <f t="shared" si="35"/>
        <v>10</v>
      </c>
      <c r="AR65" s="106">
        <f t="shared" si="35"/>
        <v>2</v>
      </c>
      <c r="AS65" s="106">
        <f t="shared" si="35"/>
        <v>0</v>
      </c>
      <c r="AT65" s="106">
        <f t="shared" si="31"/>
        <v>0</v>
      </c>
      <c r="AU65" s="106">
        <f t="shared" si="31"/>
        <v>0</v>
      </c>
      <c r="AV65" s="106">
        <f t="shared" si="31"/>
        <v>0</v>
      </c>
      <c r="AW65" s="106">
        <f t="shared" si="31"/>
        <v>4</v>
      </c>
      <c r="AX65" s="106">
        <f t="shared" si="31"/>
        <v>0</v>
      </c>
      <c r="AY65" s="106">
        <f t="shared" si="31"/>
        <v>2</v>
      </c>
      <c r="AZ65" s="106">
        <f t="shared" si="31"/>
        <v>0</v>
      </c>
      <c r="BA65" s="106">
        <f t="shared" si="31"/>
        <v>0</v>
      </c>
      <c r="BB65" s="106">
        <f t="shared" si="31"/>
        <v>0</v>
      </c>
      <c r="BC65" s="106">
        <f t="shared" si="31"/>
        <v>0</v>
      </c>
      <c r="BD65" s="106">
        <f t="shared" si="31"/>
        <v>0</v>
      </c>
      <c r="BE65" s="106">
        <f t="shared" si="31"/>
        <v>2</v>
      </c>
      <c r="BF65" s="106">
        <f t="shared" si="31"/>
        <v>12</v>
      </c>
      <c r="BG65" s="106">
        <f t="shared" si="31"/>
        <v>0</v>
      </c>
      <c r="BH65" s="106">
        <f t="shared" si="31"/>
        <v>2</v>
      </c>
      <c r="BI65" s="106">
        <f t="shared" si="31"/>
        <v>2</v>
      </c>
      <c r="BJ65" s="106">
        <f t="shared" si="31"/>
        <v>0</v>
      </c>
      <c r="BK65" s="106">
        <f t="shared" si="31"/>
        <v>3</v>
      </c>
      <c r="BL65" s="106">
        <f t="shared" si="31"/>
        <v>6</v>
      </c>
      <c r="BM65" s="106">
        <f t="shared" si="31"/>
        <v>0</v>
      </c>
      <c r="BN65" s="106">
        <f t="shared" si="31"/>
        <v>5</v>
      </c>
      <c r="BO65" s="106">
        <f t="shared" si="31"/>
        <v>26</v>
      </c>
      <c r="BP65" s="107">
        <f t="shared" si="32"/>
        <v>78</v>
      </c>
    </row>
    <row r="66" spans="1:68" s="50" customFormat="1" ht="20.100000000000001" customHeight="1" x14ac:dyDescent="0.25">
      <c r="A66" s="66" t="s">
        <v>251</v>
      </c>
      <c r="B66" s="106"/>
      <c r="C66" s="106">
        <v>1</v>
      </c>
      <c r="D66" s="106">
        <v>3</v>
      </c>
      <c r="E66" s="106">
        <v>3</v>
      </c>
      <c r="F66" s="106">
        <v>3</v>
      </c>
      <c r="G66" s="106"/>
      <c r="H66" s="106">
        <v>1</v>
      </c>
      <c r="I66" s="106">
        <v>1</v>
      </c>
      <c r="J66" s="106">
        <v>2</v>
      </c>
      <c r="K66" s="106">
        <v>3</v>
      </c>
      <c r="L66" s="106">
        <v>2</v>
      </c>
      <c r="M66" s="106">
        <v>1</v>
      </c>
      <c r="N66" s="106">
        <v>2</v>
      </c>
      <c r="O66" s="106">
        <v>3</v>
      </c>
      <c r="P66" s="106"/>
      <c r="Q66" s="106"/>
      <c r="R66" s="106"/>
      <c r="S66" s="106"/>
      <c r="T66" s="106"/>
      <c r="U66" s="106">
        <v>2</v>
      </c>
      <c r="V66" s="106">
        <v>2</v>
      </c>
      <c r="W66" s="106">
        <v>2</v>
      </c>
      <c r="X66" s="106">
        <v>4</v>
      </c>
      <c r="Y66" s="106">
        <v>2</v>
      </c>
      <c r="Z66" s="106">
        <v>4</v>
      </c>
      <c r="AA66" s="106">
        <v>2</v>
      </c>
      <c r="AB66" s="106">
        <v>3</v>
      </c>
      <c r="AC66" s="106">
        <v>4</v>
      </c>
      <c r="AD66" s="106">
        <v>1</v>
      </c>
      <c r="AE66" s="106"/>
      <c r="AF66" s="106">
        <v>2</v>
      </c>
      <c r="AG66" s="107">
        <f t="shared" si="30"/>
        <v>53</v>
      </c>
      <c r="AH66" s="33"/>
      <c r="AI66" s="33"/>
      <c r="AJ66" s="71" t="s">
        <v>251</v>
      </c>
      <c r="AK66" s="106">
        <f t="shared" si="31"/>
        <v>0</v>
      </c>
      <c r="AL66" s="106">
        <f t="shared" si="35"/>
        <v>1</v>
      </c>
      <c r="AM66" s="106">
        <f t="shared" si="35"/>
        <v>3</v>
      </c>
      <c r="AN66" s="106">
        <f t="shared" si="35"/>
        <v>3</v>
      </c>
      <c r="AO66" s="106">
        <f t="shared" si="35"/>
        <v>3</v>
      </c>
      <c r="AP66" s="106">
        <f t="shared" si="35"/>
        <v>0</v>
      </c>
      <c r="AQ66" s="106">
        <f t="shared" si="35"/>
        <v>1</v>
      </c>
      <c r="AR66" s="106">
        <f t="shared" si="35"/>
        <v>1</v>
      </c>
      <c r="AS66" s="106">
        <f t="shared" si="35"/>
        <v>2</v>
      </c>
      <c r="AT66" s="106">
        <f t="shared" si="31"/>
        <v>3</v>
      </c>
      <c r="AU66" s="106">
        <f t="shared" si="31"/>
        <v>2</v>
      </c>
      <c r="AV66" s="106">
        <f t="shared" si="31"/>
        <v>1</v>
      </c>
      <c r="AW66" s="106">
        <f t="shared" si="31"/>
        <v>2</v>
      </c>
      <c r="AX66" s="106">
        <f t="shared" si="31"/>
        <v>3</v>
      </c>
      <c r="AY66" s="106">
        <f t="shared" si="31"/>
        <v>0</v>
      </c>
      <c r="AZ66" s="106">
        <f t="shared" si="31"/>
        <v>0</v>
      </c>
      <c r="BA66" s="106">
        <f t="shared" si="31"/>
        <v>0</v>
      </c>
      <c r="BB66" s="106">
        <f t="shared" si="31"/>
        <v>0</v>
      </c>
      <c r="BC66" s="106">
        <f t="shared" si="31"/>
        <v>0</v>
      </c>
      <c r="BD66" s="106">
        <f t="shared" si="31"/>
        <v>2</v>
      </c>
      <c r="BE66" s="106">
        <f t="shared" si="31"/>
        <v>2</v>
      </c>
      <c r="BF66" s="106">
        <f t="shared" si="31"/>
        <v>2</v>
      </c>
      <c r="BG66" s="106">
        <f t="shared" si="31"/>
        <v>4</v>
      </c>
      <c r="BH66" s="106">
        <f t="shared" si="31"/>
        <v>2</v>
      </c>
      <c r="BI66" s="106">
        <f t="shared" si="31"/>
        <v>4</v>
      </c>
      <c r="BJ66" s="106">
        <f t="shared" si="31"/>
        <v>2</v>
      </c>
      <c r="BK66" s="106">
        <f t="shared" si="31"/>
        <v>3</v>
      </c>
      <c r="BL66" s="106">
        <f t="shared" si="31"/>
        <v>4</v>
      </c>
      <c r="BM66" s="106">
        <f t="shared" si="31"/>
        <v>1</v>
      </c>
      <c r="BN66" s="106">
        <f t="shared" si="31"/>
        <v>0</v>
      </c>
      <c r="BO66" s="106">
        <f t="shared" si="31"/>
        <v>2</v>
      </c>
      <c r="BP66" s="107">
        <f t="shared" si="32"/>
        <v>53</v>
      </c>
    </row>
    <row r="67" spans="1:68" s="50" customFormat="1" ht="20.100000000000001" customHeight="1" x14ac:dyDescent="0.25">
      <c r="A67" s="66" t="s">
        <v>252</v>
      </c>
      <c r="B67" s="106">
        <v>2</v>
      </c>
      <c r="C67" s="106">
        <v>6</v>
      </c>
      <c r="D67" s="106">
        <v>2</v>
      </c>
      <c r="E67" s="106"/>
      <c r="F67" s="106">
        <v>2</v>
      </c>
      <c r="G67" s="106"/>
      <c r="H67" s="106"/>
      <c r="I67" s="106">
        <v>2</v>
      </c>
      <c r="J67" s="106">
        <v>1</v>
      </c>
      <c r="K67" s="106">
        <v>5</v>
      </c>
      <c r="L67" s="106">
        <v>7</v>
      </c>
      <c r="M67" s="106">
        <v>8</v>
      </c>
      <c r="N67" s="106">
        <v>8</v>
      </c>
      <c r="O67" s="106">
        <v>8</v>
      </c>
      <c r="P67" s="106">
        <v>11</v>
      </c>
      <c r="Q67" s="106">
        <v>7</v>
      </c>
      <c r="R67" s="106">
        <v>2</v>
      </c>
      <c r="S67" s="106">
        <v>4</v>
      </c>
      <c r="T67" s="106"/>
      <c r="U67" s="106">
        <v>1</v>
      </c>
      <c r="V67" s="106">
        <v>6</v>
      </c>
      <c r="W67" s="106">
        <v>9</v>
      </c>
      <c r="X67" s="106">
        <v>12</v>
      </c>
      <c r="Y67" s="106">
        <v>10</v>
      </c>
      <c r="Z67" s="106">
        <v>4</v>
      </c>
      <c r="AA67" s="106"/>
      <c r="AB67" s="106">
        <v>1</v>
      </c>
      <c r="AC67" s="106"/>
      <c r="AD67" s="106"/>
      <c r="AE67" s="106">
        <v>1</v>
      </c>
      <c r="AF67" s="106"/>
      <c r="AG67" s="107">
        <f t="shared" si="30"/>
        <v>119</v>
      </c>
      <c r="AH67" s="33"/>
      <c r="AI67" s="33"/>
      <c r="AJ67" s="71" t="s">
        <v>252</v>
      </c>
      <c r="AK67" s="106">
        <f t="shared" si="31"/>
        <v>2</v>
      </c>
      <c r="AL67" s="106">
        <f t="shared" si="35"/>
        <v>6</v>
      </c>
      <c r="AM67" s="106">
        <f t="shared" si="35"/>
        <v>2</v>
      </c>
      <c r="AN67" s="106">
        <f t="shared" si="35"/>
        <v>0</v>
      </c>
      <c r="AO67" s="106">
        <f t="shared" si="35"/>
        <v>2</v>
      </c>
      <c r="AP67" s="106">
        <f t="shared" si="35"/>
        <v>0</v>
      </c>
      <c r="AQ67" s="106">
        <f t="shared" si="35"/>
        <v>0</v>
      </c>
      <c r="AR67" s="106">
        <f t="shared" si="35"/>
        <v>2</v>
      </c>
      <c r="AS67" s="106">
        <f t="shared" si="35"/>
        <v>1</v>
      </c>
      <c r="AT67" s="106">
        <f t="shared" si="35"/>
        <v>5</v>
      </c>
      <c r="AU67" s="106">
        <f t="shared" si="35"/>
        <v>7</v>
      </c>
      <c r="AV67" s="106">
        <f t="shared" si="35"/>
        <v>8</v>
      </c>
      <c r="AW67" s="106">
        <f t="shared" si="35"/>
        <v>8</v>
      </c>
      <c r="AX67" s="106">
        <f t="shared" si="35"/>
        <v>8</v>
      </c>
      <c r="AY67" s="106">
        <f t="shared" si="35"/>
        <v>11</v>
      </c>
      <c r="AZ67" s="106">
        <f t="shared" si="31"/>
        <v>7</v>
      </c>
      <c r="BA67" s="106">
        <f t="shared" si="31"/>
        <v>2</v>
      </c>
      <c r="BB67" s="106">
        <f t="shared" si="31"/>
        <v>4</v>
      </c>
      <c r="BC67" s="106">
        <f t="shared" si="31"/>
        <v>0</v>
      </c>
      <c r="BD67" s="106">
        <f t="shared" si="31"/>
        <v>1</v>
      </c>
      <c r="BE67" s="106">
        <f t="shared" si="31"/>
        <v>6</v>
      </c>
      <c r="BF67" s="106">
        <f t="shared" si="31"/>
        <v>9</v>
      </c>
      <c r="BG67" s="106">
        <f t="shared" si="31"/>
        <v>12</v>
      </c>
      <c r="BH67" s="106">
        <f t="shared" si="31"/>
        <v>10</v>
      </c>
      <c r="BI67" s="106">
        <f t="shared" si="31"/>
        <v>4</v>
      </c>
      <c r="BJ67" s="106">
        <f t="shared" si="31"/>
        <v>0</v>
      </c>
      <c r="BK67" s="106">
        <f t="shared" si="31"/>
        <v>1</v>
      </c>
      <c r="BL67" s="106">
        <f t="shared" si="31"/>
        <v>0</v>
      </c>
      <c r="BM67" s="106">
        <f t="shared" si="31"/>
        <v>0</v>
      </c>
      <c r="BN67" s="106">
        <f t="shared" si="31"/>
        <v>1</v>
      </c>
      <c r="BO67" s="106">
        <f t="shared" si="31"/>
        <v>0</v>
      </c>
      <c r="BP67" s="107">
        <f t="shared" si="32"/>
        <v>119</v>
      </c>
    </row>
    <row r="68" spans="1:68" s="50" customFormat="1" ht="20.100000000000001" customHeight="1" x14ac:dyDescent="0.25">
      <c r="A68" s="66" t="s">
        <v>253</v>
      </c>
      <c r="B68" s="106">
        <v>6</v>
      </c>
      <c r="C68" s="106">
        <v>7</v>
      </c>
      <c r="D68" s="106">
        <v>4</v>
      </c>
      <c r="E68" s="106">
        <v>1</v>
      </c>
      <c r="F68" s="106"/>
      <c r="G68" s="106"/>
      <c r="H68" s="106">
        <v>4</v>
      </c>
      <c r="I68" s="106"/>
      <c r="J68" s="106">
        <v>2</v>
      </c>
      <c r="K68" s="106">
        <v>3</v>
      </c>
      <c r="L68" s="106">
        <v>2</v>
      </c>
      <c r="M68" s="106">
        <v>9</v>
      </c>
      <c r="N68" s="106">
        <v>4</v>
      </c>
      <c r="O68" s="106">
        <v>5</v>
      </c>
      <c r="P68" s="106">
        <v>9</v>
      </c>
      <c r="Q68" s="106">
        <v>4</v>
      </c>
      <c r="R68" s="106">
        <v>1</v>
      </c>
      <c r="S68" s="106">
        <v>4</v>
      </c>
      <c r="T68" s="106">
        <v>4</v>
      </c>
      <c r="U68" s="106">
        <v>7</v>
      </c>
      <c r="V68" s="106">
        <v>4</v>
      </c>
      <c r="W68" s="106">
        <v>9</v>
      </c>
      <c r="X68" s="106">
        <v>10</v>
      </c>
      <c r="Y68" s="106">
        <v>6</v>
      </c>
      <c r="Z68" s="106">
        <v>4</v>
      </c>
      <c r="AA68" s="106">
        <v>4</v>
      </c>
      <c r="AB68" s="106">
        <v>2</v>
      </c>
      <c r="AC68" s="106">
        <v>1</v>
      </c>
      <c r="AD68" s="106">
        <v>3</v>
      </c>
      <c r="AE68" s="106">
        <v>1</v>
      </c>
      <c r="AF68" s="106">
        <v>3</v>
      </c>
      <c r="AG68" s="107">
        <f t="shared" si="30"/>
        <v>123</v>
      </c>
      <c r="AH68" s="33"/>
      <c r="AI68" s="33"/>
      <c r="AJ68" s="71" t="str">
        <f>A68</f>
        <v>Golfy 25%</v>
      </c>
      <c r="AK68" s="106">
        <f t="shared" ref="AK68:AK82" si="36">B68</f>
        <v>6</v>
      </c>
      <c r="AL68" s="106">
        <f t="shared" si="35"/>
        <v>7</v>
      </c>
      <c r="AM68" s="106">
        <f t="shared" si="35"/>
        <v>4</v>
      </c>
      <c r="AN68" s="106">
        <f t="shared" si="35"/>
        <v>1</v>
      </c>
      <c r="AO68" s="106">
        <f t="shared" si="35"/>
        <v>0</v>
      </c>
      <c r="AP68" s="106">
        <f t="shared" si="35"/>
        <v>0</v>
      </c>
      <c r="AQ68" s="106">
        <f t="shared" si="35"/>
        <v>4</v>
      </c>
      <c r="AR68" s="106">
        <f t="shared" si="35"/>
        <v>0</v>
      </c>
      <c r="AS68" s="106">
        <f t="shared" si="35"/>
        <v>2</v>
      </c>
      <c r="AT68" s="106">
        <f t="shared" si="35"/>
        <v>3</v>
      </c>
      <c r="AU68" s="106">
        <f t="shared" si="35"/>
        <v>2</v>
      </c>
      <c r="AV68" s="106">
        <f t="shared" si="35"/>
        <v>9</v>
      </c>
      <c r="AW68" s="106">
        <f t="shared" si="35"/>
        <v>4</v>
      </c>
      <c r="AX68" s="106">
        <f t="shared" si="35"/>
        <v>5</v>
      </c>
      <c r="AY68" s="106">
        <f t="shared" si="35"/>
        <v>9</v>
      </c>
      <c r="AZ68" s="106">
        <f t="shared" ref="AZ68:BO83" si="37">Q68</f>
        <v>4</v>
      </c>
      <c r="BA68" s="106">
        <f t="shared" si="37"/>
        <v>1</v>
      </c>
      <c r="BB68" s="106">
        <f t="shared" si="37"/>
        <v>4</v>
      </c>
      <c r="BC68" s="106">
        <f t="shared" si="37"/>
        <v>4</v>
      </c>
      <c r="BD68" s="106">
        <f t="shared" si="37"/>
        <v>7</v>
      </c>
      <c r="BE68" s="106">
        <f t="shared" si="37"/>
        <v>4</v>
      </c>
      <c r="BF68" s="106">
        <f t="shared" si="37"/>
        <v>9</v>
      </c>
      <c r="BG68" s="106">
        <f t="shared" si="37"/>
        <v>10</v>
      </c>
      <c r="BH68" s="106">
        <f t="shared" si="37"/>
        <v>6</v>
      </c>
      <c r="BI68" s="106">
        <f t="shared" si="37"/>
        <v>4</v>
      </c>
      <c r="BJ68" s="106">
        <f t="shared" si="37"/>
        <v>4</v>
      </c>
      <c r="BK68" s="106">
        <f t="shared" si="37"/>
        <v>2</v>
      </c>
      <c r="BL68" s="106">
        <f t="shared" si="37"/>
        <v>1</v>
      </c>
      <c r="BM68" s="106">
        <f t="shared" si="37"/>
        <v>3</v>
      </c>
      <c r="BN68" s="106">
        <f t="shared" si="37"/>
        <v>1</v>
      </c>
      <c r="BO68" s="106">
        <f t="shared" si="37"/>
        <v>3</v>
      </c>
      <c r="BP68" s="107">
        <f t="shared" si="32"/>
        <v>123</v>
      </c>
    </row>
    <row r="69" spans="1:68" s="50" customFormat="1" ht="20.100000000000001" customHeight="1" x14ac:dyDescent="0.25">
      <c r="A69" s="66" t="s">
        <v>296</v>
      </c>
      <c r="B69" s="106">
        <v>21</v>
      </c>
      <c r="C69" s="106">
        <v>32</v>
      </c>
      <c r="D69" s="106">
        <v>25</v>
      </c>
      <c r="E69" s="106"/>
      <c r="F69" s="106">
        <v>1</v>
      </c>
      <c r="G69" s="106">
        <v>9</v>
      </c>
      <c r="H69" s="106">
        <v>36</v>
      </c>
      <c r="I69" s="106">
        <v>9</v>
      </c>
      <c r="J69" s="106">
        <v>20</v>
      </c>
      <c r="K69" s="106">
        <v>20</v>
      </c>
      <c r="L69" s="106">
        <f>18+14</f>
        <v>32</v>
      </c>
      <c r="M69" s="106">
        <v>18</v>
      </c>
      <c r="N69" s="106">
        <v>22</v>
      </c>
      <c r="O69" s="106">
        <v>26</v>
      </c>
      <c r="P69" s="106">
        <v>11</v>
      </c>
      <c r="Q69" s="106">
        <v>12</v>
      </c>
      <c r="R69" s="106">
        <v>47</v>
      </c>
      <c r="S69" s="106">
        <v>23</v>
      </c>
      <c r="T69" s="106">
        <v>8</v>
      </c>
      <c r="U69" s="106">
        <v>21</v>
      </c>
      <c r="V69" s="106">
        <v>30</v>
      </c>
      <c r="W69" s="106">
        <v>22</v>
      </c>
      <c r="X69" s="106">
        <v>7</v>
      </c>
      <c r="Y69" s="106">
        <v>16</v>
      </c>
      <c r="Z69" s="106">
        <v>42</v>
      </c>
      <c r="AA69" s="106">
        <v>22</v>
      </c>
      <c r="AB69" s="106">
        <v>13</v>
      </c>
      <c r="AC69" s="106">
        <v>34</v>
      </c>
      <c r="AD69" s="106">
        <v>10</v>
      </c>
      <c r="AE69" s="106">
        <v>14</v>
      </c>
      <c r="AF69" s="106">
        <v>27</v>
      </c>
      <c r="AG69" s="107">
        <f t="shared" si="30"/>
        <v>630</v>
      </c>
      <c r="AH69" s="33"/>
      <c r="AI69" s="33"/>
      <c r="AJ69" s="71" t="str">
        <f>A69</f>
        <v>nb de parcours membres</v>
      </c>
      <c r="AK69" s="106">
        <f t="shared" si="36"/>
        <v>21</v>
      </c>
      <c r="AL69" s="106">
        <f t="shared" si="35"/>
        <v>32</v>
      </c>
      <c r="AM69" s="106">
        <f t="shared" si="35"/>
        <v>25</v>
      </c>
      <c r="AN69" s="106">
        <f t="shared" si="35"/>
        <v>0</v>
      </c>
      <c r="AO69" s="106">
        <f t="shared" si="35"/>
        <v>1</v>
      </c>
      <c r="AP69" s="106">
        <f t="shared" si="35"/>
        <v>9</v>
      </c>
      <c r="AQ69" s="106">
        <f t="shared" si="35"/>
        <v>36</v>
      </c>
      <c r="AR69" s="106">
        <f t="shared" si="35"/>
        <v>9</v>
      </c>
      <c r="AS69" s="106">
        <f t="shared" si="35"/>
        <v>20</v>
      </c>
      <c r="AT69" s="106">
        <f t="shared" si="35"/>
        <v>20</v>
      </c>
      <c r="AU69" s="106">
        <f t="shared" si="35"/>
        <v>32</v>
      </c>
      <c r="AV69" s="106">
        <f t="shared" si="35"/>
        <v>18</v>
      </c>
      <c r="AW69" s="106">
        <f t="shared" si="35"/>
        <v>22</v>
      </c>
      <c r="AX69" s="106">
        <f t="shared" si="35"/>
        <v>26</v>
      </c>
      <c r="AY69" s="106">
        <f t="shared" si="35"/>
        <v>11</v>
      </c>
      <c r="AZ69" s="106">
        <f t="shared" si="37"/>
        <v>12</v>
      </c>
      <c r="BA69" s="106">
        <f t="shared" si="37"/>
        <v>47</v>
      </c>
      <c r="BB69" s="106">
        <f t="shared" si="37"/>
        <v>23</v>
      </c>
      <c r="BC69" s="106">
        <f t="shared" si="37"/>
        <v>8</v>
      </c>
      <c r="BD69" s="106">
        <f t="shared" si="37"/>
        <v>21</v>
      </c>
      <c r="BE69" s="106">
        <f t="shared" si="37"/>
        <v>30</v>
      </c>
      <c r="BF69" s="106">
        <f t="shared" si="37"/>
        <v>22</v>
      </c>
      <c r="BG69" s="106">
        <f t="shared" si="37"/>
        <v>7</v>
      </c>
      <c r="BH69" s="106">
        <f t="shared" si="37"/>
        <v>16</v>
      </c>
      <c r="BI69" s="106">
        <f t="shared" si="37"/>
        <v>42</v>
      </c>
      <c r="BJ69" s="106">
        <f t="shared" si="37"/>
        <v>22</v>
      </c>
      <c r="BK69" s="106">
        <f t="shared" si="37"/>
        <v>13</v>
      </c>
      <c r="BL69" s="106">
        <f t="shared" si="37"/>
        <v>34</v>
      </c>
      <c r="BM69" s="106">
        <f t="shared" si="37"/>
        <v>10</v>
      </c>
      <c r="BN69" s="106">
        <f t="shared" si="37"/>
        <v>14</v>
      </c>
      <c r="BO69" s="106">
        <f t="shared" si="37"/>
        <v>27</v>
      </c>
      <c r="BP69" s="107">
        <f t="shared" si="32"/>
        <v>630</v>
      </c>
    </row>
    <row r="70" spans="1:68" s="50" customFormat="1" ht="20.100000000000001" customHeight="1" x14ac:dyDescent="0.25">
      <c r="A70" s="66" t="s">
        <v>297</v>
      </c>
      <c r="B70" s="106">
        <v>3</v>
      </c>
      <c r="C70" s="106"/>
      <c r="D70" s="106"/>
      <c r="E70" s="106"/>
      <c r="F70" s="106"/>
      <c r="G70" s="106"/>
      <c r="H70" s="106"/>
      <c r="I70" s="106">
        <v>5</v>
      </c>
      <c r="J70" s="106"/>
      <c r="K70" s="106">
        <v>2</v>
      </c>
      <c r="L70" s="106">
        <v>1</v>
      </c>
      <c r="M70" s="106">
        <v>2</v>
      </c>
      <c r="N70" s="106">
        <v>1</v>
      </c>
      <c r="O70" s="106">
        <v>2</v>
      </c>
      <c r="P70" s="106">
        <v>2</v>
      </c>
      <c r="Q70" s="106">
        <v>7</v>
      </c>
      <c r="R70" s="106">
        <v>1</v>
      </c>
      <c r="S70" s="106"/>
      <c r="T70" s="106"/>
      <c r="U70" s="106">
        <v>2</v>
      </c>
      <c r="V70" s="106">
        <v>1</v>
      </c>
      <c r="W70" s="106">
        <v>9</v>
      </c>
      <c r="X70" s="106"/>
      <c r="Y70" s="106"/>
      <c r="Z70" s="106">
        <v>2</v>
      </c>
      <c r="AA70" s="106">
        <v>1</v>
      </c>
      <c r="AB70" s="106">
        <v>7</v>
      </c>
      <c r="AC70" s="106">
        <v>4</v>
      </c>
      <c r="AD70" s="106">
        <v>4</v>
      </c>
      <c r="AE70" s="106"/>
      <c r="AF70" s="106"/>
      <c r="AG70" s="107">
        <f t="shared" si="30"/>
        <v>56</v>
      </c>
      <c r="AH70" s="33"/>
      <c r="AI70" s="33"/>
      <c r="AJ70" s="71" t="s">
        <v>297</v>
      </c>
      <c r="AK70" s="106">
        <f t="shared" si="36"/>
        <v>3</v>
      </c>
      <c r="AL70" s="106">
        <f t="shared" si="35"/>
        <v>0</v>
      </c>
      <c r="AM70" s="106">
        <f t="shared" si="35"/>
        <v>0</v>
      </c>
      <c r="AN70" s="106">
        <f t="shared" si="35"/>
        <v>0</v>
      </c>
      <c r="AO70" s="106">
        <f t="shared" si="35"/>
        <v>0</v>
      </c>
      <c r="AP70" s="106">
        <f t="shared" si="35"/>
        <v>0</v>
      </c>
      <c r="AQ70" s="106">
        <f t="shared" si="35"/>
        <v>0</v>
      </c>
      <c r="AR70" s="106">
        <f t="shared" si="35"/>
        <v>5</v>
      </c>
      <c r="AS70" s="106">
        <f t="shared" si="35"/>
        <v>0</v>
      </c>
      <c r="AT70" s="106">
        <f t="shared" si="35"/>
        <v>2</v>
      </c>
      <c r="AU70" s="106">
        <f t="shared" si="35"/>
        <v>1</v>
      </c>
      <c r="AV70" s="106">
        <f t="shared" si="35"/>
        <v>2</v>
      </c>
      <c r="AW70" s="106">
        <f t="shared" si="35"/>
        <v>1</v>
      </c>
      <c r="AX70" s="106">
        <f t="shared" si="35"/>
        <v>2</v>
      </c>
      <c r="AY70" s="106">
        <f t="shared" si="35"/>
        <v>2</v>
      </c>
      <c r="AZ70" s="106">
        <f t="shared" si="37"/>
        <v>7</v>
      </c>
      <c r="BA70" s="106">
        <f t="shared" si="37"/>
        <v>1</v>
      </c>
      <c r="BB70" s="106">
        <f t="shared" si="37"/>
        <v>0</v>
      </c>
      <c r="BC70" s="106">
        <f t="shared" si="37"/>
        <v>0</v>
      </c>
      <c r="BD70" s="106">
        <f t="shared" si="37"/>
        <v>2</v>
      </c>
      <c r="BE70" s="106">
        <f t="shared" si="37"/>
        <v>1</v>
      </c>
      <c r="BF70" s="106">
        <f t="shared" si="37"/>
        <v>9</v>
      </c>
      <c r="BG70" s="106">
        <f t="shared" si="37"/>
        <v>0</v>
      </c>
      <c r="BH70" s="106">
        <f t="shared" si="37"/>
        <v>0</v>
      </c>
      <c r="BI70" s="106">
        <f t="shared" si="37"/>
        <v>2</v>
      </c>
      <c r="BJ70" s="106">
        <f t="shared" si="37"/>
        <v>1</v>
      </c>
      <c r="BK70" s="106">
        <f t="shared" si="37"/>
        <v>7</v>
      </c>
      <c r="BL70" s="106">
        <f t="shared" si="37"/>
        <v>4</v>
      </c>
      <c r="BM70" s="106">
        <f t="shared" si="37"/>
        <v>4</v>
      </c>
      <c r="BN70" s="106">
        <f t="shared" si="37"/>
        <v>0</v>
      </c>
      <c r="BO70" s="106">
        <f t="shared" si="37"/>
        <v>0</v>
      </c>
      <c r="BP70" s="107">
        <f t="shared" si="32"/>
        <v>56</v>
      </c>
    </row>
    <row r="71" spans="1:68" s="50" customFormat="1" ht="20.100000000000001" customHeight="1" x14ac:dyDescent="0.25">
      <c r="A71" s="66" t="s">
        <v>254</v>
      </c>
      <c r="B71" s="106">
        <v>13</v>
      </c>
      <c r="C71" s="106"/>
      <c r="D71" s="106"/>
      <c r="E71" s="106"/>
      <c r="F71" s="106"/>
      <c r="G71" s="106"/>
      <c r="H71" s="106">
        <v>15</v>
      </c>
      <c r="I71" s="106"/>
      <c r="J71" s="106"/>
      <c r="K71" s="106"/>
      <c r="L71" s="106"/>
      <c r="M71" s="106"/>
      <c r="N71" s="106"/>
      <c r="O71" s="106"/>
      <c r="P71" s="106">
        <v>24</v>
      </c>
      <c r="Q71" s="106">
        <v>23</v>
      </c>
      <c r="R71" s="106"/>
      <c r="S71" s="106"/>
      <c r="T71" s="106"/>
      <c r="U71" s="106"/>
      <c r="V71" s="106"/>
      <c r="W71" s="106"/>
      <c r="X71" s="106"/>
      <c r="Y71" s="106"/>
      <c r="Z71" s="106">
        <v>24</v>
      </c>
      <c r="AA71" s="106"/>
      <c r="AB71" s="106"/>
      <c r="AC71" s="106">
        <v>12</v>
      </c>
      <c r="AD71" s="108"/>
      <c r="AE71" s="108"/>
      <c r="AF71" s="108"/>
      <c r="AG71" s="107">
        <f t="shared" si="30"/>
        <v>111</v>
      </c>
      <c r="AH71" s="33"/>
      <c r="AI71" s="33"/>
      <c r="AJ71" s="71" t="s">
        <v>253</v>
      </c>
      <c r="AK71" s="106">
        <f t="shared" si="36"/>
        <v>13</v>
      </c>
      <c r="AL71" s="106">
        <f t="shared" si="35"/>
        <v>0</v>
      </c>
      <c r="AM71" s="106">
        <f t="shared" si="35"/>
        <v>0</v>
      </c>
      <c r="AN71" s="106">
        <f t="shared" si="35"/>
        <v>0</v>
      </c>
      <c r="AO71" s="106">
        <f t="shared" si="35"/>
        <v>0</v>
      </c>
      <c r="AP71" s="106">
        <f t="shared" si="35"/>
        <v>0</v>
      </c>
      <c r="AQ71" s="106">
        <f t="shared" si="35"/>
        <v>15</v>
      </c>
      <c r="AR71" s="106">
        <f t="shared" si="35"/>
        <v>0</v>
      </c>
      <c r="AS71" s="106">
        <f t="shared" si="35"/>
        <v>0</v>
      </c>
      <c r="AT71" s="106">
        <f t="shared" si="35"/>
        <v>0</v>
      </c>
      <c r="AU71" s="106">
        <f t="shared" si="35"/>
        <v>0</v>
      </c>
      <c r="AV71" s="106">
        <f t="shared" si="35"/>
        <v>0</v>
      </c>
      <c r="AW71" s="106">
        <f t="shared" si="35"/>
        <v>0</v>
      </c>
      <c r="AX71" s="106">
        <f t="shared" si="35"/>
        <v>0</v>
      </c>
      <c r="AY71" s="106">
        <f t="shared" si="35"/>
        <v>24</v>
      </c>
      <c r="AZ71" s="106">
        <f t="shared" si="37"/>
        <v>23</v>
      </c>
      <c r="BA71" s="106">
        <f t="shared" si="37"/>
        <v>0</v>
      </c>
      <c r="BB71" s="106">
        <f t="shared" si="37"/>
        <v>0</v>
      </c>
      <c r="BC71" s="106">
        <f t="shared" si="37"/>
        <v>0</v>
      </c>
      <c r="BD71" s="106">
        <f t="shared" si="37"/>
        <v>0</v>
      </c>
      <c r="BE71" s="106">
        <f t="shared" si="37"/>
        <v>0</v>
      </c>
      <c r="BF71" s="106">
        <f t="shared" si="37"/>
        <v>0</v>
      </c>
      <c r="BG71" s="106">
        <f t="shared" si="37"/>
        <v>0</v>
      </c>
      <c r="BH71" s="106">
        <f t="shared" si="37"/>
        <v>0</v>
      </c>
      <c r="BI71" s="106">
        <f t="shared" si="37"/>
        <v>24</v>
      </c>
      <c r="BJ71" s="106">
        <f t="shared" si="37"/>
        <v>0</v>
      </c>
      <c r="BK71" s="106">
        <f t="shared" si="37"/>
        <v>0</v>
      </c>
      <c r="BL71" s="106">
        <f t="shared" si="37"/>
        <v>12</v>
      </c>
      <c r="BM71" s="106">
        <f t="shared" si="37"/>
        <v>0</v>
      </c>
      <c r="BN71" s="106">
        <f t="shared" si="37"/>
        <v>0</v>
      </c>
      <c r="BO71" s="106">
        <f t="shared" si="37"/>
        <v>0</v>
      </c>
      <c r="BP71" s="107">
        <f t="shared" si="32"/>
        <v>111</v>
      </c>
    </row>
    <row r="72" spans="1:68" s="49" customFormat="1" ht="20.100000000000001" customHeight="1" x14ac:dyDescent="0.25">
      <c r="A72" s="110" t="s">
        <v>298</v>
      </c>
      <c r="B72" s="111">
        <f>B73+B74+B75+B76</f>
        <v>38</v>
      </c>
      <c r="C72" s="111">
        <f t="shared" ref="C72:AF72" si="38">C73+C74+C75+C76</f>
        <v>27</v>
      </c>
      <c r="D72" s="111">
        <f t="shared" si="38"/>
        <v>49</v>
      </c>
      <c r="E72" s="111">
        <f t="shared" si="38"/>
        <v>18</v>
      </c>
      <c r="F72" s="111">
        <f t="shared" si="38"/>
        <v>19</v>
      </c>
      <c r="G72" s="111">
        <f t="shared" si="38"/>
        <v>82</v>
      </c>
      <c r="H72" s="111">
        <f t="shared" si="38"/>
        <v>52</v>
      </c>
      <c r="I72" s="111">
        <f t="shared" si="38"/>
        <v>30</v>
      </c>
      <c r="J72" s="111">
        <f t="shared" si="38"/>
        <v>40</v>
      </c>
      <c r="K72" s="111">
        <f t="shared" si="38"/>
        <v>17</v>
      </c>
      <c r="L72" s="111">
        <f t="shared" si="38"/>
        <v>23</v>
      </c>
      <c r="M72" s="111">
        <f t="shared" si="38"/>
        <v>28</v>
      </c>
      <c r="N72" s="111">
        <f t="shared" si="38"/>
        <v>43</v>
      </c>
      <c r="O72" s="111">
        <f t="shared" si="38"/>
        <v>68</v>
      </c>
      <c r="P72" s="111">
        <f t="shared" si="38"/>
        <v>50</v>
      </c>
      <c r="Q72" s="111">
        <f t="shared" si="38"/>
        <v>44</v>
      </c>
      <c r="R72" s="111">
        <f t="shared" si="38"/>
        <v>24</v>
      </c>
      <c r="S72" s="111">
        <f t="shared" si="38"/>
        <v>27</v>
      </c>
      <c r="T72" s="111">
        <f t="shared" si="38"/>
        <v>18</v>
      </c>
      <c r="U72" s="111">
        <f t="shared" si="38"/>
        <v>35</v>
      </c>
      <c r="V72" s="111">
        <f t="shared" si="38"/>
        <v>46</v>
      </c>
      <c r="W72" s="111">
        <f t="shared" si="38"/>
        <v>46</v>
      </c>
      <c r="X72" s="111">
        <f t="shared" si="38"/>
        <v>46</v>
      </c>
      <c r="Y72" s="111">
        <f t="shared" si="38"/>
        <v>28</v>
      </c>
      <c r="Z72" s="111">
        <f t="shared" si="38"/>
        <v>36</v>
      </c>
      <c r="AA72" s="111">
        <f t="shared" si="38"/>
        <v>26</v>
      </c>
      <c r="AB72" s="111">
        <f t="shared" si="38"/>
        <v>37</v>
      </c>
      <c r="AC72" s="111">
        <f t="shared" si="38"/>
        <v>32</v>
      </c>
      <c r="AD72" s="111">
        <f t="shared" si="38"/>
        <v>32</v>
      </c>
      <c r="AE72" s="111">
        <f t="shared" si="38"/>
        <v>19</v>
      </c>
      <c r="AF72" s="111">
        <f t="shared" si="38"/>
        <v>39</v>
      </c>
      <c r="AG72" s="112">
        <f t="shared" ref="AG72:AG78" si="39">SUM(B72:AF72)</f>
        <v>1119</v>
      </c>
      <c r="AH72" s="48"/>
      <c r="AI72" s="48"/>
      <c r="AJ72" s="113" t="s">
        <v>298</v>
      </c>
      <c r="AK72" s="114">
        <f>AK73+AK75+AK76+AK74</f>
        <v>38</v>
      </c>
      <c r="AL72" s="114">
        <f t="shared" ref="AL72:BO72" si="40">AL73+AL75+AL76+AL74</f>
        <v>27</v>
      </c>
      <c r="AM72" s="114">
        <f t="shared" si="40"/>
        <v>49</v>
      </c>
      <c r="AN72" s="114">
        <f t="shared" si="40"/>
        <v>18</v>
      </c>
      <c r="AO72" s="114">
        <f t="shared" si="40"/>
        <v>19</v>
      </c>
      <c r="AP72" s="114">
        <f t="shared" si="40"/>
        <v>82</v>
      </c>
      <c r="AQ72" s="114">
        <f t="shared" si="40"/>
        <v>52</v>
      </c>
      <c r="AR72" s="114">
        <f t="shared" si="40"/>
        <v>30</v>
      </c>
      <c r="AS72" s="114">
        <f t="shared" si="40"/>
        <v>40</v>
      </c>
      <c r="AT72" s="114">
        <f t="shared" si="40"/>
        <v>17</v>
      </c>
      <c r="AU72" s="114">
        <f t="shared" si="40"/>
        <v>23</v>
      </c>
      <c r="AV72" s="114">
        <f t="shared" si="40"/>
        <v>28</v>
      </c>
      <c r="AW72" s="114">
        <f t="shared" si="40"/>
        <v>43</v>
      </c>
      <c r="AX72" s="114">
        <f t="shared" si="40"/>
        <v>68</v>
      </c>
      <c r="AY72" s="114">
        <f t="shared" si="40"/>
        <v>50</v>
      </c>
      <c r="AZ72" s="114">
        <f t="shared" si="40"/>
        <v>44</v>
      </c>
      <c r="BA72" s="114">
        <f t="shared" si="40"/>
        <v>24</v>
      </c>
      <c r="BB72" s="114">
        <f t="shared" si="40"/>
        <v>27</v>
      </c>
      <c r="BC72" s="114">
        <f t="shared" si="40"/>
        <v>18</v>
      </c>
      <c r="BD72" s="114">
        <f t="shared" si="40"/>
        <v>35</v>
      </c>
      <c r="BE72" s="114">
        <f t="shared" si="40"/>
        <v>46</v>
      </c>
      <c r="BF72" s="114">
        <f t="shared" si="40"/>
        <v>46</v>
      </c>
      <c r="BG72" s="114">
        <f t="shared" si="40"/>
        <v>46</v>
      </c>
      <c r="BH72" s="114">
        <f t="shared" si="40"/>
        <v>28</v>
      </c>
      <c r="BI72" s="114">
        <f t="shared" si="40"/>
        <v>36</v>
      </c>
      <c r="BJ72" s="114">
        <f t="shared" si="40"/>
        <v>26</v>
      </c>
      <c r="BK72" s="114">
        <f t="shared" si="40"/>
        <v>37</v>
      </c>
      <c r="BL72" s="114">
        <f t="shared" si="40"/>
        <v>32</v>
      </c>
      <c r="BM72" s="114">
        <f t="shared" si="40"/>
        <v>32</v>
      </c>
      <c r="BN72" s="114">
        <f t="shared" si="40"/>
        <v>19</v>
      </c>
      <c r="BO72" s="114">
        <f t="shared" si="40"/>
        <v>39</v>
      </c>
      <c r="BP72" s="115">
        <f t="shared" ref="BP72:BP89" si="41">SUM(AK72:BO72)</f>
        <v>1119</v>
      </c>
    </row>
    <row r="73" spans="1:68" ht="20.100000000000001" customHeight="1" x14ac:dyDescent="0.25">
      <c r="A73" s="66" t="s">
        <v>299</v>
      </c>
      <c r="B73" s="106">
        <v>27</v>
      </c>
      <c r="C73" s="106">
        <v>21</v>
      </c>
      <c r="D73" s="106">
        <v>28</v>
      </c>
      <c r="E73" s="106">
        <v>2</v>
      </c>
      <c r="F73" s="106">
        <v>12</v>
      </c>
      <c r="G73" s="106">
        <v>82</v>
      </c>
      <c r="H73" s="106">
        <v>29</v>
      </c>
      <c r="I73" s="106">
        <v>15</v>
      </c>
      <c r="J73" s="106">
        <v>24</v>
      </c>
      <c r="K73" s="106">
        <v>12</v>
      </c>
      <c r="L73" s="106">
        <v>18</v>
      </c>
      <c r="M73" s="106">
        <v>19</v>
      </c>
      <c r="N73" s="106">
        <v>24</v>
      </c>
      <c r="O73" s="106">
        <v>49</v>
      </c>
      <c r="P73" s="106">
        <v>40</v>
      </c>
      <c r="Q73" s="106">
        <v>31</v>
      </c>
      <c r="R73" s="106">
        <v>20</v>
      </c>
      <c r="S73" s="106">
        <v>22</v>
      </c>
      <c r="T73" s="106">
        <v>15</v>
      </c>
      <c r="U73" s="106">
        <v>31</v>
      </c>
      <c r="V73" s="106">
        <v>41</v>
      </c>
      <c r="W73" s="106">
        <v>36</v>
      </c>
      <c r="X73" s="106">
        <v>31</v>
      </c>
      <c r="Y73" s="106">
        <v>23</v>
      </c>
      <c r="Z73" s="106">
        <v>28</v>
      </c>
      <c r="AA73" s="106">
        <v>21</v>
      </c>
      <c r="AB73" s="106">
        <v>33</v>
      </c>
      <c r="AC73" s="106">
        <v>30</v>
      </c>
      <c r="AD73" s="116">
        <v>24</v>
      </c>
      <c r="AE73" s="116">
        <v>13</v>
      </c>
      <c r="AF73" s="116">
        <v>20</v>
      </c>
      <c r="AG73" s="117">
        <f t="shared" si="39"/>
        <v>821</v>
      </c>
      <c r="AJ73" s="71" t="str">
        <f t="shared" ref="AJ73:AY76" si="42">A73</f>
        <v>Voiturettes</v>
      </c>
      <c r="AK73" s="106">
        <f t="shared" si="42"/>
        <v>27</v>
      </c>
      <c r="AL73" s="106">
        <f t="shared" si="42"/>
        <v>21</v>
      </c>
      <c r="AM73" s="106">
        <f t="shared" si="42"/>
        <v>28</v>
      </c>
      <c r="AN73" s="106">
        <f t="shared" si="42"/>
        <v>2</v>
      </c>
      <c r="AO73" s="106">
        <f t="shared" si="42"/>
        <v>12</v>
      </c>
      <c r="AP73" s="106">
        <f t="shared" si="42"/>
        <v>82</v>
      </c>
      <c r="AQ73" s="106">
        <f t="shared" si="42"/>
        <v>29</v>
      </c>
      <c r="AR73" s="106">
        <f t="shared" si="42"/>
        <v>15</v>
      </c>
      <c r="AS73" s="106">
        <f t="shared" si="42"/>
        <v>24</v>
      </c>
      <c r="AT73" s="106">
        <f t="shared" si="42"/>
        <v>12</v>
      </c>
      <c r="AU73" s="106">
        <f t="shared" si="42"/>
        <v>18</v>
      </c>
      <c r="AV73" s="106">
        <f t="shared" si="42"/>
        <v>19</v>
      </c>
      <c r="AW73" s="106">
        <f t="shared" si="42"/>
        <v>24</v>
      </c>
      <c r="AX73" s="106">
        <f t="shared" si="42"/>
        <v>49</v>
      </c>
      <c r="AY73" s="106">
        <f t="shared" si="42"/>
        <v>40</v>
      </c>
      <c r="AZ73" s="106">
        <f t="shared" ref="AZ73:BO76" si="43">Q73</f>
        <v>31</v>
      </c>
      <c r="BA73" s="106">
        <f t="shared" si="43"/>
        <v>20</v>
      </c>
      <c r="BB73" s="106">
        <f t="shared" si="43"/>
        <v>22</v>
      </c>
      <c r="BC73" s="106">
        <f t="shared" si="43"/>
        <v>15</v>
      </c>
      <c r="BD73" s="106">
        <f t="shared" si="43"/>
        <v>31</v>
      </c>
      <c r="BE73" s="106">
        <f t="shared" si="43"/>
        <v>41</v>
      </c>
      <c r="BF73" s="106">
        <f t="shared" si="43"/>
        <v>36</v>
      </c>
      <c r="BG73" s="106">
        <f t="shared" si="43"/>
        <v>31</v>
      </c>
      <c r="BH73" s="106">
        <f t="shared" si="43"/>
        <v>23</v>
      </c>
      <c r="BI73" s="106">
        <f t="shared" si="43"/>
        <v>28</v>
      </c>
      <c r="BJ73" s="106">
        <f t="shared" si="43"/>
        <v>21</v>
      </c>
      <c r="BK73" s="106">
        <f t="shared" si="43"/>
        <v>33</v>
      </c>
      <c r="BL73" s="106">
        <f t="shared" si="43"/>
        <v>30</v>
      </c>
      <c r="BM73" s="106">
        <f t="shared" si="43"/>
        <v>24</v>
      </c>
      <c r="BN73" s="106">
        <f t="shared" si="43"/>
        <v>13</v>
      </c>
      <c r="BO73" s="106">
        <f t="shared" si="43"/>
        <v>20</v>
      </c>
      <c r="BP73" s="107">
        <f t="shared" si="41"/>
        <v>821</v>
      </c>
    </row>
    <row r="74" spans="1:68" ht="20.100000000000001" customHeight="1" x14ac:dyDescent="0.25">
      <c r="A74" s="66" t="s">
        <v>300</v>
      </c>
      <c r="B74" s="106">
        <v>9</v>
      </c>
      <c r="C74" s="106">
        <v>4</v>
      </c>
      <c r="D74" s="106">
        <v>20</v>
      </c>
      <c r="E74" s="106">
        <v>16</v>
      </c>
      <c r="F74" s="106">
        <v>7</v>
      </c>
      <c r="G74" s="106"/>
      <c r="H74" s="106">
        <v>21</v>
      </c>
      <c r="I74" s="106">
        <v>13</v>
      </c>
      <c r="J74" s="106">
        <v>15</v>
      </c>
      <c r="K74" s="106">
        <v>4</v>
      </c>
      <c r="L74" s="106">
        <v>5</v>
      </c>
      <c r="M74" s="106">
        <v>8</v>
      </c>
      <c r="N74" s="106">
        <v>19</v>
      </c>
      <c r="O74" s="106">
        <v>16</v>
      </c>
      <c r="P74" s="106">
        <v>10</v>
      </c>
      <c r="Q74" s="106">
        <v>12</v>
      </c>
      <c r="R74" s="106">
        <v>4</v>
      </c>
      <c r="S74" s="106">
        <v>4</v>
      </c>
      <c r="T74" s="106">
        <v>3</v>
      </c>
      <c r="U74" s="106">
        <v>4</v>
      </c>
      <c r="V74" s="106">
        <v>4</v>
      </c>
      <c r="W74" s="106">
        <v>8</v>
      </c>
      <c r="X74" s="106">
        <v>11</v>
      </c>
      <c r="Y74" s="106">
        <v>5</v>
      </c>
      <c r="Z74" s="106">
        <v>8</v>
      </c>
      <c r="AA74" s="106">
        <v>3</v>
      </c>
      <c r="AB74" s="106">
        <v>2</v>
      </c>
      <c r="AC74" s="106">
        <v>1</v>
      </c>
      <c r="AD74" s="116">
        <v>5</v>
      </c>
      <c r="AE74" s="116">
        <v>6</v>
      </c>
      <c r="AF74" s="116">
        <v>15</v>
      </c>
      <c r="AG74" s="117">
        <f t="shared" si="39"/>
        <v>262</v>
      </c>
      <c r="AJ74" s="71" t="str">
        <f>A74</f>
        <v>nb chariot manuel</v>
      </c>
      <c r="AK74" s="106">
        <f t="shared" si="42"/>
        <v>9</v>
      </c>
      <c r="AL74" s="106">
        <f t="shared" si="42"/>
        <v>4</v>
      </c>
      <c r="AM74" s="106">
        <f t="shared" si="42"/>
        <v>20</v>
      </c>
      <c r="AN74" s="106">
        <f t="shared" si="42"/>
        <v>16</v>
      </c>
      <c r="AO74" s="106">
        <f t="shared" si="42"/>
        <v>7</v>
      </c>
      <c r="AP74" s="106">
        <f t="shared" si="42"/>
        <v>0</v>
      </c>
      <c r="AQ74" s="106">
        <f t="shared" si="42"/>
        <v>21</v>
      </c>
      <c r="AR74" s="106">
        <f t="shared" si="42"/>
        <v>13</v>
      </c>
      <c r="AS74" s="106">
        <f t="shared" si="42"/>
        <v>15</v>
      </c>
      <c r="AT74" s="106">
        <f t="shared" si="42"/>
        <v>4</v>
      </c>
      <c r="AU74" s="106">
        <f t="shared" si="42"/>
        <v>5</v>
      </c>
      <c r="AV74" s="106">
        <f t="shared" si="42"/>
        <v>8</v>
      </c>
      <c r="AW74" s="106">
        <f t="shared" si="42"/>
        <v>19</v>
      </c>
      <c r="AX74" s="106">
        <f t="shared" si="42"/>
        <v>16</v>
      </c>
      <c r="AY74" s="106">
        <f t="shared" si="42"/>
        <v>10</v>
      </c>
      <c r="AZ74" s="106">
        <f t="shared" si="43"/>
        <v>12</v>
      </c>
      <c r="BA74" s="106">
        <f t="shared" si="43"/>
        <v>4</v>
      </c>
      <c r="BB74" s="106">
        <f t="shared" si="43"/>
        <v>4</v>
      </c>
      <c r="BC74" s="106">
        <f t="shared" si="43"/>
        <v>3</v>
      </c>
      <c r="BD74" s="106">
        <f t="shared" si="43"/>
        <v>4</v>
      </c>
      <c r="BE74" s="106">
        <f t="shared" si="43"/>
        <v>4</v>
      </c>
      <c r="BF74" s="106">
        <f t="shared" si="43"/>
        <v>8</v>
      </c>
      <c r="BG74" s="106">
        <f t="shared" si="43"/>
        <v>11</v>
      </c>
      <c r="BH74" s="106">
        <f t="shared" si="43"/>
        <v>5</v>
      </c>
      <c r="BI74" s="106">
        <f t="shared" si="43"/>
        <v>8</v>
      </c>
      <c r="BJ74" s="106">
        <f t="shared" si="43"/>
        <v>3</v>
      </c>
      <c r="BK74" s="106">
        <f t="shared" si="43"/>
        <v>2</v>
      </c>
      <c r="BL74" s="106">
        <f t="shared" si="43"/>
        <v>1</v>
      </c>
      <c r="BM74" s="106">
        <f t="shared" si="43"/>
        <v>5</v>
      </c>
      <c r="BN74" s="106">
        <f t="shared" si="43"/>
        <v>6</v>
      </c>
      <c r="BO74" s="106">
        <f t="shared" si="43"/>
        <v>15</v>
      </c>
      <c r="BP74" s="107">
        <f t="shared" si="41"/>
        <v>262</v>
      </c>
    </row>
    <row r="75" spans="1:68" ht="20.100000000000001" customHeight="1" x14ac:dyDescent="0.25">
      <c r="A75" s="66" t="s">
        <v>301</v>
      </c>
      <c r="B75" s="106">
        <v>2</v>
      </c>
      <c r="C75" s="106">
        <v>2</v>
      </c>
      <c r="D75" s="106">
        <v>1</v>
      </c>
      <c r="E75" s="106"/>
      <c r="F75" s="106"/>
      <c r="G75" s="106"/>
      <c r="H75" s="106">
        <v>2</v>
      </c>
      <c r="I75" s="106">
        <v>2</v>
      </c>
      <c r="J75" s="106">
        <v>1</v>
      </c>
      <c r="K75" s="106">
        <v>1</v>
      </c>
      <c r="L75" s="106"/>
      <c r="M75" s="106">
        <v>1</v>
      </c>
      <c r="N75" s="106"/>
      <c r="O75" s="106">
        <v>3</v>
      </c>
      <c r="P75" s="106"/>
      <c r="Q75" s="106">
        <v>1</v>
      </c>
      <c r="R75" s="106"/>
      <c r="S75" s="106">
        <v>1</v>
      </c>
      <c r="T75" s="106"/>
      <c r="U75" s="106"/>
      <c r="V75" s="106">
        <v>1</v>
      </c>
      <c r="W75" s="106">
        <v>2</v>
      </c>
      <c r="X75" s="106">
        <v>4</v>
      </c>
      <c r="Y75" s="106"/>
      <c r="Z75" s="106"/>
      <c r="AA75" s="106">
        <v>2</v>
      </c>
      <c r="AB75" s="106">
        <v>2</v>
      </c>
      <c r="AC75" s="106">
        <v>1</v>
      </c>
      <c r="AD75" s="116">
        <v>3</v>
      </c>
      <c r="AE75" s="116"/>
      <c r="AF75" s="116">
        <v>4</v>
      </c>
      <c r="AG75" s="117">
        <f t="shared" si="39"/>
        <v>36</v>
      </c>
      <c r="AJ75" s="71" t="str">
        <f>A75</f>
        <v>nb de location de clubs</v>
      </c>
      <c r="AK75" s="106">
        <f t="shared" si="42"/>
        <v>2</v>
      </c>
      <c r="AL75" s="106">
        <f t="shared" si="42"/>
        <v>2</v>
      </c>
      <c r="AM75" s="106">
        <f t="shared" si="42"/>
        <v>1</v>
      </c>
      <c r="AN75" s="106">
        <f t="shared" si="42"/>
        <v>0</v>
      </c>
      <c r="AO75" s="106">
        <f t="shared" si="42"/>
        <v>0</v>
      </c>
      <c r="AP75" s="106">
        <f t="shared" si="42"/>
        <v>0</v>
      </c>
      <c r="AQ75" s="106">
        <f t="shared" si="42"/>
        <v>2</v>
      </c>
      <c r="AR75" s="106">
        <f t="shared" si="42"/>
        <v>2</v>
      </c>
      <c r="AS75" s="106">
        <f t="shared" si="42"/>
        <v>1</v>
      </c>
      <c r="AT75" s="106">
        <f t="shared" si="42"/>
        <v>1</v>
      </c>
      <c r="AU75" s="106">
        <f t="shared" si="42"/>
        <v>0</v>
      </c>
      <c r="AV75" s="106">
        <f t="shared" si="42"/>
        <v>1</v>
      </c>
      <c r="AW75" s="106">
        <f t="shared" si="42"/>
        <v>0</v>
      </c>
      <c r="AX75" s="106">
        <f t="shared" si="42"/>
        <v>3</v>
      </c>
      <c r="AY75" s="106">
        <f t="shared" si="42"/>
        <v>0</v>
      </c>
      <c r="AZ75" s="106">
        <f t="shared" si="43"/>
        <v>1</v>
      </c>
      <c r="BA75" s="106">
        <f t="shared" si="43"/>
        <v>0</v>
      </c>
      <c r="BB75" s="106">
        <f t="shared" si="43"/>
        <v>1</v>
      </c>
      <c r="BC75" s="106">
        <f t="shared" si="43"/>
        <v>0</v>
      </c>
      <c r="BD75" s="106">
        <f t="shared" si="43"/>
        <v>0</v>
      </c>
      <c r="BE75" s="106">
        <f t="shared" si="43"/>
        <v>1</v>
      </c>
      <c r="BF75" s="106">
        <f t="shared" si="43"/>
        <v>2</v>
      </c>
      <c r="BG75" s="106">
        <f t="shared" si="43"/>
        <v>4</v>
      </c>
      <c r="BH75" s="106">
        <f t="shared" si="43"/>
        <v>0</v>
      </c>
      <c r="BI75" s="106">
        <f t="shared" si="43"/>
        <v>0</v>
      </c>
      <c r="BJ75" s="106">
        <f t="shared" si="43"/>
        <v>2</v>
      </c>
      <c r="BK75" s="106">
        <f t="shared" si="43"/>
        <v>2</v>
      </c>
      <c r="BL75" s="106">
        <f t="shared" si="43"/>
        <v>1</v>
      </c>
      <c r="BM75" s="106">
        <f t="shared" si="43"/>
        <v>3</v>
      </c>
      <c r="BN75" s="106">
        <f t="shared" si="43"/>
        <v>0</v>
      </c>
      <c r="BO75" s="106">
        <f t="shared" si="43"/>
        <v>4</v>
      </c>
      <c r="BP75" s="107">
        <f t="shared" si="41"/>
        <v>36</v>
      </c>
    </row>
    <row r="76" spans="1:68" ht="20.100000000000001" customHeight="1" x14ac:dyDescent="0.25">
      <c r="A76" s="66" t="s">
        <v>302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16"/>
      <c r="AE76" s="116"/>
      <c r="AF76" s="116"/>
      <c r="AG76" s="117">
        <f t="shared" si="39"/>
        <v>0</v>
      </c>
      <c r="AJ76" s="71" t="str">
        <f t="shared" si="42"/>
        <v>nb de chariot electrique</v>
      </c>
      <c r="AK76" s="106">
        <f t="shared" si="42"/>
        <v>0</v>
      </c>
      <c r="AL76" s="106">
        <f t="shared" si="42"/>
        <v>0</v>
      </c>
      <c r="AM76" s="106">
        <f t="shared" si="42"/>
        <v>0</v>
      </c>
      <c r="AN76" s="106">
        <f t="shared" si="42"/>
        <v>0</v>
      </c>
      <c r="AO76" s="106">
        <f t="shared" si="42"/>
        <v>0</v>
      </c>
      <c r="AP76" s="106">
        <f t="shared" si="42"/>
        <v>0</v>
      </c>
      <c r="AQ76" s="106">
        <f t="shared" si="42"/>
        <v>0</v>
      </c>
      <c r="AR76" s="106">
        <f t="shared" si="42"/>
        <v>0</v>
      </c>
      <c r="AS76" s="106">
        <f t="shared" si="42"/>
        <v>0</v>
      </c>
      <c r="AT76" s="106">
        <f t="shared" si="42"/>
        <v>0</v>
      </c>
      <c r="AU76" s="106">
        <f t="shared" si="42"/>
        <v>0</v>
      </c>
      <c r="AV76" s="106">
        <f t="shared" si="42"/>
        <v>0</v>
      </c>
      <c r="AW76" s="106">
        <f t="shared" si="42"/>
        <v>0</v>
      </c>
      <c r="AX76" s="106">
        <f t="shared" si="42"/>
        <v>0</v>
      </c>
      <c r="AY76" s="106">
        <f t="shared" si="42"/>
        <v>0</v>
      </c>
      <c r="AZ76" s="106">
        <f t="shared" si="43"/>
        <v>0</v>
      </c>
      <c r="BA76" s="106">
        <f t="shared" si="43"/>
        <v>0</v>
      </c>
      <c r="BB76" s="106">
        <f t="shared" si="43"/>
        <v>0</v>
      </c>
      <c r="BC76" s="106">
        <f t="shared" si="43"/>
        <v>0</v>
      </c>
      <c r="BD76" s="106">
        <f t="shared" si="43"/>
        <v>0</v>
      </c>
      <c r="BE76" s="106">
        <f t="shared" si="43"/>
        <v>0</v>
      </c>
      <c r="BF76" s="106">
        <f t="shared" si="43"/>
        <v>0</v>
      </c>
      <c r="BG76" s="106">
        <f t="shared" si="43"/>
        <v>0</v>
      </c>
      <c r="BH76" s="106">
        <f t="shared" si="43"/>
        <v>0</v>
      </c>
      <c r="BI76" s="106">
        <f t="shared" si="43"/>
        <v>0</v>
      </c>
      <c r="BJ76" s="106">
        <f t="shared" si="43"/>
        <v>0</v>
      </c>
      <c r="BK76" s="106">
        <f t="shared" si="43"/>
        <v>0</v>
      </c>
      <c r="BL76" s="106">
        <f t="shared" si="43"/>
        <v>0</v>
      </c>
      <c r="BM76" s="106">
        <f t="shared" si="43"/>
        <v>0</v>
      </c>
      <c r="BN76" s="106">
        <f t="shared" si="43"/>
        <v>0</v>
      </c>
      <c r="BO76" s="106">
        <f t="shared" si="43"/>
        <v>0</v>
      </c>
      <c r="BP76" s="107">
        <f t="shared" si="41"/>
        <v>0</v>
      </c>
    </row>
    <row r="77" spans="1:68" s="48" customFormat="1" ht="20.100000000000001" customHeight="1" x14ac:dyDescent="0.25">
      <c r="A77" s="110" t="s">
        <v>303</v>
      </c>
      <c r="B77" s="111">
        <f>B78+B79+B87+B88+B90+B80+B81+B82+B83+B84+B85+B86+B89</f>
        <v>119</v>
      </c>
      <c r="C77" s="111">
        <f t="shared" ref="C77:AF77" si="44">C78+C79+C87+C88+C90+C80+C81+C82+C83+C84+C85+C86+C89</f>
        <v>137</v>
      </c>
      <c r="D77" s="111">
        <f t="shared" si="44"/>
        <v>55</v>
      </c>
      <c r="E77" s="111">
        <f t="shared" si="44"/>
        <v>36</v>
      </c>
      <c r="F77" s="111">
        <f t="shared" si="44"/>
        <v>47</v>
      </c>
      <c r="G77" s="111">
        <f t="shared" si="44"/>
        <v>41</v>
      </c>
      <c r="H77" s="111">
        <f t="shared" si="44"/>
        <v>108</v>
      </c>
      <c r="I77" s="111">
        <f t="shared" si="44"/>
        <v>46</v>
      </c>
      <c r="J77" s="111">
        <f t="shared" si="44"/>
        <v>137</v>
      </c>
      <c r="K77" s="111">
        <f t="shared" si="44"/>
        <v>50</v>
      </c>
      <c r="L77" s="111">
        <f t="shared" si="44"/>
        <v>54</v>
      </c>
      <c r="M77" s="111">
        <f t="shared" si="44"/>
        <v>60</v>
      </c>
      <c r="N77" s="111">
        <f t="shared" si="44"/>
        <v>179</v>
      </c>
      <c r="O77" s="111">
        <f t="shared" si="44"/>
        <v>205</v>
      </c>
      <c r="P77" s="111">
        <f t="shared" si="44"/>
        <v>202</v>
      </c>
      <c r="Q77" s="111">
        <f t="shared" si="44"/>
        <v>107</v>
      </c>
      <c r="R77" s="111">
        <f t="shared" si="44"/>
        <v>52</v>
      </c>
      <c r="S77" s="111">
        <f t="shared" si="44"/>
        <v>30</v>
      </c>
      <c r="T77" s="111">
        <f t="shared" si="44"/>
        <v>64</v>
      </c>
      <c r="U77" s="111">
        <f t="shared" si="44"/>
        <v>63</v>
      </c>
      <c r="V77" s="111">
        <f t="shared" si="44"/>
        <v>79</v>
      </c>
      <c r="W77" s="111">
        <f t="shared" si="44"/>
        <v>138</v>
      </c>
      <c r="X77" s="111">
        <f t="shared" si="44"/>
        <v>136</v>
      </c>
      <c r="Y77" s="111">
        <f t="shared" si="44"/>
        <v>84</v>
      </c>
      <c r="Z77" s="111">
        <f t="shared" si="44"/>
        <v>36</v>
      </c>
      <c r="AA77" s="111">
        <f t="shared" si="44"/>
        <v>94</v>
      </c>
      <c r="AB77" s="111">
        <f t="shared" si="44"/>
        <v>93</v>
      </c>
      <c r="AC77" s="111">
        <f t="shared" si="44"/>
        <v>84</v>
      </c>
      <c r="AD77" s="111">
        <f t="shared" si="44"/>
        <v>70</v>
      </c>
      <c r="AE77" s="111">
        <f t="shared" si="44"/>
        <v>75</v>
      </c>
      <c r="AF77" s="111">
        <f t="shared" si="44"/>
        <v>122</v>
      </c>
      <c r="AG77" s="112">
        <f t="shared" si="39"/>
        <v>2803</v>
      </c>
      <c r="AJ77" s="113" t="s">
        <v>303</v>
      </c>
      <c r="AK77" s="114">
        <f>AK78+AK79+AK87+AK88+AK90</f>
        <v>116</v>
      </c>
      <c r="AL77" s="114">
        <f t="shared" ref="AL77:BO77" si="45">AL78+AL79+AL87+AL88+AL90</f>
        <v>133</v>
      </c>
      <c r="AM77" s="114">
        <f t="shared" si="45"/>
        <v>46</v>
      </c>
      <c r="AN77" s="114">
        <f t="shared" si="45"/>
        <v>36</v>
      </c>
      <c r="AO77" s="114">
        <f t="shared" si="45"/>
        <v>46</v>
      </c>
      <c r="AP77" s="114">
        <f t="shared" si="45"/>
        <v>39</v>
      </c>
      <c r="AQ77" s="114">
        <f t="shared" si="45"/>
        <v>108</v>
      </c>
      <c r="AR77" s="114">
        <f t="shared" si="45"/>
        <v>42</v>
      </c>
      <c r="AS77" s="114">
        <f t="shared" si="45"/>
        <v>132</v>
      </c>
      <c r="AT77" s="114">
        <f t="shared" si="45"/>
        <v>49</v>
      </c>
      <c r="AU77" s="114">
        <f t="shared" si="45"/>
        <v>53</v>
      </c>
      <c r="AV77" s="114">
        <f t="shared" si="45"/>
        <v>60</v>
      </c>
      <c r="AW77" s="114">
        <f t="shared" si="45"/>
        <v>175</v>
      </c>
      <c r="AX77" s="114">
        <f t="shared" si="45"/>
        <v>198</v>
      </c>
      <c r="AY77" s="114">
        <f t="shared" si="45"/>
        <v>177</v>
      </c>
      <c r="AZ77" s="114">
        <f t="shared" si="45"/>
        <v>99</v>
      </c>
      <c r="BA77" s="114">
        <f t="shared" si="45"/>
        <v>52</v>
      </c>
      <c r="BB77" s="114">
        <f t="shared" si="45"/>
        <v>30</v>
      </c>
      <c r="BC77" s="114">
        <f t="shared" si="45"/>
        <v>64</v>
      </c>
      <c r="BD77" s="114">
        <f t="shared" si="45"/>
        <v>62</v>
      </c>
      <c r="BE77" s="114">
        <f t="shared" si="45"/>
        <v>77</v>
      </c>
      <c r="BF77" s="114">
        <f t="shared" si="45"/>
        <v>136</v>
      </c>
      <c r="BG77" s="114">
        <f t="shared" si="45"/>
        <v>132</v>
      </c>
      <c r="BH77" s="114">
        <f t="shared" si="45"/>
        <v>84</v>
      </c>
      <c r="BI77" s="114">
        <f t="shared" si="45"/>
        <v>36</v>
      </c>
      <c r="BJ77" s="114">
        <f t="shared" si="45"/>
        <v>94</v>
      </c>
      <c r="BK77" s="114">
        <f t="shared" si="45"/>
        <v>93</v>
      </c>
      <c r="BL77" s="114">
        <f t="shared" si="45"/>
        <v>82</v>
      </c>
      <c r="BM77" s="114">
        <f t="shared" si="45"/>
        <v>70</v>
      </c>
      <c r="BN77" s="114">
        <f t="shared" si="45"/>
        <v>75</v>
      </c>
      <c r="BO77" s="114">
        <f t="shared" si="45"/>
        <v>121</v>
      </c>
      <c r="BP77" s="115">
        <f t="shared" si="41"/>
        <v>2717</v>
      </c>
    </row>
    <row r="78" spans="1:68" ht="20.100000000000001" customHeight="1" x14ac:dyDescent="0.25">
      <c r="A78" s="66" t="s">
        <v>304</v>
      </c>
      <c r="B78" s="106">
        <f>48+44</f>
        <v>92</v>
      </c>
      <c r="C78" s="106">
        <f>60+51</f>
        <v>111</v>
      </c>
      <c r="D78" s="106">
        <f>12+18</f>
        <v>30</v>
      </c>
      <c r="E78" s="106">
        <v>19</v>
      </c>
      <c r="F78" s="106">
        <v>26</v>
      </c>
      <c r="G78" s="106">
        <f>12+25</f>
        <v>37</v>
      </c>
      <c r="H78" s="106">
        <v>83</v>
      </c>
      <c r="I78" s="106">
        <f>24+13</f>
        <v>37</v>
      </c>
      <c r="J78" s="106">
        <f>72+29</f>
        <v>101</v>
      </c>
      <c r="K78" s="106">
        <v>36</v>
      </c>
      <c r="L78" s="106">
        <v>38</v>
      </c>
      <c r="M78" s="106">
        <v>36</v>
      </c>
      <c r="N78" s="106">
        <v>140</v>
      </c>
      <c r="O78" s="106">
        <v>148</v>
      </c>
      <c r="P78" s="106">
        <f>96+51</f>
        <v>147</v>
      </c>
      <c r="Q78" s="106">
        <f>48+33</f>
        <v>81</v>
      </c>
      <c r="R78" s="106">
        <v>35</v>
      </c>
      <c r="S78" s="106">
        <v>19</v>
      </c>
      <c r="T78" s="106">
        <f>36+22</f>
        <v>58</v>
      </c>
      <c r="U78" s="106">
        <f>24+25</f>
        <v>49</v>
      </c>
      <c r="V78" s="106">
        <f>12+33</f>
        <v>45</v>
      </c>
      <c r="W78" s="106">
        <f>84+23</f>
        <v>107</v>
      </c>
      <c r="X78" s="106">
        <f>72+37</f>
        <v>109</v>
      </c>
      <c r="Y78" s="106">
        <v>60</v>
      </c>
      <c r="Z78" s="106">
        <v>22</v>
      </c>
      <c r="AA78" s="106">
        <f>36+37</f>
        <v>73</v>
      </c>
      <c r="AB78" s="106">
        <v>73</v>
      </c>
      <c r="AC78" s="106">
        <v>46</v>
      </c>
      <c r="AD78" s="116">
        <v>45</v>
      </c>
      <c r="AE78" s="116">
        <v>59</v>
      </c>
      <c r="AF78" s="116">
        <v>81</v>
      </c>
      <c r="AG78" s="117">
        <f t="shared" si="39"/>
        <v>2043</v>
      </c>
      <c r="AJ78" s="71" t="str">
        <f t="shared" ref="AJ78:AY90" si="46">A78</f>
        <v>nb de seaux</v>
      </c>
      <c r="AK78" s="106">
        <f t="shared" si="46"/>
        <v>92</v>
      </c>
      <c r="AL78" s="106">
        <f t="shared" si="46"/>
        <v>111</v>
      </c>
      <c r="AM78" s="106">
        <f t="shared" si="46"/>
        <v>30</v>
      </c>
      <c r="AN78" s="106">
        <f t="shared" si="46"/>
        <v>19</v>
      </c>
      <c r="AO78" s="106">
        <f t="shared" si="46"/>
        <v>26</v>
      </c>
      <c r="AP78" s="106">
        <f t="shared" si="46"/>
        <v>37</v>
      </c>
      <c r="AQ78" s="106">
        <f t="shared" si="46"/>
        <v>83</v>
      </c>
      <c r="AR78" s="106">
        <f t="shared" si="46"/>
        <v>37</v>
      </c>
      <c r="AS78" s="106">
        <f t="shared" si="46"/>
        <v>101</v>
      </c>
      <c r="AT78" s="106">
        <f t="shared" si="46"/>
        <v>36</v>
      </c>
      <c r="AU78" s="106">
        <f t="shared" si="46"/>
        <v>38</v>
      </c>
      <c r="AV78" s="106">
        <f t="shared" si="46"/>
        <v>36</v>
      </c>
      <c r="AW78" s="106">
        <f t="shared" si="46"/>
        <v>140</v>
      </c>
      <c r="AX78" s="106">
        <f t="shared" si="46"/>
        <v>148</v>
      </c>
      <c r="AY78" s="106">
        <f t="shared" si="46"/>
        <v>147</v>
      </c>
      <c r="AZ78" s="106">
        <f t="shared" ref="AZ78:BO90" si="47">Q78</f>
        <v>81</v>
      </c>
      <c r="BA78" s="106">
        <f t="shared" si="47"/>
        <v>35</v>
      </c>
      <c r="BB78" s="106">
        <f t="shared" si="47"/>
        <v>19</v>
      </c>
      <c r="BC78" s="106">
        <f t="shared" si="47"/>
        <v>58</v>
      </c>
      <c r="BD78" s="106">
        <f t="shared" si="47"/>
        <v>49</v>
      </c>
      <c r="BE78" s="106">
        <f t="shared" si="47"/>
        <v>45</v>
      </c>
      <c r="BF78" s="106">
        <f t="shared" si="47"/>
        <v>107</v>
      </c>
      <c r="BG78" s="106">
        <f t="shared" si="47"/>
        <v>109</v>
      </c>
      <c r="BH78" s="106">
        <f t="shared" si="47"/>
        <v>60</v>
      </c>
      <c r="BI78" s="106">
        <f t="shared" si="47"/>
        <v>22</v>
      </c>
      <c r="BJ78" s="106">
        <f t="shared" si="47"/>
        <v>73</v>
      </c>
      <c r="BK78" s="106">
        <f t="shared" si="47"/>
        <v>73</v>
      </c>
      <c r="BL78" s="106">
        <f t="shared" si="47"/>
        <v>46</v>
      </c>
      <c r="BM78" s="106">
        <f t="shared" si="47"/>
        <v>45</v>
      </c>
      <c r="BN78" s="106">
        <f t="shared" si="47"/>
        <v>59</v>
      </c>
      <c r="BO78" s="106">
        <f t="shared" si="47"/>
        <v>81</v>
      </c>
      <c r="BP78" s="107">
        <f t="shared" si="41"/>
        <v>2043</v>
      </c>
    </row>
    <row r="79" spans="1:68" ht="20.100000000000001" customHeight="1" x14ac:dyDescent="0.25">
      <c r="A79" s="73" t="s">
        <v>305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>
        <v>2</v>
      </c>
      <c r="V79" s="108"/>
      <c r="W79" s="108"/>
      <c r="X79" s="108"/>
      <c r="Y79" s="108"/>
      <c r="Z79" s="108"/>
      <c r="AA79" s="108"/>
      <c r="AB79" s="108"/>
      <c r="AC79" s="108"/>
      <c r="AD79" s="118"/>
      <c r="AE79" s="118"/>
      <c r="AF79" s="118"/>
      <c r="AG79" s="117">
        <f t="shared" ref="AG79:AG90" si="48">SUM(B79:AF79)</f>
        <v>2</v>
      </c>
      <c r="AJ79" s="71" t="str">
        <f t="shared" si="46"/>
        <v>Commission leçons</v>
      </c>
      <c r="AK79" s="106">
        <f t="shared" si="46"/>
        <v>0</v>
      </c>
      <c r="AL79" s="106">
        <f t="shared" si="46"/>
        <v>0</v>
      </c>
      <c r="AM79" s="106">
        <f t="shared" si="46"/>
        <v>0</v>
      </c>
      <c r="AN79" s="106">
        <f t="shared" si="46"/>
        <v>0</v>
      </c>
      <c r="AO79" s="106">
        <f t="shared" si="46"/>
        <v>0</v>
      </c>
      <c r="AP79" s="106">
        <f t="shared" si="46"/>
        <v>0</v>
      </c>
      <c r="AQ79" s="106">
        <f t="shared" si="46"/>
        <v>0</v>
      </c>
      <c r="AR79" s="106">
        <f t="shared" si="46"/>
        <v>0</v>
      </c>
      <c r="AS79" s="106">
        <f t="shared" si="46"/>
        <v>0</v>
      </c>
      <c r="AT79" s="106">
        <f t="shared" si="46"/>
        <v>0</v>
      </c>
      <c r="AU79" s="106">
        <f t="shared" si="46"/>
        <v>0</v>
      </c>
      <c r="AV79" s="106">
        <f t="shared" si="46"/>
        <v>0</v>
      </c>
      <c r="AW79" s="106">
        <f t="shared" si="46"/>
        <v>0</v>
      </c>
      <c r="AX79" s="106">
        <f t="shared" si="46"/>
        <v>0</v>
      </c>
      <c r="AY79" s="106">
        <f t="shared" si="46"/>
        <v>0</v>
      </c>
      <c r="AZ79" s="106">
        <f t="shared" si="47"/>
        <v>0</v>
      </c>
      <c r="BA79" s="106">
        <f t="shared" si="47"/>
        <v>0</v>
      </c>
      <c r="BB79" s="106">
        <f t="shared" si="47"/>
        <v>0</v>
      </c>
      <c r="BC79" s="106">
        <f t="shared" si="47"/>
        <v>0</v>
      </c>
      <c r="BD79" s="106">
        <f t="shared" si="47"/>
        <v>2</v>
      </c>
      <c r="BE79" s="106">
        <f t="shared" si="47"/>
        <v>0</v>
      </c>
      <c r="BF79" s="106">
        <f t="shared" si="47"/>
        <v>0</v>
      </c>
      <c r="BG79" s="106">
        <f t="shared" si="47"/>
        <v>0</v>
      </c>
      <c r="BH79" s="106">
        <f t="shared" si="47"/>
        <v>0</v>
      </c>
      <c r="BI79" s="106">
        <f t="shared" si="47"/>
        <v>0</v>
      </c>
      <c r="BJ79" s="106">
        <f t="shared" si="47"/>
        <v>0</v>
      </c>
      <c r="BK79" s="106">
        <f t="shared" si="47"/>
        <v>0</v>
      </c>
      <c r="BL79" s="106">
        <f t="shared" si="47"/>
        <v>0</v>
      </c>
      <c r="BM79" s="106">
        <f t="shared" si="47"/>
        <v>0</v>
      </c>
      <c r="BN79" s="106">
        <f t="shared" si="47"/>
        <v>0</v>
      </c>
      <c r="BO79" s="106">
        <f t="shared" si="47"/>
        <v>0</v>
      </c>
      <c r="BP79" s="107">
        <f t="shared" si="41"/>
        <v>2</v>
      </c>
    </row>
    <row r="80" spans="1:68" ht="20.100000000000001" customHeight="1" x14ac:dyDescent="0.25">
      <c r="A80" s="73" t="s">
        <v>268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  <c r="AA80" s="108"/>
      <c r="AB80" s="108"/>
      <c r="AC80" s="108"/>
      <c r="AD80" s="118"/>
      <c r="AE80" s="118"/>
      <c r="AF80" s="118"/>
      <c r="AG80" s="117">
        <f t="shared" si="48"/>
        <v>0</v>
      </c>
      <c r="AJ80" s="71" t="str">
        <f t="shared" si="46"/>
        <v>Location emplacement voiture</v>
      </c>
      <c r="AK80" s="106">
        <f t="shared" si="46"/>
        <v>0</v>
      </c>
      <c r="AL80" s="106">
        <f t="shared" si="46"/>
        <v>0</v>
      </c>
      <c r="AM80" s="106">
        <f t="shared" si="46"/>
        <v>0</v>
      </c>
      <c r="AN80" s="106">
        <f t="shared" si="46"/>
        <v>0</v>
      </c>
      <c r="AO80" s="106">
        <f t="shared" si="46"/>
        <v>0</v>
      </c>
      <c r="AP80" s="106">
        <f t="shared" si="46"/>
        <v>0</v>
      </c>
      <c r="AQ80" s="106">
        <f t="shared" si="46"/>
        <v>0</v>
      </c>
      <c r="AR80" s="106">
        <f t="shared" si="46"/>
        <v>0</v>
      </c>
      <c r="AS80" s="106">
        <f t="shared" si="46"/>
        <v>0</v>
      </c>
      <c r="AT80" s="106">
        <f t="shared" si="46"/>
        <v>0</v>
      </c>
      <c r="AU80" s="106">
        <f t="shared" si="46"/>
        <v>0</v>
      </c>
      <c r="AV80" s="106">
        <f t="shared" si="46"/>
        <v>0</v>
      </c>
      <c r="AW80" s="106">
        <f t="shared" si="46"/>
        <v>0</v>
      </c>
      <c r="AX80" s="106">
        <f t="shared" si="46"/>
        <v>0</v>
      </c>
      <c r="AY80" s="106">
        <f t="shared" si="46"/>
        <v>0</v>
      </c>
      <c r="AZ80" s="106">
        <f t="shared" si="47"/>
        <v>0</v>
      </c>
      <c r="BA80" s="106">
        <f t="shared" si="47"/>
        <v>0</v>
      </c>
      <c r="BB80" s="106">
        <f t="shared" si="47"/>
        <v>0</v>
      </c>
      <c r="BC80" s="106">
        <f t="shared" si="47"/>
        <v>0</v>
      </c>
      <c r="BD80" s="106">
        <f t="shared" si="47"/>
        <v>0</v>
      </c>
      <c r="BE80" s="106">
        <f t="shared" si="47"/>
        <v>0</v>
      </c>
      <c r="BF80" s="106">
        <f t="shared" si="47"/>
        <v>0</v>
      </c>
      <c r="BG80" s="106">
        <f t="shared" si="47"/>
        <v>0</v>
      </c>
      <c r="BH80" s="106">
        <f t="shared" si="47"/>
        <v>0</v>
      </c>
      <c r="BI80" s="106">
        <f t="shared" si="47"/>
        <v>0</v>
      </c>
      <c r="BJ80" s="106">
        <f t="shared" si="47"/>
        <v>0</v>
      </c>
      <c r="BK80" s="106">
        <f t="shared" si="47"/>
        <v>0</v>
      </c>
      <c r="BL80" s="106">
        <f t="shared" si="47"/>
        <v>0</v>
      </c>
      <c r="BM80" s="106">
        <f t="shared" si="47"/>
        <v>0</v>
      </c>
      <c r="BN80" s="106">
        <f t="shared" si="47"/>
        <v>0</v>
      </c>
      <c r="BO80" s="106">
        <f t="shared" si="47"/>
        <v>0</v>
      </c>
      <c r="BP80" s="107">
        <f t="shared" si="41"/>
        <v>0</v>
      </c>
    </row>
    <row r="81" spans="1:68" ht="20.100000000000001" customHeight="1" x14ac:dyDescent="0.25">
      <c r="A81" s="73" t="s">
        <v>269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>
        <v>24</v>
      </c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18"/>
      <c r="AE81" s="118"/>
      <c r="AF81" s="118"/>
      <c r="AG81" s="117">
        <f t="shared" si="48"/>
        <v>24</v>
      </c>
      <c r="AJ81" s="109" t="str">
        <f t="shared" si="46"/>
        <v>Droit de compét</v>
      </c>
      <c r="AK81" s="106">
        <f t="shared" si="46"/>
        <v>0</v>
      </c>
      <c r="AL81" s="106">
        <f t="shared" si="46"/>
        <v>0</v>
      </c>
      <c r="AM81" s="106">
        <f t="shared" si="46"/>
        <v>0</v>
      </c>
      <c r="AN81" s="106">
        <f t="shared" si="46"/>
        <v>0</v>
      </c>
      <c r="AO81" s="106">
        <f t="shared" si="46"/>
        <v>0</v>
      </c>
      <c r="AP81" s="106">
        <f t="shared" si="46"/>
        <v>0</v>
      </c>
      <c r="AQ81" s="106">
        <f t="shared" si="46"/>
        <v>0</v>
      </c>
      <c r="AR81" s="106">
        <f t="shared" si="46"/>
        <v>0</v>
      </c>
      <c r="AS81" s="106">
        <f t="shared" si="46"/>
        <v>0</v>
      </c>
      <c r="AT81" s="106">
        <f t="shared" si="46"/>
        <v>0</v>
      </c>
      <c r="AU81" s="106">
        <f t="shared" si="46"/>
        <v>0</v>
      </c>
      <c r="AV81" s="106">
        <f t="shared" si="46"/>
        <v>0</v>
      </c>
      <c r="AW81" s="106">
        <f t="shared" si="46"/>
        <v>0</v>
      </c>
      <c r="AX81" s="106">
        <f t="shared" si="46"/>
        <v>0</v>
      </c>
      <c r="AY81" s="106">
        <f t="shared" si="46"/>
        <v>24</v>
      </c>
      <c r="AZ81" s="106">
        <f t="shared" si="47"/>
        <v>0</v>
      </c>
      <c r="BA81" s="106">
        <f t="shared" si="47"/>
        <v>0</v>
      </c>
      <c r="BB81" s="106">
        <f t="shared" si="47"/>
        <v>0</v>
      </c>
      <c r="BC81" s="106">
        <f t="shared" si="47"/>
        <v>0</v>
      </c>
      <c r="BD81" s="106">
        <f t="shared" si="47"/>
        <v>0</v>
      </c>
      <c r="BE81" s="106">
        <f t="shared" si="47"/>
        <v>0</v>
      </c>
      <c r="BF81" s="106">
        <f t="shared" si="47"/>
        <v>0</v>
      </c>
      <c r="BG81" s="106">
        <f t="shared" si="47"/>
        <v>0</v>
      </c>
      <c r="BH81" s="106">
        <f t="shared" si="47"/>
        <v>0</v>
      </c>
      <c r="BI81" s="106">
        <f t="shared" si="47"/>
        <v>0</v>
      </c>
      <c r="BJ81" s="106">
        <f t="shared" si="47"/>
        <v>0</v>
      </c>
      <c r="BK81" s="106">
        <f t="shared" si="47"/>
        <v>0</v>
      </c>
      <c r="BL81" s="106">
        <f t="shared" si="47"/>
        <v>0</v>
      </c>
      <c r="BM81" s="106">
        <f t="shared" si="47"/>
        <v>0</v>
      </c>
      <c r="BN81" s="106">
        <f t="shared" si="47"/>
        <v>0</v>
      </c>
      <c r="BO81" s="106">
        <f t="shared" si="47"/>
        <v>0</v>
      </c>
      <c r="BP81" s="107">
        <f t="shared" si="41"/>
        <v>24</v>
      </c>
    </row>
    <row r="82" spans="1:68" ht="20.100000000000001" customHeight="1" x14ac:dyDescent="0.25">
      <c r="A82" s="73" t="s">
        <v>270</v>
      </c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8"/>
      <c r="Z82" s="108"/>
      <c r="AA82" s="108"/>
      <c r="AB82" s="108"/>
      <c r="AC82" s="108"/>
      <c r="AD82" s="118"/>
      <c r="AE82" s="118"/>
      <c r="AF82" s="118"/>
      <c r="AG82" s="117">
        <f t="shared" si="48"/>
        <v>0</v>
      </c>
      <c r="AJ82" s="109" t="str">
        <f t="shared" si="46"/>
        <v>Duplicata FFG 10€</v>
      </c>
      <c r="AK82" s="106">
        <f t="shared" si="46"/>
        <v>0</v>
      </c>
      <c r="AL82" s="106">
        <f t="shared" si="46"/>
        <v>0</v>
      </c>
      <c r="AM82" s="106">
        <f t="shared" si="46"/>
        <v>0</v>
      </c>
      <c r="AN82" s="106">
        <f t="shared" si="46"/>
        <v>0</v>
      </c>
      <c r="AO82" s="106">
        <f t="shared" si="46"/>
        <v>0</v>
      </c>
      <c r="AP82" s="106">
        <f t="shared" si="46"/>
        <v>0</v>
      </c>
      <c r="AQ82" s="106">
        <f t="shared" si="46"/>
        <v>0</v>
      </c>
      <c r="AR82" s="106">
        <f t="shared" si="46"/>
        <v>0</v>
      </c>
      <c r="AS82" s="106">
        <f t="shared" si="46"/>
        <v>0</v>
      </c>
      <c r="AT82" s="106">
        <f t="shared" si="46"/>
        <v>0</v>
      </c>
      <c r="AU82" s="106">
        <f t="shared" si="46"/>
        <v>0</v>
      </c>
      <c r="AV82" s="106">
        <f t="shared" si="46"/>
        <v>0</v>
      </c>
      <c r="AW82" s="106">
        <f t="shared" si="46"/>
        <v>0</v>
      </c>
      <c r="AX82" s="106">
        <f t="shared" si="46"/>
        <v>0</v>
      </c>
      <c r="AY82" s="106">
        <f t="shared" si="46"/>
        <v>0</v>
      </c>
      <c r="AZ82" s="106">
        <f t="shared" si="47"/>
        <v>0</v>
      </c>
      <c r="BA82" s="106">
        <f t="shared" si="47"/>
        <v>0</v>
      </c>
      <c r="BB82" s="106">
        <f t="shared" si="47"/>
        <v>0</v>
      </c>
      <c r="BC82" s="106">
        <f t="shared" si="47"/>
        <v>0</v>
      </c>
      <c r="BD82" s="106">
        <f t="shared" si="47"/>
        <v>0</v>
      </c>
      <c r="BE82" s="106">
        <f t="shared" si="47"/>
        <v>0</v>
      </c>
      <c r="BF82" s="106">
        <f t="shared" si="47"/>
        <v>0</v>
      </c>
      <c r="BG82" s="106">
        <f t="shared" si="47"/>
        <v>0</v>
      </c>
      <c r="BH82" s="106">
        <f t="shared" si="47"/>
        <v>0</v>
      </c>
      <c r="BI82" s="106">
        <f t="shared" si="47"/>
        <v>0</v>
      </c>
      <c r="BJ82" s="106">
        <f t="shared" si="47"/>
        <v>0</v>
      </c>
      <c r="BK82" s="106">
        <f t="shared" si="47"/>
        <v>0</v>
      </c>
      <c r="BL82" s="106">
        <f t="shared" si="47"/>
        <v>0</v>
      </c>
      <c r="BM82" s="106">
        <f t="shared" si="47"/>
        <v>0</v>
      </c>
      <c r="BN82" s="106">
        <f t="shared" si="47"/>
        <v>0</v>
      </c>
      <c r="BO82" s="106">
        <f t="shared" si="47"/>
        <v>0</v>
      </c>
      <c r="BP82" s="107">
        <f t="shared" si="41"/>
        <v>0</v>
      </c>
    </row>
    <row r="83" spans="1:68" ht="20.100000000000001" customHeight="1" x14ac:dyDescent="0.25">
      <c r="A83" s="73" t="s">
        <v>271</v>
      </c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8"/>
      <c r="Z83" s="108"/>
      <c r="AA83" s="108"/>
      <c r="AB83" s="108"/>
      <c r="AC83" s="108"/>
      <c r="AD83" s="118"/>
      <c r="AE83" s="118"/>
      <c r="AF83" s="118"/>
      <c r="AG83" s="117">
        <f t="shared" si="48"/>
        <v>0</v>
      </c>
      <c r="AJ83" s="109" t="str">
        <f t="shared" si="46"/>
        <v>Comm FFG jr et perso 1,55 €</v>
      </c>
      <c r="AK83" s="106">
        <f t="shared" si="46"/>
        <v>0</v>
      </c>
      <c r="AL83" s="106">
        <f t="shared" si="46"/>
        <v>0</v>
      </c>
      <c r="AM83" s="106">
        <f t="shared" si="46"/>
        <v>0</v>
      </c>
      <c r="AN83" s="106">
        <f t="shared" si="46"/>
        <v>0</v>
      </c>
      <c r="AO83" s="106">
        <f t="shared" si="46"/>
        <v>0</v>
      </c>
      <c r="AP83" s="106">
        <f t="shared" si="46"/>
        <v>0</v>
      </c>
      <c r="AQ83" s="106">
        <f t="shared" si="46"/>
        <v>0</v>
      </c>
      <c r="AR83" s="106">
        <f t="shared" si="46"/>
        <v>0</v>
      </c>
      <c r="AS83" s="106">
        <f t="shared" si="46"/>
        <v>0</v>
      </c>
      <c r="AT83" s="106">
        <f t="shared" si="46"/>
        <v>0</v>
      </c>
      <c r="AU83" s="106">
        <f t="shared" si="46"/>
        <v>0</v>
      </c>
      <c r="AV83" s="106">
        <f t="shared" si="46"/>
        <v>0</v>
      </c>
      <c r="AW83" s="106">
        <f t="shared" si="46"/>
        <v>0</v>
      </c>
      <c r="AX83" s="106">
        <f t="shared" si="46"/>
        <v>0</v>
      </c>
      <c r="AY83" s="106">
        <f t="shared" si="46"/>
        <v>0</v>
      </c>
      <c r="AZ83" s="106">
        <f t="shared" si="47"/>
        <v>0</v>
      </c>
      <c r="BA83" s="106">
        <f t="shared" si="47"/>
        <v>0</v>
      </c>
      <c r="BB83" s="106">
        <f t="shared" si="47"/>
        <v>0</v>
      </c>
      <c r="BC83" s="106">
        <f t="shared" si="47"/>
        <v>0</v>
      </c>
      <c r="BD83" s="106">
        <f t="shared" si="47"/>
        <v>0</v>
      </c>
      <c r="BE83" s="106">
        <f t="shared" si="47"/>
        <v>0</v>
      </c>
      <c r="BF83" s="106">
        <f t="shared" si="47"/>
        <v>0</v>
      </c>
      <c r="BG83" s="106">
        <f t="shared" si="47"/>
        <v>0</v>
      </c>
      <c r="BH83" s="106">
        <f t="shared" si="47"/>
        <v>0</v>
      </c>
      <c r="BI83" s="106">
        <f t="shared" si="47"/>
        <v>0</v>
      </c>
      <c r="BJ83" s="106">
        <f t="shared" si="47"/>
        <v>0</v>
      </c>
      <c r="BK83" s="106">
        <f t="shared" si="47"/>
        <v>0</v>
      </c>
      <c r="BL83" s="106">
        <f t="shared" si="47"/>
        <v>0</v>
      </c>
      <c r="BM83" s="106">
        <f t="shared" si="47"/>
        <v>0</v>
      </c>
      <c r="BN83" s="106">
        <f t="shared" si="47"/>
        <v>0</v>
      </c>
      <c r="BO83" s="106">
        <f t="shared" si="47"/>
        <v>0</v>
      </c>
      <c r="BP83" s="107">
        <f t="shared" si="41"/>
        <v>0</v>
      </c>
    </row>
    <row r="84" spans="1:68" ht="20.100000000000001" customHeight="1" x14ac:dyDescent="0.25">
      <c r="A84" s="73" t="s">
        <v>272</v>
      </c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18"/>
      <c r="AE84" s="118"/>
      <c r="AF84" s="118"/>
      <c r="AG84" s="117">
        <f t="shared" si="48"/>
        <v>0</v>
      </c>
      <c r="AJ84" s="109" t="str">
        <f t="shared" si="46"/>
        <v>Comm FFG avec chgt 4,1 €</v>
      </c>
      <c r="AK84" s="106">
        <f t="shared" si="46"/>
        <v>0</v>
      </c>
      <c r="AL84" s="106">
        <f t="shared" si="46"/>
        <v>0</v>
      </c>
      <c r="AM84" s="106">
        <f t="shared" si="46"/>
        <v>0</v>
      </c>
      <c r="AN84" s="106">
        <f t="shared" si="46"/>
        <v>0</v>
      </c>
      <c r="AO84" s="106">
        <f t="shared" si="46"/>
        <v>0</v>
      </c>
      <c r="AP84" s="106">
        <f t="shared" si="46"/>
        <v>0</v>
      </c>
      <c r="AQ84" s="106">
        <f t="shared" si="46"/>
        <v>0</v>
      </c>
      <c r="AR84" s="106">
        <f t="shared" si="46"/>
        <v>0</v>
      </c>
      <c r="AS84" s="106">
        <f t="shared" si="46"/>
        <v>0</v>
      </c>
      <c r="AT84" s="106">
        <f t="shared" si="46"/>
        <v>0</v>
      </c>
      <c r="AU84" s="106">
        <f t="shared" si="46"/>
        <v>0</v>
      </c>
      <c r="AV84" s="106">
        <f t="shared" si="46"/>
        <v>0</v>
      </c>
      <c r="AW84" s="106">
        <f t="shared" si="46"/>
        <v>0</v>
      </c>
      <c r="AX84" s="106">
        <f t="shared" si="46"/>
        <v>0</v>
      </c>
      <c r="AY84" s="106">
        <f t="shared" si="46"/>
        <v>0</v>
      </c>
      <c r="AZ84" s="106">
        <f t="shared" si="47"/>
        <v>0</v>
      </c>
      <c r="BA84" s="106">
        <f t="shared" si="47"/>
        <v>0</v>
      </c>
      <c r="BB84" s="106">
        <f t="shared" si="47"/>
        <v>0</v>
      </c>
      <c r="BC84" s="106">
        <f t="shared" si="47"/>
        <v>0</v>
      </c>
      <c r="BD84" s="106">
        <f t="shared" si="47"/>
        <v>0</v>
      </c>
      <c r="BE84" s="106">
        <f t="shared" si="47"/>
        <v>0</v>
      </c>
      <c r="BF84" s="106">
        <f t="shared" si="47"/>
        <v>0</v>
      </c>
      <c r="BG84" s="106">
        <f t="shared" si="47"/>
        <v>0</v>
      </c>
      <c r="BH84" s="106">
        <f t="shared" si="47"/>
        <v>0</v>
      </c>
      <c r="BI84" s="106">
        <f t="shared" si="47"/>
        <v>0</v>
      </c>
      <c r="BJ84" s="106">
        <f t="shared" si="47"/>
        <v>0</v>
      </c>
      <c r="BK84" s="106">
        <f t="shared" si="47"/>
        <v>0</v>
      </c>
      <c r="BL84" s="106">
        <f t="shared" si="47"/>
        <v>0</v>
      </c>
      <c r="BM84" s="106">
        <f t="shared" si="47"/>
        <v>0</v>
      </c>
      <c r="BN84" s="106">
        <f t="shared" si="47"/>
        <v>0</v>
      </c>
      <c r="BO84" s="106">
        <f t="shared" si="47"/>
        <v>0</v>
      </c>
      <c r="BP84" s="107">
        <f t="shared" si="41"/>
        <v>0</v>
      </c>
    </row>
    <row r="85" spans="1:68" ht="20.100000000000001" customHeight="1" x14ac:dyDescent="0.25">
      <c r="A85" s="73" t="s">
        <v>273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>
        <v>1</v>
      </c>
      <c r="Y85" s="108"/>
      <c r="Z85" s="108"/>
      <c r="AA85" s="108"/>
      <c r="AB85" s="108"/>
      <c r="AC85" s="108"/>
      <c r="AD85" s="118"/>
      <c r="AE85" s="118"/>
      <c r="AF85" s="118"/>
      <c r="AG85" s="117">
        <f t="shared" si="48"/>
        <v>1</v>
      </c>
      <c r="AJ85" s="109" t="str">
        <f t="shared" si="46"/>
        <v>Commission FFG ss chgt 3€</v>
      </c>
      <c r="AK85" s="106">
        <f t="shared" si="46"/>
        <v>0</v>
      </c>
      <c r="AL85" s="106">
        <f t="shared" si="46"/>
        <v>0</v>
      </c>
      <c r="AM85" s="106">
        <f t="shared" si="46"/>
        <v>0</v>
      </c>
      <c r="AN85" s="106">
        <f t="shared" si="46"/>
        <v>0</v>
      </c>
      <c r="AO85" s="106">
        <f t="shared" si="46"/>
        <v>0</v>
      </c>
      <c r="AP85" s="106">
        <f t="shared" si="46"/>
        <v>0</v>
      </c>
      <c r="AQ85" s="106">
        <f t="shared" si="46"/>
        <v>0</v>
      </c>
      <c r="AR85" s="106">
        <f t="shared" si="46"/>
        <v>0</v>
      </c>
      <c r="AS85" s="106">
        <f t="shared" si="46"/>
        <v>0</v>
      </c>
      <c r="AT85" s="106">
        <f t="shared" si="46"/>
        <v>0</v>
      </c>
      <c r="AU85" s="106">
        <f t="shared" si="46"/>
        <v>0</v>
      </c>
      <c r="AV85" s="106">
        <f t="shared" si="46"/>
        <v>0</v>
      </c>
      <c r="AW85" s="106">
        <f t="shared" si="46"/>
        <v>0</v>
      </c>
      <c r="AX85" s="106">
        <f t="shared" si="46"/>
        <v>0</v>
      </c>
      <c r="AY85" s="106">
        <f t="shared" si="46"/>
        <v>0</v>
      </c>
      <c r="AZ85" s="106">
        <f t="shared" si="47"/>
        <v>0</v>
      </c>
      <c r="BA85" s="106">
        <f t="shared" si="47"/>
        <v>0</v>
      </c>
      <c r="BB85" s="106">
        <f t="shared" si="47"/>
        <v>0</v>
      </c>
      <c r="BC85" s="106">
        <f t="shared" si="47"/>
        <v>0</v>
      </c>
      <c r="BD85" s="106">
        <f t="shared" si="47"/>
        <v>0</v>
      </c>
      <c r="BE85" s="106">
        <f t="shared" si="47"/>
        <v>0</v>
      </c>
      <c r="BF85" s="106">
        <f t="shared" si="47"/>
        <v>0</v>
      </c>
      <c r="BG85" s="106">
        <f t="shared" si="47"/>
        <v>1</v>
      </c>
      <c r="BH85" s="106">
        <f t="shared" si="47"/>
        <v>0</v>
      </c>
      <c r="BI85" s="106">
        <f t="shared" si="47"/>
        <v>0</v>
      </c>
      <c r="BJ85" s="106">
        <f t="shared" si="47"/>
        <v>0</v>
      </c>
      <c r="BK85" s="106">
        <f t="shared" si="47"/>
        <v>0</v>
      </c>
      <c r="BL85" s="106">
        <f t="shared" si="47"/>
        <v>0</v>
      </c>
      <c r="BM85" s="106">
        <f t="shared" si="47"/>
        <v>0</v>
      </c>
      <c r="BN85" s="106">
        <f t="shared" si="47"/>
        <v>0</v>
      </c>
      <c r="BO85" s="106">
        <f t="shared" si="47"/>
        <v>0</v>
      </c>
      <c r="BP85" s="107">
        <f t="shared" si="41"/>
        <v>1</v>
      </c>
    </row>
    <row r="86" spans="1:68" ht="20.100000000000001" customHeight="1" x14ac:dyDescent="0.25">
      <c r="A86" s="73" t="s">
        <v>274</v>
      </c>
      <c r="B86" s="108"/>
      <c r="C86" s="108"/>
      <c r="D86" s="108"/>
      <c r="E86" s="108"/>
      <c r="F86" s="108"/>
      <c r="G86" s="108"/>
      <c r="H86" s="108"/>
      <c r="I86" s="108"/>
      <c r="J86" s="108">
        <v>1</v>
      </c>
      <c r="K86" s="108"/>
      <c r="L86" s="108"/>
      <c r="M86" s="108"/>
      <c r="N86" s="108"/>
      <c r="O86" s="108">
        <v>1</v>
      </c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8"/>
      <c r="AB86" s="108"/>
      <c r="AC86" s="108"/>
      <c r="AD86" s="118"/>
      <c r="AE86" s="118"/>
      <c r="AF86" s="118"/>
      <c r="AG86" s="117">
        <f t="shared" si="48"/>
        <v>2</v>
      </c>
      <c r="AJ86" s="109" t="str">
        <f t="shared" si="46"/>
        <v>Commission FFG créa 8€</v>
      </c>
      <c r="AK86" s="106">
        <f t="shared" si="46"/>
        <v>0</v>
      </c>
      <c r="AL86" s="106">
        <f t="shared" si="46"/>
        <v>0</v>
      </c>
      <c r="AM86" s="106">
        <f t="shared" si="46"/>
        <v>0</v>
      </c>
      <c r="AN86" s="106">
        <f t="shared" si="46"/>
        <v>0</v>
      </c>
      <c r="AO86" s="106">
        <f t="shared" si="46"/>
        <v>0</v>
      </c>
      <c r="AP86" s="106">
        <f t="shared" si="46"/>
        <v>0</v>
      </c>
      <c r="AQ86" s="106">
        <f t="shared" si="46"/>
        <v>0</v>
      </c>
      <c r="AR86" s="106">
        <f t="shared" si="46"/>
        <v>0</v>
      </c>
      <c r="AS86" s="106">
        <f t="shared" si="46"/>
        <v>1</v>
      </c>
      <c r="AT86" s="106">
        <f t="shared" si="46"/>
        <v>0</v>
      </c>
      <c r="AU86" s="106">
        <f t="shared" si="46"/>
        <v>0</v>
      </c>
      <c r="AV86" s="106">
        <f t="shared" si="46"/>
        <v>0</v>
      </c>
      <c r="AW86" s="106">
        <f t="shared" si="46"/>
        <v>0</v>
      </c>
      <c r="AX86" s="106">
        <f t="shared" si="46"/>
        <v>1</v>
      </c>
      <c r="AY86" s="106">
        <f t="shared" si="46"/>
        <v>0</v>
      </c>
      <c r="AZ86" s="106">
        <f t="shared" si="47"/>
        <v>0</v>
      </c>
      <c r="BA86" s="106">
        <f t="shared" si="47"/>
        <v>0</v>
      </c>
      <c r="BB86" s="106">
        <f t="shared" si="47"/>
        <v>0</v>
      </c>
      <c r="BC86" s="106">
        <f t="shared" si="47"/>
        <v>0</v>
      </c>
      <c r="BD86" s="106">
        <f t="shared" si="47"/>
        <v>0</v>
      </c>
      <c r="BE86" s="106">
        <f t="shared" si="47"/>
        <v>0</v>
      </c>
      <c r="BF86" s="106">
        <f t="shared" si="47"/>
        <v>0</v>
      </c>
      <c r="BG86" s="106">
        <f t="shared" si="47"/>
        <v>0</v>
      </c>
      <c r="BH86" s="106">
        <f t="shared" si="47"/>
        <v>0</v>
      </c>
      <c r="BI86" s="106">
        <f t="shared" si="47"/>
        <v>0</v>
      </c>
      <c r="BJ86" s="106">
        <f t="shared" si="47"/>
        <v>0</v>
      </c>
      <c r="BK86" s="106">
        <f t="shared" si="47"/>
        <v>0</v>
      </c>
      <c r="BL86" s="106">
        <f t="shared" si="47"/>
        <v>0</v>
      </c>
      <c r="BM86" s="106">
        <f t="shared" si="47"/>
        <v>0</v>
      </c>
      <c r="BN86" s="106">
        <f t="shared" si="47"/>
        <v>0</v>
      </c>
      <c r="BO86" s="106">
        <f t="shared" si="47"/>
        <v>0</v>
      </c>
      <c r="BP86" s="107">
        <f t="shared" si="41"/>
        <v>2</v>
      </c>
    </row>
    <row r="87" spans="1:68" ht="20.100000000000001" customHeight="1" x14ac:dyDescent="0.25">
      <c r="A87" s="73" t="s">
        <v>306</v>
      </c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  <c r="Z87" s="108"/>
      <c r="AA87" s="108"/>
      <c r="AB87" s="108"/>
      <c r="AC87" s="108"/>
      <c r="AD87" s="118"/>
      <c r="AE87" s="118"/>
      <c r="AF87" s="118"/>
      <c r="AG87" s="117">
        <f t="shared" si="48"/>
        <v>0</v>
      </c>
      <c r="AJ87" s="109" t="str">
        <f t="shared" si="46"/>
        <v>Commission FFG</v>
      </c>
      <c r="AK87" s="106">
        <f t="shared" si="46"/>
        <v>0</v>
      </c>
      <c r="AL87" s="106">
        <f t="shared" si="46"/>
        <v>0</v>
      </c>
      <c r="AM87" s="106">
        <f t="shared" si="46"/>
        <v>0</v>
      </c>
      <c r="AN87" s="106">
        <f t="shared" si="46"/>
        <v>0</v>
      </c>
      <c r="AO87" s="106">
        <f t="shared" si="46"/>
        <v>0</v>
      </c>
      <c r="AP87" s="106">
        <f t="shared" si="46"/>
        <v>0</v>
      </c>
      <c r="AQ87" s="106">
        <f t="shared" si="46"/>
        <v>0</v>
      </c>
      <c r="AR87" s="106">
        <f t="shared" si="46"/>
        <v>0</v>
      </c>
      <c r="AS87" s="106">
        <f t="shared" si="46"/>
        <v>0</v>
      </c>
      <c r="AT87" s="106">
        <f t="shared" si="46"/>
        <v>0</v>
      </c>
      <c r="AU87" s="106">
        <f t="shared" si="46"/>
        <v>0</v>
      </c>
      <c r="AV87" s="106">
        <f t="shared" si="46"/>
        <v>0</v>
      </c>
      <c r="AW87" s="106">
        <f t="shared" si="46"/>
        <v>0</v>
      </c>
      <c r="AX87" s="106">
        <f t="shared" si="46"/>
        <v>0</v>
      </c>
      <c r="AY87" s="106">
        <f t="shared" si="46"/>
        <v>0</v>
      </c>
      <c r="AZ87" s="106">
        <f t="shared" si="47"/>
        <v>0</v>
      </c>
      <c r="BA87" s="106">
        <f t="shared" si="47"/>
        <v>0</v>
      </c>
      <c r="BB87" s="106">
        <f t="shared" si="47"/>
        <v>0</v>
      </c>
      <c r="BC87" s="106">
        <f t="shared" si="47"/>
        <v>0</v>
      </c>
      <c r="BD87" s="106">
        <f t="shared" si="47"/>
        <v>0</v>
      </c>
      <c r="BE87" s="106">
        <f t="shared" si="47"/>
        <v>0</v>
      </c>
      <c r="BF87" s="106">
        <f t="shared" si="47"/>
        <v>0</v>
      </c>
      <c r="BG87" s="106">
        <f t="shared" si="47"/>
        <v>0</v>
      </c>
      <c r="BH87" s="106">
        <f t="shared" si="47"/>
        <v>0</v>
      </c>
      <c r="BI87" s="106">
        <f t="shared" si="47"/>
        <v>0</v>
      </c>
      <c r="BJ87" s="106">
        <f t="shared" si="47"/>
        <v>0</v>
      </c>
      <c r="BK87" s="106">
        <f t="shared" si="47"/>
        <v>0</v>
      </c>
      <c r="BL87" s="106">
        <f t="shared" si="47"/>
        <v>0</v>
      </c>
      <c r="BM87" s="106">
        <f t="shared" si="47"/>
        <v>0</v>
      </c>
      <c r="BN87" s="106">
        <f t="shared" si="47"/>
        <v>0</v>
      </c>
      <c r="BO87" s="106">
        <f t="shared" si="47"/>
        <v>0</v>
      </c>
      <c r="BP87" s="107">
        <f t="shared" si="41"/>
        <v>0</v>
      </c>
    </row>
    <row r="88" spans="1:68" ht="20.100000000000001" customHeight="1" x14ac:dyDescent="0.25">
      <c r="A88" s="73" t="s">
        <v>276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8"/>
      <c r="Z88" s="108"/>
      <c r="AA88" s="108"/>
      <c r="AB88" s="108"/>
      <c r="AC88" s="108"/>
      <c r="AD88" s="118"/>
      <c r="AE88" s="118"/>
      <c r="AF88" s="118"/>
      <c r="AG88" s="117">
        <f t="shared" si="48"/>
        <v>0</v>
      </c>
      <c r="AJ88" s="109" t="str">
        <f t="shared" si="46"/>
        <v>Droit de Roulage</v>
      </c>
      <c r="AK88" s="106">
        <f t="shared" si="46"/>
        <v>0</v>
      </c>
      <c r="AL88" s="106">
        <f t="shared" si="46"/>
        <v>0</v>
      </c>
      <c r="AM88" s="106">
        <f t="shared" si="46"/>
        <v>0</v>
      </c>
      <c r="AN88" s="106">
        <f t="shared" si="46"/>
        <v>0</v>
      </c>
      <c r="AO88" s="106">
        <f t="shared" si="46"/>
        <v>0</v>
      </c>
      <c r="AP88" s="106">
        <f t="shared" si="46"/>
        <v>0</v>
      </c>
      <c r="AQ88" s="106">
        <f t="shared" si="46"/>
        <v>0</v>
      </c>
      <c r="AR88" s="106">
        <f t="shared" si="46"/>
        <v>0</v>
      </c>
      <c r="AS88" s="106">
        <f t="shared" si="46"/>
        <v>0</v>
      </c>
      <c r="AT88" s="106">
        <f t="shared" si="46"/>
        <v>0</v>
      </c>
      <c r="AU88" s="106">
        <f t="shared" si="46"/>
        <v>0</v>
      </c>
      <c r="AV88" s="106">
        <f t="shared" si="46"/>
        <v>0</v>
      </c>
      <c r="AW88" s="106">
        <f t="shared" si="46"/>
        <v>0</v>
      </c>
      <c r="AX88" s="106">
        <f t="shared" si="46"/>
        <v>0</v>
      </c>
      <c r="AY88" s="106">
        <f t="shared" si="46"/>
        <v>0</v>
      </c>
      <c r="AZ88" s="106">
        <f t="shared" si="47"/>
        <v>0</v>
      </c>
      <c r="BA88" s="106">
        <f t="shared" si="47"/>
        <v>0</v>
      </c>
      <c r="BB88" s="106">
        <f t="shared" si="47"/>
        <v>0</v>
      </c>
      <c r="BC88" s="106">
        <f t="shared" si="47"/>
        <v>0</v>
      </c>
      <c r="BD88" s="106">
        <f t="shared" si="47"/>
        <v>0</v>
      </c>
      <c r="BE88" s="106">
        <f t="shared" si="47"/>
        <v>0</v>
      </c>
      <c r="BF88" s="106">
        <f t="shared" si="47"/>
        <v>0</v>
      </c>
      <c r="BG88" s="106">
        <f t="shared" si="47"/>
        <v>0</v>
      </c>
      <c r="BH88" s="106">
        <f t="shared" si="47"/>
        <v>0</v>
      </c>
      <c r="BI88" s="106">
        <f t="shared" si="47"/>
        <v>0</v>
      </c>
      <c r="BJ88" s="106">
        <f t="shared" si="47"/>
        <v>0</v>
      </c>
      <c r="BK88" s="106">
        <f t="shared" si="47"/>
        <v>0</v>
      </c>
      <c r="BL88" s="106">
        <f t="shared" si="47"/>
        <v>0</v>
      </c>
      <c r="BM88" s="106">
        <f t="shared" si="47"/>
        <v>0</v>
      </c>
      <c r="BN88" s="106">
        <f t="shared" si="47"/>
        <v>0</v>
      </c>
      <c r="BO88" s="106">
        <f t="shared" si="47"/>
        <v>0</v>
      </c>
      <c r="BP88" s="107">
        <f t="shared" si="41"/>
        <v>0</v>
      </c>
    </row>
    <row r="89" spans="1:68" ht="20.100000000000001" customHeight="1" x14ac:dyDescent="0.25">
      <c r="A89" s="73" t="s">
        <v>277</v>
      </c>
      <c r="B89" s="108">
        <v>3</v>
      </c>
      <c r="C89" s="108">
        <v>4</v>
      </c>
      <c r="D89" s="108">
        <v>9</v>
      </c>
      <c r="E89" s="108"/>
      <c r="F89" s="108">
        <v>1</v>
      </c>
      <c r="G89" s="108">
        <v>2</v>
      </c>
      <c r="H89" s="108"/>
      <c r="I89" s="108">
        <v>4</v>
      </c>
      <c r="J89" s="108">
        <v>4</v>
      </c>
      <c r="K89" s="108">
        <v>1</v>
      </c>
      <c r="L89" s="108">
        <v>1</v>
      </c>
      <c r="M89" s="108"/>
      <c r="N89" s="108">
        <v>4</v>
      </c>
      <c r="O89" s="108">
        <v>6</v>
      </c>
      <c r="P89" s="108">
        <v>1</v>
      </c>
      <c r="Q89" s="108">
        <v>8</v>
      </c>
      <c r="R89" s="108"/>
      <c r="S89" s="108"/>
      <c r="T89" s="108"/>
      <c r="U89" s="108">
        <v>1</v>
      </c>
      <c r="V89" s="108">
        <v>2</v>
      </c>
      <c r="W89" s="108">
        <v>2</v>
      </c>
      <c r="X89" s="108">
        <v>3</v>
      </c>
      <c r="Y89" s="108"/>
      <c r="Z89" s="108"/>
      <c r="AA89" s="108"/>
      <c r="AB89" s="108"/>
      <c r="AC89" s="108">
        <v>2</v>
      </c>
      <c r="AD89" s="118"/>
      <c r="AE89" s="118"/>
      <c r="AF89" s="118">
        <v>1</v>
      </c>
      <c r="AG89" s="117">
        <f t="shared" si="48"/>
        <v>59</v>
      </c>
      <c r="AJ89" s="109" t="str">
        <f t="shared" si="46"/>
        <v>Divers</v>
      </c>
      <c r="AK89" s="106">
        <f t="shared" si="46"/>
        <v>3</v>
      </c>
      <c r="AL89" s="106">
        <f t="shared" si="46"/>
        <v>4</v>
      </c>
      <c r="AM89" s="106">
        <f t="shared" si="46"/>
        <v>9</v>
      </c>
      <c r="AN89" s="106">
        <f t="shared" si="46"/>
        <v>0</v>
      </c>
      <c r="AO89" s="106">
        <f t="shared" si="46"/>
        <v>1</v>
      </c>
      <c r="AP89" s="106">
        <f t="shared" si="46"/>
        <v>2</v>
      </c>
      <c r="AQ89" s="106">
        <f t="shared" si="46"/>
        <v>0</v>
      </c>
      <c r="AR89" s="106">
        <f t="shared" si="46"/>
        <v>4</v>
      </c>
      <c r="AS89" s="106">
        <f t="shared" si="46"/>
        <v>4</v>
      </c>
      <c r="AT89" s="106">
        <f t="shared" si="46"/>
        <v>1</v>
      </c>
      <c r="AU89" s="106">
        <f t="shared" si="46"/>
        <v>1</v>
      </c>
      <c r="AV89" s="106">
        <f t="shared" si="46"/>
        <v>0</v>
      </c>
      <c r="AW89" s="106">
        <f t="shared" si="46"/>
        <v>4</v>
      </c>
      <c r="AX89" s="106">
        <f t="shared" si="46"/>
        <v>6</v>
      </c>
      <c r="AY89" s="106">
        <f t="shared" si="46"/>
        <v>1</v>
      </c>
      <c r="AZ89" s="106">
        <f t="shared" si="47"/>
        <v>8</v>
      </c>
      <c r="BA89" s="106">
        <f t="shared" si="47"/>
        <v>0</v>
      </c>
      <c r="BB89" s="106">
        <f t="shared" si="47"/>
        <v>0</v>
      </c>
      <c r="BC89" s="106">
        <f t="shared" si="47"/>
        <v>0</v>
      </c>
      <c r="BD89" s="106">
        <f t="shared" si="47"/>
        <v>1</v>
      </c>
      <c r="BE89" s="106">
        <f t="shared" si="47"/>
        <v>2</v>
      </c>
      <c r="BF89" s="106">
        <f t="shared" si="47"/>
        <v>2</v>
      </c>
      <c r="BG89" s="106">
        <f t="shared" si="47"/>
        <v>3</v>
      </c>
      <c r="BH89" s="106">
        <f t="shared" si="47"/>
        <v>0</v>
      </c>
      <c r="BI89" s="106">
        <f t="shared" si="47"/>
        <v>0</v>
      </c>
      <c r="BJ89" s="106">
        <f t="shared" si="47"/>
        <v>0</v>
      </c>
      <c r="BK89" s="106">
        <f t="shared" si="47"/>
        <v>0</v>
      </c>
      <c r="BL89" s="106">
        <f t="shared" si="47"/>
        <v>2</v>
      </c>
      <c r="BM89" s="106">
        <f t="shared" si="47"/>
        <v>0</v>
      </c>
      <c r="BN89" s="106">
        <f t="shared" si="47"/>
        <v>0</v>
      </c>
      <c r="BO89" s="106">
        <f t="shared" si="47"/>
        <v>1</v>
      </c>
      <c r="BP89" s="107">
        <f t="shared" si="41"/>
        <v>59</v>
      </c>
    </row>
    <row r="90" spans="1:68" ht="20.100000000000001" customHeight="1" thickBot="1" x14ac:dyDescent="0.3">
      <c r="A90" s="119" t="s">
        <v>307</v>
      </c>
      <c r="B90" s="120">
        <f>16+7+1</f>
        <v>24</v>
      </c>
      <c r="C90" s="120">
        <v>22</v>
      </c>
      <c r="D90" s="120">
        <v>16</v>
      </c>
      <c r="E90" s="120">
        <v>17</v>
      </c>
      <c r="F90" s="120">
        <v>20</v>
      </c>
      <c r="G90" s="120">
        <v>2</v>
      </c>
      <c r="H90" s="120">
        <f>12+11+2</f>
        <v>25</v>
      </c>
      <c r="I90" s="120">
        <v>5</v>
      </c>
      <c r="J90" s="120">
        <f>8+6+5+11+1</f>
        <v>31</v>
      </c>
      <c r="K90" s="120">
        <v>13</v>
      </c>
      <c r="L90" s="120">
        <v>15</v>
      </c>
      <c r="M90" s="120">
        <f>7+4+6+7</f>
        <v>24</v>
      </c>
      <c r="N90" s="120">
        <v>35</v>
      </c>
      <c r="O90" s="120">
        <f>34+9+7</f>
        <v>50</v>
      </c>
      <c r="P90" s="120">
        <v>30</v>
      </c>
      <c r="Q90" s="120">
        <v>18</v>
      </c>
      <c r="R90" s="120">
        <f>9+7+1</f>
        <v>17</v>
      </c>
      <c r="S90" s="120">
        <v>11</v>
      </c>
      <c r="T90" s="120">
        <v>6</v>
      </c>
      <c r="U90" s="120">
        <v>11</v>
      </c>
      <c r="V90" s="120">
        <f>22+9+1</f>
        <v>32</v>
      </c>
      <c r="W90" s="120">
        <v>29</v>
      </c>
      <c r="X90" s="120">
        <v>23</v>
      </c>
      <c r="Y90" s="120">
        <v>24</v>
      </c>
      <c r="Z90" s="120">
        <v>14</v>
      </c>
      <c r="AA90" s="120">
        <v>21</v>
      </c>
      <c r="AB90" s="120">
        <f>9+7+4</f>
        <v>20</v>
      </c>
      <c r="AC90" s="120">
        <v>36</v>
      </c>
      <c r="AD90" s="120">
        <v>25</v>
      </c>
      <c r="AE90" s="120">
        <v>16</v>
      </c>
      <c r="AF90" s="118">
        <v>40</v>
      </c>
      <c r="AG90" s="117">
        <f t="shared" si="48"/>
        <v>672</v>
      </c>
      <c r="AJ90" s="121" t="str">
        <f t="shared" si="46"/>
        <v>nb d'article PROSHOP</v>
      </c>
      <c r="AK90" s="106">
        <f t="shared" si="46"/>
        <v>24</v>
      </c>
      <c r="AL90" s="120">
        <f t="shared" si="46"/>
        <v>22</v>
      </c>
      <c r="AM90" s="120">
        <f t="shared" si="46"/>
        <v>16</v>
      </c>
      <c r="AN90" s="120">
        <f t="shared" si="46"/>
        <v>17</v>
      </c>
      <c r="AO90" s="120">
        <f t="shared" si="46"/>
        <v>20</v>
      </c>
      <c r="AP90" s="120">
        <f t="shared" si="46"/>
        <v>2</v>
      </c>
      <c r="AQ90" s="120">
        <f t="shared" si="46"/>
        <v>25</v>
      </c>
      <c r="AR90" s="120">
        <f t="shared" si="46"/>
        <v>5</v>
      </c>
      <c r="AS90" s="120">
        <f t="shared" si="46"/>
        <v>31</v>
      </c>
      <c r="AT90" s="120">
        <f t="shared" si="46"/>
        <v>13</v>
      </c>
      <c r="AU90" s="120">
        <f t="shared" si="46"/>
        <v>15</v>
      </c>
      <c r="AV90" s="120">
        <f t="shared" si="46"/>
        <v>24</v>
      </c>
      <c r="AW90" s="120">
        <f t="shared" si="46"/>
        <v>35</v>
      </c>
      <c r="AX90" s="120">
        <f t="shared" si="46"/>
        <v>50</v>
      </c>
      <c r="AY90" s="120">
        <f t="shared" si="46"/>
        <v>30</v>
      </c>
      <c r="AZ90" s="120">
        <f t="shared" si="47"/>
        <v>18</v>
      </c>
      <c r="BA90" s="120">
        <f t="shared" si="47"/>
        <v>17</v>
      </c>
      <c r="BB90" s="120">
        <f t="shared" si="47"/>
        <v>11</v>
      </c>
      <c r="BC90" s="120">
        <f t="shared" si="47"/>
        <v>6</v>
      </c>
      <c r="BD90" s="120">
        <f t="shared" si="47"/>
        <v>11</v>
      </c>
      <c r="BE90" s="120">
        <f t="shared" si="47"/>
        <v>32</v>
      </c>
      <c r="BF90" s="120">
        <f t="shared" si="47"/>
        <v>29</v>
      </c>
      <c r="BG90" s="120">
        <f t="shared" si="47"/>
        <v>23</v>
      </c>
      <c r="BH90" s="120">
        <f t="shared" si="47"/>
        <v>24</v>
      </c>
      <c r="BI90" s="120">
        <f t="shared" si="47"/>
        <v>14</v>
      </c>
      <c r="BJ90" s="120">
        <f t="shared" si="47"/>
        <v>21</v>
      </c>
      <c r="BK90" s="120">
        <f t="shared" si="47"/>
        <v>20</v>
      </c>
      <c r="BL90" s="120">
        <f t="shared" si="47"/>
        <v>36</v>
      </c>
      <c r="BM90" s="106">
        <f t="shared" si="47"/>
        <v>25</v>
      </c>
      <c r="BN90" s="106">
        <f t="shared" si="47"/>
        <v>16</v>
      </c>
      <c r="BO90" s="106">
        <f t="shared" si="47"/>
        <v>40</v>
      </c>
      <c r="BP90" s="107">
        <f>SUM(AK90:BO90)</f>
        <v>672</v>
      </c>
    </row>
    <row r="91" spans="1:68" ht="20.100000000000001" customHeight="1" thickTop="1" x14ac:dyDescent="0.25">
      <c r="B91" s="122"/>
      <c r="AJ91" s="123" t="s">
        <v>308</v>
      </c>
      <c r="AK91" s="48">
        <v>54.67</v>
      </c>
      <c r="AL91" s="124"/>
      <c r="AM91" s="125"/>
      <c r="AN91" s="126"/>
      <c r="AO91" s="48"/>
      <c r="AP91" s="48"/>
      <c r="AQ91" s="48"/>
      <c r="AR91" s="48"/>
      <c r="AS91" s="124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124"/>
      <c r="BG91" s="48"/>
      <c r="BH91" s="124"/>
      <c r="BI91" s="48"/>
      <c r="BJ91" s="48"/>
      <c r="BK91" s="48"/>
      <c r="BL91" s="48"/>
      <c r="BM91" s="48"/>
      <c r="BN91" s="48"/>
      <c r="BO91" s="48"/>
    </row>
    <row r="92" spans="1:68" s="128" customFormat="1" ht="20.100000000000001" customHeight="1" x14ac:dyDescent="0.2">
      <c r="A92" s="127"/>
      <c r="C92" s="129"/>
      <c r="J92" s="129"/>
      <c r="W92" s="129"/>
      <c r="Y92" s="129"/>
      <c r="AG92" s="130"/>
      <c r="AJ92" s="131">
        <f>A1</f>
        <v>40299</v>
      </c>
      <c r="AK92" s="132">
        <v>1</v>
      </c>
      <c r="AL92" s="132">
        <f t="shared" ref="AL92:BL92" si="49">AL9</f>
        <v>40300</v>
      </c>
      <c r="AM92" s="132">
        <f t="shared" si="49"/>
        <v>40301</v>
      </c>
      <c r="AN92" s="132">
        <f t="shared" si="49"/>
        <v>40302</v>
      </c>
      <c r="AO92" s="132">
        <f t="shared" si="49"/>
        <v>40303</v>
      </c>
      <c r="AP92" s="132">
        <f t="shared" si="49"/>
        <v>40304</v>
      </c>
      <c r="AQ92" s="132">
        <f t="shared" si="49"/>
        <v>40305</v>
      </c>
      <c r="AR92" s="132">
        <f t="shared" si="49"/>
        <v>40306</v>
      </c>
      <c r="AS92" s="132">
        <f t="shared" si="49"/>
        <v>40307</v>
      </c>
      <c r="AT92" s="132">
        <f t="shared" si="49"/>
        <v>40308</v>
      </c>
      <c r="AU92" s="132">
        <f t="shared" si="49"/>
        <v>40309</v>
      </c>
      <c r="AV92" s="132">
        <f t="shared" si="49"/>
        <v>40310</v>
      </c>
      <c r="AW92" s="132">
        <f t="shared" si="49"/>
        <v>40311</v>
      </c>
      <c r="AX92" s="132">
        <f t="shared" si="49"/>
        <v>40312</v>
      </c>
      <c r="AY92" s="132">
        <f t="shared" si="49"/>
        <v>40313</v>
      </c>
      <c r="AZ92" s="132">
        <f t="shared" si="49"/>
        <v>40314</v>
      </c>
      <c r="BA92" s="132">
        <f t="shared" si="49"/>
        <v>40315</v>
      </c>
      <c r="BB92" s="132">
        <f t="shared" si="49"/>
        <v>40316</v>
      </c>
      <c r="BC92" s="132">
        <f t="shared" si="49"/>
        <v>40317</v>
      </c>
      <c r="BD92" s="132">
        <f t="shared" si="49"/>
        <v>40318</v>
      </c>
      <c r="BE92" s="132">
        <f t="shared" si="49"/>
        <v>40319</v>
      </c>
      <c r="BF92" s="132">
        <f t="shared" si="49"/>
        <v>40320</v>
      </c>
      <c r="BG92" s="132">
        <f t="shared" si="49"/>
        <v>40321</v>
      </c>
      <c r="BH92" s="132">
        <f t="shared" si="49"/>
        <v>40322</v>
      </c>
      <c r="BI92" s="132">
        <f t="shared" si="49"/>
        <v>40323</v>
      </c>
      <c r="BJ92" s="132">
        <f t="shared" si="49"/>
        <v>40324</v>
      </c>
      <c r="BK92" s="132">
        <f t="shared" si="49"/>
        <v>40325</v>
      </c>
      <c r="BL92" s="132">
        <f t="shared" si="49"/>
        <v>40326</v>
      </c>
      <c r="BM92" s="132"/>
      <c r="BN92" s="132"/>
      <c r="BO92" s="132"/>
      <c r="BP92" s="132" t="str">
        <f>BP9</f>
        <v>Total</v>
      </c>
    </row>
    <row r="93" spans="1:68" s="134" customFormat="1" ht="20.100000000000001" customHeight="1" x14ac:dyDescent="0.25">
      <c r="A93" s="133"/>
      <c r="C93" s="135"/>
      <c r="D93" s="136"/>
      <c r="E93" s="137"/>
      <c r="J93" s="135"/>
      <c r="W93" s="135"/>
      <c r="Y93" s="135"/>
      <c r="AG93" s="138"/>
      <c r="AJ93" s="139" t="s">
        <v>309</v>
      </c>
      <c r="AK93" s="140">
        <f>AK95/AK94</f>
        <v>59.398653406090489</v>
      </c>
      <c r="AL93" s="140">
        <f>AL95/AL94</f>
        <v>64.937290969899649</v>
      </c>
      <c r="AM93" s="140">
        <f t="shared" ref="AM93:BP93" si="50">AM95/AM94</f>
        <v>54.098957308675978</v>
      </c>
      <c r="AN93" s="140">
        <f t="shared" si="50"/>
        <v>48.060200668896321</v>
      </c>
      <c r="AO93" s="140">
        <f t="shared" si="50"/>
        <v>46.418141773390978</v>
      </c>
      <c r="AP93" s="140">
        <f t="shared" si="50"/>
        <v>33.580288726133524</v>
      </c>
      <c r="AQ93" s="140">
        <f t="shared" si="50"/>
        <v>59.805369751021935</v>
      </c>
      <c r="AR93" s="140">
        <f t="shared" si="50"/>
        <v>51.920240086000959</v>
      </c>
      <c r="AS93" s="140">
        <f t="shared" si="50"/>
        <v>52.590598799651808</v>
      </c>
      <c r="AT93" s="140">
        <f t="shared" si="50"/>
        <v>56.882294723909645</v>
      </c>
      <c r="AU93" s="140">
        <f t="shared" si="50"/>
        <v>80.598117756863971</v>
      </c>
      <c r="AV93" s="140">
        <f t="shared" si="50"/>
        <v>62.112839901119685</v>
      </c>
      <c r="AW93" s="140">
        <f t="shared" si="50"/>
        <v>47.46309246309248</v>
      </c>
      <c r="AX93" s="140">
        <f t="shared" si="50"/>
        <v>55.426490505541885</v>
      </c>
      <c r="AY93" s="140">
        <f t="shared" si="50"/>
        <v>51.679721879950719</v>
      </c>
      <c r="AZ93" s="140">
        <f t="shared" si="50"/>
        <v>48.616988601460655</v>
      </c>
      <c r="BA93" s="140">
        <f t="shared" si="50"/>
        <v>49.86566332218505</v>
      </c>
      <c r="BB93" s="140">
        <f t="shared" si="50"/>
        <v>55.347414085599347</v>
      </c>
      <c r="BC93" s="140">
        <f t="shared" si="50"/>
        <v>53.889950629081071</v>
      </c>
      <c r="BD93" s="140">
        <f t="shared" si="50"/>
        <v>61.003892757278351</v>
      </c>
      <c r="BE93" s="140">
        <f t="shared" si="50"/>
        <v>61.80573174950986</v>
      </c>
      <c r="BF93" s="140">
        <f t="shared" si="50"/>
        <v>54.637720974677507</v>
      </c>
      <c r="BG93" s="140">
        <f t="shared" si="50"/>
        <v>56.281454053193187</v>
      </c>
      <c r="BH93" s="140">
        <f t="shared" si="50"/>
        <v>53.024282820669839</v>
      </c>
      <c r="BI93" s="140">
        <f t="shared" si="50"/>
        <v>47.355211817168339</v>
      </c>
      <c r="BJ93" s="140">
        <f t="shared" si="50"/>
        <v>52.110809616962193</v>
      </c>
      <c r="BK93" s="140">
        <f t="shared" si="50"/>
        <v>52.286224351441753</v>
      </c>
      <c r="BL93" s="140">
        <f t="shared" si="50"/>
        <v>54.682075171205604</v>
      </c>
      <c r="BM93" s="140"/>
      <c r="BN93" s="140"/>
      <c r="BO93" s="140"/>
      <c r="BP93" s="140">
        <f t="shared" si="50"/>
        <v>54.059666689310781</v>
      </c>
    </row>
    <row r="94" spans="1:68" ht="20.100000000000001" customHeight="1" x14ac:dyDescent="0.25">
      <c r="AG94" s="48"/>
      <c r="AJ94" s="141" t="s">
        <v>310</v>
      </c>
      <c r="AK94" s="142">
        <f>AK52-AK64-AK68-AK69</f>
        <v>76</v>
      </c>
      <c r="AL94" s="142">
        <f>AL52-AL64-AL68-AL69</f>
        <v>40</v>
      </c>
      <c r="AM94" s="142">
        <f t="shared" ref="AM94:BP94" si="51">AM52-AM64-AM68-AM69</f>
        <v>85</v>
      </c>
      <c r="AN94" s="142">
        <f t="shared" si="51"/>
        <v>10</v>
      </c>
      <c r="AO94" s="142">
        <f t="shared" si="51"/>
        <v>41</v>
      </c>
      <c r="AP94" s="142">
        <f t="shared" si="51"/>
        <v>79</v>
      </c>
      <c r="AQ94" s="142">
        <f t="shared" si="51"/>
        <v>90</v>
      </c>
      <c r="AR94" s="142">
        <f t="shared" si="51"/>
        <v>56</v>
      </c>
      <c r="AS94" s="142">
        <f t="shared" si="51"/>
        <v>73</v>
      </c>
      <c r="AT94" s="142">
        <f t="shared" si="51"/>
        <v>49</v>
      </c>
      <c r="AU94" s="142">
        <f t="shared" si="51"/>
        <v>43</v>
      </c>
      <c r="AV94" s="142">
        <f t="shared" si="51"/>
        <v>46</v>
      </c>
      <c r="AW94" s="142">
        <f t="shared" si="51"/>
        <v>99</v>
      </c>
      <c r="AX94" s="142">
        <f t="shared" si="51"/>
        <v>121</v>
      </c>
      <c r="AY94" s="142">
        <f t="shared" si="51"/>
        <v>95</v>
      </c>
      <c r="AZ94" s="142">
        <f t="shared" si="51"/>
        <v>98</v>
      </c>
      <c r="BA94" s="142">
        <f t="shared" si="51"/>
        <v>75</v>
      </c>
      <c r="BB94" s="142">
        <f t="shared" si="51"/>
        <v>69</v>
      </c>
      <c r="BC94" s="142">
        <f t="shared" si="51"/>
        <v>42</v>
      </c>
      <c r="BD94" s="142">
        <f t="shared" si="51"/>
        <v>61</v>
      </c>
      <c r="BE94" s="142">
        <f t="shared" si="51"/>
        <v>87</v>
      </c>
      <c r="BF94" s="142">
        <f t="shared" si="51"/>
        <v>70</v>
      </c>
      <c r="BG94" s="142">
        <f t="shared" si="51"/>
        <v>84</v>
      </c>
      <c r="BH94" s="142">
        <f t="shared" si="51"/>
        <v>71</v>
      </c>
      <c r="BI94" s="142">
        <f t="shared" si="51"/>
        <v>60</v>
      </c>
      <c r="BJ94" s="142">
        <f t="shared" si="51"/>
        <v>53</v>
      </c>
      <c r="BK94" s="142">
        <f t="shared" si="51"/>
        <v>74</v>
      </c>
      <c r="BL94" s="142">
        <f t="shared" si="51"/>
        <v>84</v>
      </c>
      <c r="BM94" s="142"/>
      <c r="BN94" s="142"/>
      <c r="BO94" s="142"/>
      <c r="BP94" s="142">
        <f t="shared" si="51"/>
        <v>2117</v>
      </c>
    </row>
    <row r="95" spans="1:68" s="134" customFormat="1" ht="20.100000000000001" customHeight="1" x14ac:dyDescent="0.25">
      <c r="A95" s="133"/>
      <c r="C95" s="135"/>
      <c r="D95" s="136"/>
      <c r="E95" s="137"/>
      <c r="J95" s="135"/>
      <c r="W95" s="135"/>
      <c r="Y95" s="135"/>
      <c r="AG95" s="138"/>
      <c r="AJ95" s="143" t="s">
        <v>311</v>
      </c>
      <c r="AK95" s="140">
        <f>AK10-AK22</f>
        <v>4514.2976588628771</v>
      </c>
      <c r="AL95" s="140">
        <f>AL10-AL22</f>
        <v>2597.4916387959861</v>
      </c>
      <c r="AM95" s="140">
        <f t="shared" ref="AM95:BP95" si="52">AM10-AM22</f>
        <v>4598.4113712374583</v>
      </c>
      <c r="AN95" s="140">
        <f t="shared" si="52"/>
        <v>480.60200668896323</v>
      </c>
      <c r="AO95" s="140">
        <f t="shared" si="52"/>
        <v>1903.14381270903</v>
      </c>
      <c r="AP95" s="140">
        <f t="shared" si="52"/>
        <v>2652.8428093645484</v>
      </c>
      <c r="AQ95" s="140">
        <f t="shared" si="52"/>
        <v>5382.483277591974</v>
      </c>
      <c r="AR95" s="140">
        <f t="shared" si="52"/>
        <v>2907.5334448160538</v>
      </c>
      <c r="AS95" s="140">
        <f t="shared" si="52"/>
        <v>3839.1137123745821</v>
      </c>
      <c r="AT95" s="140">
        <f t="shared" si="52"/>
        <v>2787.2324414715727</v>
      </c>
      <c r="AU95" s="140">
        <f t="shared" si="52"/>
        <v>3465.7190635451507</v>
      </c>
      <c r="AV95" s="140">
        <f t="shared" si="52"/>
        <v>2857.1906354515054</v>
      </c>
      <c r="AW95" s="140">
        <f t="shared" si="52"/>
        <v>4698.8461538461552</v>
      </c>
      <c r="AX95" s="140">
        <f t="shared" si="52"/>
        <v>6706.6053511705677</v>
      </c>
      <c r="AY95" s="140">
        <f t="shared" si="52"/>
        <v>4909.5735785953184</v>
      </c>
      <c r="AZ95" s="140">
        <f t="shared" si="52"/>
        <v>4764.4648829431444</v>
      </c>
      <c r="BA95" s="140">
        <f t="shared" si="52"/>
        <v>3739.9247491638789</v>
      </c>
      <c r="BB95" s="140">
        <f t="shared" si="52"/>
        <v>3818.9715719063547</v>
      </c>
      <c r="BC95" s="140">
        <f t="shared" si="52"/>
        <v>2263.3779264214049</v>
      </c>
      <c r="BD95" s="140">
        <f t="shared" si="52"/>
        <v>3721.2374581939794</v>
      </c>
      <c r="BE95" s="140">
        <f t="shared" si="52"/>
        <v>5377.0986622073578</v>
      </c>
      <c r="BF95" s="140">
        <f t="shared" si="52"/>
        <v>3824.6404682274256</v>
      </c>
      <c r="BG95" s="140">
        <f t="shared" si="52"/>
        <v>4727.6421404682278</v>
      </c>
      <c r="BH95" s="140">
        <f t="shared" si="52"/>
        <v>3764.7240802675587</v>
      </c>
      <c r="BI95" s="140">
        <f t="shared" si="52"/>
        <v>2841.3127090301005</v>
      </c>
      <c r="BJ95" s="140">
        <f t="shared" si="52"/>
        <v>2761.8729096989964</v>
      </c>
      <c r="BK95" s="140">
        <f t="shared" si="52"/>
        <v>3869.1806020066897</v>
      </c>
      <c r="BL95" s="140">
        <f t="shared" si="52"/>
        <v>4593.2943143812709</v>
      </c>
      <c r="BM95" s="140"/>
      <c r="BN95" s="140"/>
      <c r="BO95" s="140"/>
      <c r="BP95" s="140">
        <f t="shared" si="52"/>
        <v>114444.31438127092</v>
      </c>
    </row>
    <row r="96" spans="1:68" ht="20.100000000000001" customHeight="1" x14ac:dyDescent="0.25">
      <c r="AJ96" s="123" t="s">
        <v>312</v>
      </c>
      <c r="AK96" s="138">
        <f>AK93-$AK$91</f>
        <v>4.728653406090487</v>
      </c>
      <c r="AL96" s="138">
        <f t="shared" ref="AL96:BP96" si="53">AL93-$AK$91</f>
        <v>10.267290969899648</v>
      </c>
      <c r="AM96" s="138">
        <f t="shared" si="53"/>
        <v>-0.57104269132402408</v>
      </c>
      <c r="AN96" s="138">
        <f t="shared" si="53"/>
        <v>-6.6097993311036802</v>
      </c>
      <c r="AO96" s="138">
        <f t="shared" si="53"/>
        <v>-8.2518582266090235</v>
      </c>
      <c r="AP96" s="138">
        <f t="shared" si="53"/>
        <v>-21.089711273866477</v>
      </c>
      <c r="AQ96" s="138">
        <f t="shared" si="53"/>
        <v>5.1353697510219334</v>
      </c>
      <c r="AR96" s="138">
        <f t="shared" si="53"/>
        <v>-2.7497599139990427</v>
      </c>
      <c r="AS96" s="138">
        <f t="shared" si="53"/>
        <v>-2.0794012003481939</v>
      </c>
      <c r="AT96" s="138">
        <f t="shared" si="53"/>
        <v>2.2122947239096433</v>
      </c>
      <c r="AU96" s="138">
        <f t="shared" si="53"/>
        <v>25.928117756863969</v>
      </c>
      <c r="AV96" s="138">
        <f t="shared" si="53"/>
        <v>7.4428399011196831</v>
      </c>
      <c r="AW96" s="138">
        <f t="shared" si="53"/>
        <v>-7.2069075369075222</v>
      </c>
      <c r="AX96" s="138">
        <f t="shared" si="53"/>
        <v>0.75649050554188335</v>
      </c>
      <c r="AY96" s="138">
        <f t="shared" si="53"/>
        <v>-2.9902781200492825</v>
      </c>
      <c r="AZ96" s="138">
        <f t="shared" si="53"/>
        <v>-6.053011398539347</v>
      </c>
      <c r="BA96" s="138">
        <f t="shared" si="53"/>
        <v>-4.8043366778149519</v>
      </c>
      <c r="BB96" s="138">
        <f t="shared" si="53"/>
        <v>0.67741408559934513</v>
      </c>
      <c r="BC96" s="138">
        <f t="shared" si="53"/>
        <v>-0.78004937091893112</v>
      </c>
      <c r="BD96" s="138">
        <f t="shared" si="53"/>
        <v>6.333892757278349</v>
      </c>
      <c r="BE96" s="138">
        <f t="shared" si="53"/>
        <v>7.1357317495098584</v>
      </c>
      <c r="BF96" s="138">
        <f t="shared" si="53"/>
        <v>-3.2279025322495158E-2</v>
      </c>
      <c r="BG96" s="138">
        <f t="shared" si="53"/>
        <v>1.6114540531931851</v>
      </c>
      <c r="BH96" s="138">
        <f t="shared" si="53"/>
        <v>-1.6457171793301626</v>
      </c>
      <c r="BI96" s="138">
        <f t="shared" si="53"/>
        <v>-7.3147881828316628</v>
      </c>
      <c r="BJ96" s="138">
        <f t="shared" si="53"/>
        <v>-2.5591903830378087</v>
      </c>
      <c r="BK96" s="138">
        <f t="shared" si="53"/>
        <v>-2.3837756485582489</v>
      </c>
      <c r="BL96" s="138">
        <f t="shared" si="53"/>
        <v>1.2075171205601976E-2</v>
      </c>
      <c r="BM96" s="138"/>
      <c r="BN96" s="138"/>
      <c r="BO96" s="138"/>
      <c r="BP96" s="138">
        <f t="shared" si="53"/>
        <v>-0.61033331068922081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2011-04-20T19:19:56Z</dcterms:created>
  <dcterms:modified xsi:type="dcterms:W3CDTF">2011-04-20T19:23:12Z</dcterms:modified>
</cp:coreProperties>
</file>