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namedSheetViews/namedSheetView1.xml" ContentType="application/vnd.ms-excel.namedsheetview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User\AppData\Roaming\Microsoft\Windows\Network Shortcuts\"/>
    </mc:Choice>
  </mc:AlternateContent>
  <xr:revisionPtr revIDLastSave="0" documentId="8_{8B0CFC05-8517-434F-B1E4-A7DBC5A69664}" xr6:coauthVersionLast="47" xr6:coauthVersionMax="47" xr10:uidLastSave="{00000000-0000-0000-0000-000000000000}"/>
  <bookViews>
    <workbookView xWindow="-120" yWindow="-120" windowWidth="29040" windowHeight="15720" tabRatio="825" xr2:uid="{00000000-000D-0000-FFFF-FFFF00000000}"/>
  </bookViews>
  <sheets>
    <sheet name="Indicateurs journaliers" sheetId="1" r:id="rId1"/>
    <sheet name="Décoché" sheetId="29" r:id="rId2"/>
    <sheet name="Décoché_Graph" sheetId="34" r:id="rId3"/>
    <sheet name="Anomalie" sheetId="30" r:id="rId4"/>
    <sheet name="Points distribués" sheetId="31" r:id="rId5"/>
    <sheet name="Pénalités" sheetId="32" r:id="rId6"/>
    <sheet name="Liste" sheetId="22" r:id="rId7"/>
  </sheets>
  <functionGroups builtInGroupCount="19"/>
  <definedNames>
    <definedName name="_xlnm._FilterDatabase" localSheetId="0" hidden="1">'Indicateurs journaliers'!$B$12:$T$44</definedName>
    <definedName name="_xleta.COUNT" hidden="1" xlm="1">#NAME?</definedName>
    <definedName name="_xleta.DATE" hidden="1" xlm="1">#NAME?</definedName>
    <definedName name="_xleta.MONTH" hidden="1" xlm="1">#NAME?</definedName>
    <definedName name="_xleta.ROW" hidden="1" xlm="1">#NAME?</definedName>
    <definedName name="_xleta.SUM" hidden="1" xlm="1">#NAME?</definedName>
    <definedName name="Code_Tournées">Tableau4[TOURNÉES]</definedName>
    <definedName name="Livreurs">Tableau7[LIVREURS]</definedName>
    <definedName name="ref_cellule">Décoché!$O$4</definedName>
    <definedName name="ref_cellule2">Décoché!$O$20</definedName>
    <definedName name="Segment_Filiale">#N/A</definedName>
    <definedName name="Segment_Mois">#N/A</definedName>
    <definedName name="Segment_Pilote_offre">#N/A</definedName>
    <definedName name="_xlnm.Print_Area" localSheetId="0">'Indicateurs journaliers'!$A$1:$U$107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4" i="29" l="1"/>
  <c r="K33" i="29"/>
  <c r="K32" i="29"/>
  <c r="K31" i="29"/>
  <c r="K30" i="29"/>
  <c r="K29" i="29"/>
  <c r="K28" i="29"/>
  <c r="K27" i="29"/>
  <c r="K26" i="29"/>
  <c r="K25" i="29"/>
  <c r="K24" i="29"/>
  <c r="K23" i="29"/>
  <c r="L18" i="29"/>
  <c r="L17" i="29"/>
  <c r="L16" i="29"/>
  <c r="L15" i="29"/>
  <c r="L14" i="29"/>
  <c r="L13" i="29"/>
  <c r="L12" i="29"/>
  <c r="L11" i="29"/>
  <c r="L10" i="29"/>
  <c r="L9" i="29"/>
  <c r="L8" i="29"/>
  <c r="L7" i="29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3" i="1"/>
  <c r="N34" i="1"/>
  <c r="N35" i="1"/>
  <c r="N36" i="1"/>
  <c r="N37" i="1"/>
  <c r="N38" i="1"/>
  <c r="N39" i="1"/>
  <c r="N40" i="1"/>
  <c r="N41" i="1"/>
  <c r="N42" i="1"/>
  <c r="N43" i="1"/>
  <c r="N44" i="1"/>
  <c r="N32" i="1"/>
  <c r="D44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AA5" i="29" a="1"/>
  <c r="Q21" i="29" a="1"/>
  <c r="U21" i="29" a="1"/>
  <c r="V21" i="29" a="1"/>
  <c r="X21" i="29" a="1"/>
  <c r="R21" i="29" a="1"/>
  <c r="S21" i="29" a="1"/>
  <c r="W21" i="29" a="1"/>
  <c r="P21" i="29" a="1"/>
  <c r="T21" i="29" a="1"/>
  <c r="O21" i="29" a="1"/>
  <c r="O5" i="29" a="1"/>
  <c r="W5" i="29" a="1"/>
  <c r="T5" i="29" a="1"/>
  <c r="U5" i="29" a="1"/>
  <c r="Y5" i="29" a="1"/>
  <c r="R5" i="29" a="1"/>
  <c r="V5" i="29" a="1"/>
  <c r="S5" i="29" a="1"/>
  <c r="Z5" i="29" a="1"/>
  <c r="Q5" i="29" a="1"/>
  <c r="X5" i="29" a="1"/>
  <c r="P5" i="29" a="1"/>
  <c r="AA5" i="29" l="1"/>
  <c r="T21" i="29"/>
  <c r="P21" i="29"/>
  <c r="W21" i="29"/>
  <c r="S21" i="29"/>
  <c r="R21" i="29"/>
  <c r="X21" i="29"/>
  <c r="V21" i="29"/>
  <c r="U21" i="29"/>
  <c r="Q21" i="29"/>
  <c r="O21" i="29"/>
  <c r="O5" i="29"/>
  <c r="J30" i="29"/>
  <c r="I29" i="29"/>
  <c r="J26" i="29"/>
  <c r="J23" i="29"/>
  <c r="J31" i="29"/>
  <c r="J24" i="29"/>
  <c r="J32" i="29"/>
  <c r="H30" i="29"/>
  <c r="I34" i="29"/>
  <c r="J27" i="29"/>
  <c r="J34" i="29"/>
  <c r="J28" i="29"/>
  <c r="J25" i="29"/>
  <c r="J29" i="29"/>
  <c r="J33" i="29"/>
  <c r="I26" i="29"/>
  <c r="I27" i="29"/>
  <c r="I28" i="29"/>
  <c r="I30" i="29"/>
  <c r="I23" i="29"/>
  <c r="I31" i="29"/>
  <c r="I24" i="29"/>
  <c r="I32" i="29"/>
  <c r="G34" i="29"/>
  <c r="H29" i="29"/>
  <c r="I33" i="29"/>
  <c r="I25" i="29"/>
  <c r="H23" i="29"/>
  <c r="H31" i="29"/>
  <c r="H24" i="29"/>
  <c r="H32" i="29"/>
  <c r="H25" i="29"/>
  <c r="H34" i="29"/>
  <c r="H26" i="29"/>
  <c r="H27" i="29"/>
  <c r="H28" i="29"/>
  <c r="H33" i="29"/>
  <c r="F28" i="29"/>
  <c r="G27" i="29"/>
  <c r="E33" i="29"/>
  <c r="G28" i="29"/>
  <c r="G26" i="29"/>
  <c r="G29" i="29"/>
  <c r="G30" i="29"/>
  <c r="E25" i="29"/>
  <c r="G31" i="29"/>
  <c r="G23" i="29"/>
  <c r="G32" i="29"/>
  <c r="G25" i="29"/>
  <c r="G33" i="29"/>
  <c r="F30" i="29"/>
  <c r="F23" i="29"/>
  <c r="F31" i="29"/>
  <c r="F24" i="29"/>
  <c r="F32" i="29"/>
  <c r="F25" i="29"/>
  <c r="F34" i="29"/>
  <c r="E32" i="29"/>
  <c r="F26" i="29"/>
  <c r="F29" i="29"/>
  <c r="F27" i="29"/>
  <c r="F33" i="29"/>
  <c r="E26" i="29"/>
  <c r="E27" i="29"/>
  <c r="E28" i="29"/>
  <c r="D27" i="29"/>
  <c r="E29" i="29"/>
  <c r="C32" i="29"/>
  <c r="E30" i="29"/>
  <c r="E23" i="29"/>
  <c r="E31" i="29"/>
  <c r="E24" i="29"/>
  <c r="D33" i="29"/>
  <c r="D29" i="29"/>
  <c r="D30" i="29"/>
  <c r="D28" i="29"/>
  <c r="D23" i="29"/>
  <c r="D31" i="29"/>
  <c r="D24" i="29"/>
  <c r="D32" i="29"/>
  <c r="C34" i="29"/>
  <c r="D25" i="29"/>
  <c r="D34" i="29"/>
  <c r="D26" i="29"/>
  <c r="D11" i="29"/>
  <c r="C31" i="29"/>
  <c r="C24" i="29"/>
  <c r="C25" i="29"/>
  <c r="C26" i="29"/>
  <c r="C27" i="29"/>
  <c r="C28" i="29"/>
  <c r="C29" i="29"/>
  <c r="C30" i="29"/>
  <c r="C23" i="29"/>
  <c r="C33" i="29"/>
  <c r="K35" i="29"/>
  <c r="C9" i="29"/>
  <c r="C16" i="29"/>
  <c r="J14" i="29"/>
  <c r="D9" i="29"/>
  <c r="C14" i="29"/>
  <c r="F18" i="29"/>
  <c r="K14" i="29"/>
  <c r="I10" i="29"/>
  <c r="I8" i="29"/>
  <c r="J18" i="29"/>
  <c r="E12" i="29"/>
  <c r="C8" i="29"/>
  <c r="E13" i="29"/>
  <c r="J11" i="29"/>
  <c r="K15" i="29"/>
  <c r="I9" i="29"/>
  <c r="D16" i="29"/>
  <c r="I7" i="29"/>
  <c r="J12" i="29"/>
  <c r="K16" i="29"/>
  <c r="C13" i="29"/>
  <c r="C15" i="29"/>
  <c r="J13" i="29"/>
  <c r="K17" i="29"/>
  <c r="K18" i="29"/>
  <c r="I14" i="29"/>
  <c r="D10" i="29"/>
  <c r="I15" i="29"/>
  <c r="K8" i="29"/>
  <c r="G14" i="29"/>
  <c r="H18" i="29"/>
  <c r="I17" i="29"/>
  <c r="D17" i="29"/>
  <c r="I16" i="29"/>
  <c r="K9" i="29"/>
  <c r="K7" i="29"/>
  <c r="E14" i="29"/>
  <c r="F17" i="29"/>
  <c r="D18" i="29"/>
  <c r="I18" i="29"/>
  <c r="K10" i="29"/>
  <c r="F10" i="29"/>
  <c r="H11" i="29"/>
  <c r="E15" i="29"/>
  <c r="H13" i="29"/>
  <c r="C17" i="29"/>
  <c r="G10" i="29"/>
  <c r="C10" i="29"/>
  <c r="C18" i="29"/>
  <c r="D13" i="29"/>
  <c r="E9" i="29"/>
  <c r="E17" i="29"/>
  <c r="F14" i="29"/>
  <c r="G11" i="29"/>
  <c r="H7" i="29"/>
  <c r="H15" i="29"/>
  <c r="I11" i="29"/>
  <c r="J7" i="29"/>
  <c r="J15" i="29"/>
  <c r="K11" i="29"/>
  <c r="F11" i="29"/>
  <c r="G16" i="29"/>
  <c r="F12" i="29"/>
  <c r="G9" i="29"/>
  <c r="E8" i="29"/>
  <c r="F13" i="29"/>
  <c r="H14" i="29"/>
  <c r="C11" i="29"/>
  <c r="C7" i="29"/>
  <c r="D14" i="29"/>
  <c r="E10" i="29"/>
  <c r="F7" i="29"/>
  <c r="F15" i="29"/>
  <c r="G12" i="29"/>
  <c r="H8" i="29"/>
  <c r="H16" i="29"/>
  <c r="I12" i="29"/>
  <c r="J8" i="29"/>
  <c r="J16" i="29"/>
  <c r="K12" i="29"/>
  <c r="E7" i="29"/>
  <c r="G17" i="29"/>
  <c r="E16" i="29"/>
  <c r="C12" i="29"/>
  <c r="D7" i="29"/>
  <c r="D15" i="29"/>
  <c r="E11" i="29"/>
  <c r="F8" i="29"/>
  <c r="F16" i="29"/>
  <c r="G13" i="29"/>
  <c r="H9" i="29"/>
  <c r="H17" i="29"/>
  <c r="I13" i="29"/>
  <c r="J9" i="29"/>
  <c r="J17" i="29"/>
  <c r="K13" i="29"/>
  <c r="G15" i="29"/>
  <c r="G7" i="29"/>
  <c r="H12" i="29"/>
  <c r="D12" i="29"/>
  <c r="G18" i="29"/>
  <c r="D8" i="29"/>
  <c r="F9" i="29"/>
  <c r="H10" i="29"/>
  <c r="J10" i="29"/>
  <c r="P5" i="29"/>
  <c r="S5" i="29"/>
  <c r="X5" i="29"/>
  <c r="Z5" i="29"/>
  <c r="V5" i="29"/>
  <c r="R5" i="29"/>
  <c r="T5" i="29"/>
  <c r="W5" i="29"/>
  <c r="Y5" i="29"/>
  <c r="U5" i="29"/>
  <c r="Q5" i="29"/>
  <c r="L19" i="29"/>
  <c r="J35" i="29" l="1"/>
  <c r="I35" i="29"/>
  <c r="H35" i="29"/>
  <c r="G35" i="29"/>
  <c r="F35" i="29"/>
  <c r="L27" i="29"/>
  <c r="L32" i="29"/>
  <c r="E35" i="29"/>
  <c r="L31" i="29"/>
  <c r="L28" i="29"/>
  <c r="L24" i="29"/>
  <c r="L34" i="29"/>
  <c r="L30" i="29"/>
  <c r="L26" i="29"/>
  <c r="L23" i="29"/>
  <c r="D35" i="29"/>
  <c r="L25" i="29"/>
  <c r="L29" i="29"/>
  <c r="C35" i="29"/>
  <c r="L33" i="29"/>
  <c r="M14" i="29"/>
  <c r="M13" i="29"/>
  <c r="M17" i="29"/>
  <c r="M11" i="29"/>
  <c r="D19" i="29"/>
  <c r="K19" i="29"/>
  <c r="C19" i="29"/>
  <c r="J19" i="29"/>
  <c r="M16" i="29"/>
  <c r="M7" i="29"/>
  <c r="M15" i="29"/>
  <c r="I19" i="29"/>
  <c r="M18" i="29"/>
  <c r="M8" i="29"/>
  <c r="M9" i="29"/>
  <c r="F19" i="29"/>
  <c r="G19" i="29"/>
  <c r="H19" i="29"/>
  <c r="M10" i="29"/>
  <c r="E19" i="29"/>
  <c r="M12" i="29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<sst xmlns="http://schemas.openxmlformats.org/spreadsheetml/2006/main" count="185" uniqueCount="63">
  <si>
    <t>Mois</t>
  </si>
  <si>
    <t>Livreurs</t>
  </si>
  <si>
    <t>Date</t>
  </si>
  <si>
    <t>Activité non comptabilisée</t>
  </si>
  <si>
    <t>Prés. Infruct.</t>
  </si>
  <si>
    <t>Anomalie</t>
  </si>
  <si>
    <t>Taux Prés Instruct.</t>
  </si>
  <si>
    <t>Taux anomalie</t>
  </si>
  <si>
    <t>Taux décoché</t>
  </si>
  <si>
    <t>Objets en picking</t>
  </si>
  <si>
    <t>Total Points</t>
  </si>
  <si>
    <t>Dont Pénalités</t>
  </si>
  <si>
    <t>Activité comptabilisé (UF)</t>
  </si>
  <si>
    <t>Activité traitée (UO)</t>
  </si>
  <si>
    <t>Distribués (réel)</t>
  </si>
  <si>
    <t>BP (réel)</t>
  </si>
  <si>
    <t>Relais (réel)</t>
  </si>
  <si>
    <t>Distribués (payé)</t>
  </si>
  <si>
    <t>BP (payé)</t>
  </si>
  <si>
    <t>Relais (payé)</t>
  </si>
  <si>
    <t>Nb Colis</t>
  </si>
  <si>
    <t>Tournées</t>
  </si>
  <si>
    <t>14T51</t>
  </si>
  <si>
    <t>14T52</t>
  </si>
  <si>
    <t>14T53</t>
  </si>
  <si>
    <t>14T54</t>
  </si>
  <si>
    <t>14T55</t>
  </si>
  <si>
    <t>14T56</t>
  </si>
  <si>
    <t>14T61</t>
  </si>
  <si>
    <t>14T62</t>
  </si>
  <si>
    <t>99R31</t>
  </si>
  <si>
    <t>LIVREURS</t>
  </si>
  <si>
    <t>TOURNÉES</t>
  </si>
  <si>
    <t>14T63</t>
  </si>
  <si>
    <t>INDICATEURS D'ACTIVITÉ - DÉCOCHÉ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</si>
  <si>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</si>
  <si>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</si>
  <si>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</si>
  <si>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</si>
  <si>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</si>
  <si>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</si>
  <si>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</si>
  <si>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</si>
  <si>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</si>
  <si>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</si>
  <si>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</si>
  <si>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</si>
  <si>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</si>
  <si>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Jonathan</t>
  </si>
  <si>
    <t>Bryan</t>
  </si>
  <si>
    <t>Skandar</t>
  </si>
  <si>
    <t>Sami</t>
  </si>
  <si>
    <t>Théo</t>
  </si>
  <si>
    <t>Matthias</t>
  </si>
  <si>
    <t>Maxime</t>
  </si>
  <si>
    <t>David</t>
  </si>
  <si>
    <t>Julien</t>
  </si>
  <si>
    <t/>
  </si>
  <si>
    <t>Moyenne du taux de points décochés par tournée en 2024</t>
  </si>
  <si>
    <t>Moyenne du taux de points décochés par livreurs en 2024</t>
  </si>
  <si>
    <t>Damien</t>
  </si>
  <si>
    <t xml:space="preserve">Julien </t>
  </si>
  <si>
    <t>Juline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</si>
</sst>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_ * #,##0.00_)\ &quot;€&quot;_ ;_ * \(#,##0.00\)\ &quot;€&quot;_ ;_ * &quot;-&quot;??_)\ &quot;€&quot;_ ;_ @_ "/>
  </numFmts>
  <fonts count="16" x14ac:knownFonts="1"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sz val="12"/>
      <color rgb="FF006100"/>
      <name val="Tahoma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theme="1" tint="0.499984740745262"/>
      </left>
      <right style="thin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/>
      <bottom style="hair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/>
      <bottom style="hair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 style="medium">
        <color theme="0" tint="-0.34998626667073579"/>
      </right>
      <top/>
      <bottom style="medium">
        <color theme="0" tint="-0.34998626667073579"/>
      </bottom>
      <diagonal/>
    </border>
  </borders>
  <cellStyleXfs count="11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5" fillId="0" borderId="0"/>
    <xf numFmtId="0" fontId="6" fillId="0" borderId="0"/>
    <xf numFmtId="0" fontId="7" fillId="0" borderId="0"/>
    <xf numFmtId="9" fontId="8" fillId="0" borderId="0" applyFont="0" applyFill="0" applyBorder="0" applyAlignment="0" applyProtection="0"/>
    <xf numFmtId="0" fontId="8" fillId="0" borderId="0"/>
    <xf numFmtId="0" fontId="8" fillId="0" borderId="0"/>
    <xf numFmtId="165" fontId="8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1" xfId="0" applyBorder="1" applyAlignment="1">
      <alignment horizontal="center" vertical="center"/>
    </xf>
    <xf numFmtId="0" fontId="4" fillId="0" borderId="0" xfId="0" applyFont="1"/>
    <xf numFmtId="0" fontId="11" fillId="0" borderId="0" xfId="0" applyFont="1"/>
    <xf numFmtId="0" fontId="3" fillId="0" borderId="0" xfId="0" applyFont="1" applyAlignment="1">
      <alignment horizontal="center" vertical="center" wrapText="1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4" fontId="0" fillId="0" borderId="0" xfId="0" applyNumberFormat="1" applyAlignment="1" applyProtection="1">
      <alignment horizontal="center" vertical="center"/>
      <protection locked="0"/>
    </xf>
    <xf numFmtId="10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164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4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10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>
      <alignment horizontal="center" vertical="center"/>
    </xf>
    <xf numFmtId="0" fontId="0" fillId="0" borderId="8" xfId="1" applyFont="1" applyBorder="1"/>
    <xf numFmtId="0" fontId="0" fillId="0" borderId="0" xfId="1" applyFont="1"/>
    <xf numFmtId="0" fontId="4" fillId="0" borderId="8" xfId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  <protection locked="0"/>
    </xf>
    <xf numFmtId="10" fontId="0" fillId="0" borderId="1" xfId="6" applyNumberFormat="1" applyFont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 wrapText="1"/>
    </xf>
    <xf numFmtId="0" fontId="10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7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2" fontId="3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Border="1"/>
    <xf numFmtId="0" fontId="0" fillId="0" borderId="5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6" xfId="0" applyBorder="1"/>
    <xf numFmtId="0" fontId="0" fillId="0" borderId="0" xfId="0" applyBorder="1"/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" fontId="0" fillId="0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1" xfId="0" applyNumberFormat="1" applyFill="1" applyBorder="1" applyAlignment="1" applyProtection="1">
      <alignment horizontal="center" vertical="center" wrapText="1"/>
    </xf>
    <xf numFmtId="0" fontId="0" fillId="0" borderId="1" xfId="0" applyNumberFormat="1" applyBorder="1" applyAlignment="1" applyProtection="1">
      <alignment horizontal="center" vertical="center"/>
      <protection locked="0"/>
    </xf>
    <xf numFmtId="10" fontId="0" fillId="0" borderId="1" xfId="6" applyNumberFormat="1" applyFont="1" applyFill="1" applyBorder="1" applyAlignment="1" applyProtection="1">
      <alignment horizontal="center" vertical="center" wrapText="1"/>
      <protection locked="0"/>
    </xf>
    <xf numFmtId="10" fontId="0" fillId="0" borderId="1" xfId="6" applyNumberFormat="1" applyFont="1" applyBorder="1" applyAlignment="1" applyProtection="1">
      <alignment horizontal="center" vertical="center" wrapText="1"/>
    </xf>
    <xf numFmtId="0" fontId="13" fillId="4" borderId="0" xfId="0" applyFont="1" applyFill="1" applyAlignment="1">
      <alignment horizontal="center" vertical="center"/>
    </xf>
    <xf numFmtId="0" fontId="0" fillId="0" borderId="16" xfId="0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12" fillId="5" borderId="22" xfId="0" applyFont="1" applyFill="1" applyBorder="1" applyAlignment="1">
      <alignment horizontal="center"/>
    </xf>
    <xf numFmtId="0" fontId="12" fillId="5" borderId="23" xfId="0" applyFont="1" applyFill="1" applyBorder="1" applyAlignment="1">
      <alignment horizontal="center"/>
    </xf>
    <xf numFmtId="0" fontId="12" fillId="3" borderId="24" xfId="0" applyFont="1" applyFill="1" applyBorder="1" applyAlignment="1">
      <alignment horizontal="center"/>
    </xf>
    <xf numFmtId="0" fontId="12" fillId="4" borderId="25" xfId="0" applyFont="1" applyFill="1" applyBorder="1" applyAlignment="1">
      <alignment horizontal="center"/>
    </xf>
    <xf numFmtId="0" fontId="12" fillId="4" borderId="26" xfId="0" applyFont="1" applyFill="1" applyBorder="1" applyAlignment="1">
      <alignment horizontal="center"/>
    </xf>
    <xf numFmtId="0" fontId="12" fillId="4" borderId="27" xfId="0" applyFont="1" applyFill="1" applyBorder="1" applyAlignment="1">
      <alignment horizontal="center"/>
    </xf>
    <xf numFmtId="0" fontId="13" fillId="4" borderId="0" xfId="0" applyFont="1" applyFill="1" applyAlignment="1">
      <alignment horizontal="center" vertical="center"/>
    </xf>
    <xf numFmtId="10" fontId="0" fillId="0" borderId="17" xfId="6" applyNumberFormat="1" applyFont="1" applyBorder="1" applyAlignment="1">
      <alignment horizontal="center"/>
    </xf>
    <xf numFmtId="10" fontId="0" fillId="6" borderId="20" xfId="6" applyNumberFormat="1" applyFont="1" applyFill="1" applyBorder="1" applyAlignment="1">
      <alignment horizontal="center"/>
    </xf>
    <xf numFmtId="10" fontId="0" fillId="6" borderId="18" xfId="6" applyNumberFormat="1" applyFont="1" applyFill="1" applyBorder="1" applyAlignment="1">
      <alignment horizontal="center"/>
    </xf>
    <xf numFmtId="10" fontId="0" fillId="6" borderId="21" xfId="6" applyNumberFormat="1" applyFont="1" applyFill="1" applyBorder="1" applyAlignment="1">
      <alignment horizontal="center"/>
    </xf>
    <xf numFmtId="0" fontId="10" fillId="0" borderId="0" xfId="0" applyFont="1" applyBorder="1" applyAlignment="1">
      <alignment vertical="center"/>
    </xf>
    <xf numFmtId="0" fontId="14" fillId="7" borderId="28" xfId="0" applyFont="1" applyFill="1" applyBorder="1" applyAlignment="1">
      <alignment horizontal="center" vertical="center"/>
    </xf>
    <xf numFmtId="0" fontId="14" fillId="7" borderId="29" xfId="0" applyFont="1" applyFill="1" applyBorder="1" applyAlignment="1">
      <alignment horizontal="center" vertical="center"/>
    </xf>
    <xf numFmtId="0" fontId="14" fillId="7" borderId="28" xfId="10" applyFont="1" applyFill="1" applyBorder="1" applyAlignment="1">
      <alignment horizontal="center" vertical="center" wrapText="1"/>
    </xf>
    <xf numFmtId="0" fontId="14" fillId="7" borderId="28" xfId="0" applyFont="1" applyFill="1" applyBorder="1" applyAlignment="1">
      <alignment horizontal="center" vertical="center" wrapText="1"/>
    </xf>
    <xf numFmtId="0" fontId="14" fillId="7" borderId="29" xfId="0" applyFont="1" applyFill="1" applyBorder="1" applyAlignment="1">
      <alignment horizontal="center" vertical="center" wrapText="1"/>
    </xf>
    <xf numFmtId="0" fontId="11" fillId="0" borderId="0" xfId="0" applyFont="1" applyFill="1" applyBorder="1"/>
  </cellXfs>
  <cellStyles count="11">
    <cellStyle name="Lien hypertexte" xfId="10" builtinId="8"/>
    <cellStyle name="Monétaire 5 2" xfId="9" xr:uid="{00000000-0005-0000-0000-000001000000}"/>
    <cellStyle name="Normal" xfId="0" builtinId="0"/>
    <cellStyle name="Normal 11 2" xfId="5" xr:uid="{00000000-0005-0000-0000-000003000000}"/>
    <cellStyle name="Normal 2" xfId="1" xr:uid="{00000000-0005-0000-0000-000004000000}"/>
    <cellStyle name="Normal 25" xfId="7" xr:uid="{00000000-0005-0000-0000-000005000000}"/>
    <cellStyle name="Normal 25 2" xfId="8" xr:uid="{00000000-0005-0000-0000-000006000000}"/>
    <cellStyle name="Normal 3" xfId="3" xr:uid="{00000000-0005-0000-0000-000007000000}"/>
    <cellStyle name="Normal 4" xfId="4" xr:uid="{00000000-0005-0000-0000-000008000000}"/>
    <cellStyle name="Pourcentage" xfId="6" builtinId="5"/>
    <cellStyle name="Satisfaisant 2" xfId="2" xr:uid="{00000000-0005-0000-0000-00000A000000}"/>
  </cellStyles>
  <dxfs count="65"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color theme="1"/>
      </font>
      <fill>
        <patternFill>
          <bgColor theme="4" tint="0.79998168889431442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color theme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fgColor theme="6" tint="0.39994506668294322"/>
          <bgColor theme="6" tint="0.39994506668294322"/>
        </patternFill>
      </fill>
    </dxf>
    <dxf>
      <fill>
        <patternFill patternType="solid">
          <fgColor theme="0" tint="-0.24994659260841701"/>
          <bgColor theme="0" tint="-0.24994659260841701"/>
        </patternFill>
      </fill>
    </dxf>
    <dxf>
      <fill>
        <patternFill patternType="lightUp">
          <f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border>
        <bottom style="thin">
          <color auto="1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4F81BD"/>
      <color rgb="FFFFFFCC"/>
      <color rgb="FFF7E597"/>
      <color rgb="FFABDDB3"/>
      <color rgb="FF66FF33"/>
      <color rgb="FFFF00FF"/>
      <color rgb="FF00CC99"/>
      <color rgb="FFCCFFCC"/>
      <color rgb="FF66FF99"/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Janvier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Décoché!$B$7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Décoché!$C$7:$L$7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F6-431B-ABA5-5E4CB6C80C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Février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Décoché!$C$8:$L$8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Décoché!$C$7:$L$7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E3-4F16-872E-6CD7A2CB02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Mars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Décoché!$B$9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Décoché!$C$9:$L$9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21-429C-AA93-471EDF547E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Avril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Décoché!$B$10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Décoché!$C$10:$L$10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B5-4927-8C2E-2BB84811A9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Mai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Décoché!$B$11</c:f>
              <c:strCache>
                <c:ptCount val="1"/>
                <c:pt idx="0">
                  <c:v>MAI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Décoché!$C$11:$L$11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49-467D-BB6A-7419980158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Juin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Décoché!$B$12</c:f>
              <c:strCache>
                <c:ptCount val="1"/>
                <c:pt idx="0">
                  <c:v>JUIN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Décoché!$C$12:$L$12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46C-4AB5-97E6-47D2FA5E11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Juillet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Décoché!$B$13</c:f>
              <c:strCache>
                <c:ptCount val="1"/>
                <c:pt idx="0">
                  <c:v>JUILLET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Décoché!$C$13:$L$13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1F2-4039-B56D-21FAA5A1DE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Août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Décoché!$B$14</c:f>
              <c:strCache>
                <c:ptCount val="1"/>
                <c:pt idx="0">
                  <c:v>AOÛT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Décoché!$C$14:$L$14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E9-40CB-AFE8-DA8583A972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Septembre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Décoché!$B$15</c:f>
              <c:strCache>
                <c:ptCount val="1"/>
                <c:pt idx="0">
                  <c:v>SEPTEMBRE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Décoché!$C$15:$L$15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9F-49EB-8470-3E3F230D2C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Octobre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Décoché!$B$16</c:f>
              <c:strCache>
                <c:ptCount val="1"/>
                <c:pt idx="0">
                  <c:v>OCTOBRE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Décoché!$C$16:$L$16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61-46DA-BF18-510F659E38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Novembre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Décoché!$B$17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Décoché!$C$17:$L$17</c:f>
              <c:numCache>
                <c:formatCode>0.00%</c:formatCode>
                <c:ptCount val="10"/>
                <c:pt idx="0">
                  <c:v>6.8633333333333338E-2</c:v>
                </c:pt>
                <c:pt idx="1">
                  <c:v>5.7925000000000004E-2</c:v>
                </c:pt>
                <c:pt idx="2">
                  <c:v>1.6500000000000001E-2</c:v>
                </c:pt>
                <c:pt idx="3">
                  <c:v>0.13085000000000002</c:v>
                </c:pt>
                <c:pt idx="4">
                  <c:v>2.7833333333333331E-2</c:v>
                </c:pt>
                <c:pt idx="5">
                  <c:v>1.925E-2</c:v>
                </c:pt>
                <c:pt idx="6">
                  <c:v>6.5874999999999989E-2</c:v>
                </c:pt>
                <c:pt idx="7">
                  <c:v>7.3075000000000001E-2</c:v>
                </c:pt>
                <c:pt idx="8">
                  <c:v>0.10009999999999999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F0-4708-9B80-A428B40A04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Décembre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Décoché!$B$18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Décoché!$C$18:$L$18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64-4B43-A7C6-024AAD522C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Année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Décoché!$B$19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Décoché!$C$19:$L$19</c:f>
              <c:numCache>
                <c:formatCode>0.00%</c:formatCode>
                <c:ptCount val="10"/>
                <c:pt idx="0">
                  <c:v>6.8633333333333338E-2</c:v>
                </c:pt>
                <c:pt idx="1">
                  <c:v>5.7925000000000004E-2</c:v>
                </c:pt>
                <c:pt idx="2">
                  <c:v>1.6500000000000001E-2</c:v>
                </c:pt>
                <c:pt idx="3">
                  <c:v>0.13085000000000002</c:v>
                </c:pt>
                <c:pt idx="4">
                  <c:v>2.7833333333333331E-2</c:v>
                </c:pt>
                <c:pt idx="5">
                  <c:v>1.925E-2</c:v>
                </c:pt>
                <c:pt idx="6">
                  <c:v>6.5874999999999989E-2</c:v>
                </c:pt>
                <c:pt idx="7">
                  <c:v>7.3075000000000001E-2</c:v>
                </c:pt>
                <c:pt idx="8">
                  <c:v>0.10009999999999999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F8-4300-BA01-59F30E0589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14T51 -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Décoché!$C$6</c:f>
              <c:strCache>
                <c:ptCount val="1"/>
                <c:pt idx="0">
                  <c:v>14T51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Décoché!$C$7:$C$18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6.8633333333333338E-2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A8-4C14-B509-963C91CD1F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14T52 -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Décoché!$D$6</c:f>
              <c:strCache>
                <c:ptCount val="1"/>
                <c:pt idx="0">
                  <c:v>14T52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Décoché!$D$7:$D$18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5.7925000000000004E-2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59-4379-B828-4E28B097D1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14T53 -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Décoché!$E$6</c:f>
              <c:strCache>
                <c:ptCount val="1"/>
                <c:pt idx="0">
                  <c:v>14T53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Décoché!$E$7:$E$18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1.6500000000000001E-2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43-4BC8-86CB-8237828AF1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14T54 -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Décoché!$F$6</c:f>
              <c:strCache>
                <c:ptCount val="1"/>
                <c:pt idx="0">
                  <c:v>14T54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Décoché!$F$7:$F$18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0.13085000000000002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754-4B45-9228-239C58D818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14T55 -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Décoché!$G$6</c:f>
              <c:strCache>
                <c:ptCount val="1"/>
                <c:pt idx="0">
                  <c:v>14T55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Décoché!$G$7:$G$18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2.7833333333333331E-2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9EA-487E-80C9-C7E00B6AB7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14T56 -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Décoché!$H$6</c:f>
              <c:strCache>
                <c:ptCount val="1"/>
                <c:pt idx="0">
                  <c:v>14T56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Décoché!$H$7:$H$18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1.925E-2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14-40EE-AB71-5F421B21E2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14T61 -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Décoché!$I$6</c:f>
              <c:strCache>
                <c:ptCount val="1"/>
                <c:pt idx="0">
                  <c:v>14T61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Décoché!$I$7:$I$18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6.5874999999999989E-2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BF-4A20-B547-8FAFF3A91F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14T62 -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Décoché!$J$6</c:f>
              <c:strCache>
                <c:ptCount val="1"/>
                <c:pt idx="0">
                  <c:v>14T62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Décoché!$J$7:$J$18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7.3075000000000001E-2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B3-4352-B34A-E313D40FA3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14T63 -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Décoché!$K$6</c:f>
              <c:strCache>
                <c:ptCount val="1"/>
                <c:pt idx="0">
                  <c:v>14T63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Décoché!$K$7:$K$18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0.10009999999999999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867-485B-9A4B-59538EC091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99R31 -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Décoché!$L$6</c:f>
              <c:strCache>
                <c:ptCount val="1"/>
                <c:pt idx="0">
                  <c:v>99R31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Décoché!$L$7:$L$18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EDA-4A2F-B388-0ADD7A3039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71440</xdr:colOff>
      <xdr:row>0</xdr:row>
      <xdr:rowOff>89959</xdr:rowOff>
    </xdr:from>
    <xdr:to>
      <xdr:col>4</xdr:col>
      <xdr:colOff>166688</xdr:colOff>
      <xdr:row>9</xdr:row>
      <xdr:rowOff>47626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412E235B-1770-25DF-A972-DE66463896A5}"/>
            </a:ext>
          </a:extLst>
        </xdr:cNvPr>
        <xdr:cNvGrpSpPr/>
      </xdr:nvGrpSpPr>
      <xdr:grpSpPr>
        <a:xfrm>
          <a:off x="317503" y="89959"/>
          <a:ext cx="1555748" cy="1672167"/>
          <a:chOff x="1428753" y="145521"/>
          <a:chExt cx="1555748" cy="1672167"/>
        </a:xfrm>
      </xdr:grpSpPr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3A738D8D-6E93-40D3-BF93-EC3E9F1855BD}"/>
              </a:ext>
            </a:extLst>
          </xdr:cNvPr>
          <xdr:cNvSpPr txBox="1"/>
        </xdr:nvSpPr>
        <xdr:spPr>
          <a:xfrm>
            <a:off x="1428753" y="145521"/>
            <a:ext cx="1555748" cy="167216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VUES FILTRÉES</a:t>
            </a:r>
            <a:endParaRPr lang="fr-FR">
              <a:effectLst/>
            </a:endParaRPr>
          </a:p>
          <a:p>
            <a:pPr algn="ctr"/>
            <a:r>
              <a:rPr lang="fr-FR" sz="110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Sélectionner vos </a:t>
            </a:r>
            <a:endParaRPr lang="fr-FR">
              <a:effectLst/>
            </a:endParaRPr>
          </a:p>
          <a:p>
            <a:pPr algn="ctr"/>
            <a:r>
              <a:rPr lang="fr-FR" sz="110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critères de recherche :</a:t>
            </a:r>
            <a:endParaRPr lang="fr-FR" sz="1100"/>
          </a:p>
          <a:p>
            <a:endParaRPr lang="fr-FR" sz="1100"/>
          </a:p>
          <a:p>
            <a:r>
              <a:rPr lang="fr-FR" sz="1100"/>
              <a:t>Légende</a:t>
            </a:r>
            <a:r>
              <a:rPr lang="fr-FR" sz="1100" baseline="0"/>
              <a:t> :</a:t>
            </a:r>
          </a:p>
          <a:p>
            <a:endParaRPr lang="fr-FR" sz="1050"/>
          </a:p>
          <a:p>
            <a:r>
              <a:rPr lang="fr-FR" sz="1100" baseline="0"/>
              <a:t>          Suppression filtre</a:t>
            </a:r>
          </a:p>
          <a:p>
            <a:endParaRPr lang="fr-FR" sz="1100" baseline="0"/>
          </a:p>
          <a:p>
            <a:r>
              <a:rPr lang="fr-FR" sz="1100" baseline="0"/>
              <a:t>          Sélection multiple</a:t>
            </a:r>
            <a:endParaRPr lang="fr-FR" sz="1100"/>
          </a:p>
        </xdr:txBody>
      </xdr:sp>
      <xdr:pic>
        <xdr:nvPicPr>
          <xdr:cNvPr id="3" name="Image 2">
            <a:extLst>
              <a:ext uri="{FF2B5EF4-FFF2-40B4-BE49-F238E27FC236}">
                <a16:creationId xmlns:a16="http://schemas.microsoft.com/office/drawing/2014/main" id="{ADE6462F-54B5-4EA4-ABB3-24357549DD6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rightnessContrast contrast="-40000"/>
                    </a14:imgEffect>
                  </a14:imgLayer>
                </a14:imgProps>
              </a:ext>
            </a:extLst>
          </a:blip>
          <a:stretch>
            <a:fillRect/>
          </a:stretch>
        </xdr:blipFill>
        <xdr:spPr>
          <a:xfrm>
            <a:off x="1521356" y="1132419"/>
            <a:ext cx="312207" cy="317499"/>
          </a:xfrm>
          <a:prstGeom prst="rect">
            <a:avLst/>
          </a:prstGeom>
        </xdr:spPr>
      </xdr:pic>
      <xdr:pic>
        <xdr:nvPicPr>
          <xdr:cNvPr id="4" name="Image 3">
            <a:extLst>
              <a:ext uri="{FF2B5EF4-FFF2-40B4-BE49-F238E27FC236}">
                <a16:creationId xmlns:a16="http://schemas.microsoft.com/office/drawing/2014/main" id="{9BE2DC78-2B12-4094-9E44-8CA51683062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1521358" y="1497542"/>
            <a:ext cx="328080" cy="259031"/>
          </a:xfrm>
          <a:prstGeom prst="rect">
            <a:avLst/>
          </a:prstGeom>
        </xdr:spPr>
      </xdr:pic>
    </xdr:grpSp>
    <xdr:clientData/>
  </xdr:twoCellAnchor>
  <xdr:twoCellAnchor editAs="absolute">
    <xdr:from>
      <xdr:col>5</xdr:col>
      <xdr:colOff>547764</xdr:colOff>
      <xdr:row>0</xdr:row>
      <xdr:rowOff>90488</xdr:rowOff>
    </xdr:from>
    <xdr:to>
      <xdr:col>7</xdr:col>
      <xdr:colOff>166686</xdr:colOff>
      <xdr:row>9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Filiale">
              <a:extLst>
                <a:ext uri="{FF2B5EF4-FFF2-40B4-BE49-F238E27FC236}">
                  <a16:creationId xmlns:a16="http://schemas.microsoft.com/office/drawing/2014/main" id="{E95DBE24-44CB-7483-D80E-5454E3AC96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ilia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95764" y="90488"/>
              <a:ext cx="1198485" cy="167163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253847</xdr:colOff>
      <xdr:row>0</xdr:row>
      <xdr:rowOff>101074</xdr:rowOff>
    </xdr:from>
    <xdr:to>
      <xdr:col>5</xdr:col>
      <xdr:colOff>477006</xdr:colOff>
      <xdr:row>9</xdr:row>
      <xdr:rowOff>46116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Pilote offre">
              <a:extLst>
                <a:ext uri="{FF2B5EF4-FFF2-40B4-BE49-F238E27FC236}">
                  <a16:creationId xmlns:a16="http://schemas.microsoft.com/office/drawing/2014/main" id="{F262CF76-DD9E-1609-A29D-A02DBE3ED9D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lote off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60410" y="101074"/>
              <a:ext cx="1564596" cy="165954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19</xdr:col>
      <xdr:colOff>49212</xdr:colOff>
      <xdr:row>0</xdr:row>
      <xdr:rowOff>84665</xdr:rowOff>
    </xdr:from>
    <xdr:to>
      <xdr:col>20</xdr:col>
      <xdr:colOff>134938</xdr:colOff>
      <xdr:row>3</xdr:row>
      <xdr:rowOff>127000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51972295-CB49-CADF-4F23-49EB5E316152}"/>
            </a:ext>
          </a:extLst>
        </xdr:cNvPr>
        <xdr:cNvGrpSpPr/>
      </xdr:nvGrpSpPr>
      <xdr:grpSpPr>
        <a:xfrm>
          <a:off x="13249275" y="84665"/>
          <a:ext cx="800101" cy="613835"/>
          <a:chOff x="12939712" y="76728"/>
          <a:chExt cx="800101" cy="613835"/>
        </a:xfrm>
      </xdr:grpSpPr>
      <xdr:sp macro="" textlink="">
        <xdr:nvSpPr>
          <xdr:cNvPr id="12" name="ZoneTexte 11">
            <a:extLst>
              <a:ext uri="{FF2B5EF4-FFF2-40B4-BE49-F238E27FC236}">
                <a16:creationId xmlns:a16="http://schemas.microsoft.com/office/drawing/2014/main" id="{B1BEF3E6-6062-433C-8F39-D5065A30D2F7}"/>
              </a:ext>
            </a:extLst>
          </xdr:cNvPr>
          <xdr:cNvSpPr txBox="1"/>
        </xdr:nvSpPr>
        <xdr:spPr>
          <a:xfrm>
            <a:off x="12939712" y="76728"/>
            <a:ext cx="800101" cy="61383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LÉGENDE</a:t>
            </a:r>
            <a:endParaRPr lang="fr-FR">
              <a:effectLst/>
            </a:endParaRPr>
          </a:p>
          <a:p>
            <a:r>
              <a:rPr lang="fr-FR" sz="1100"/>
              <a:t>          &lt; 5%</a:t>
            </a:r>
            <a:endParaRPr lang="fr-FR" sz="1050"/>
          </a:p>
          <a:p>
            <a:r>
              <a:rPr lang="fr-FR" sz="1100" baseline="0"/>
              <a:t>          &gt; 5%</a:t>
            </a:r>
          </a:p>
        </xdr:txBody>
      </xdr:sp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6EDEA5BE-0CE1-12BC-2E19-EE6E44FFE802}"/>
              </a:ext>
            </a:extLst>
          </xdr:cNvPr>
          <xdr:cNvGrpSpPr/>
        </xdr:nvGrpSpPr>
        <xdr:grpSpPr>
          <a:xfrm>
            <a:off x="12998054" y="321469"/>
            <a:ext cx="278209" cy="285749"/>
            <a:chOff x="13005991" y="496094"/>
            <a:chExt cx="278209" cy="285749"/>
          </a:xfrm>
        </xdr:grpSpPr>
        <xdr:sp macro="" textlink="">
          <xdr:nvSpPr>
            <xdr:cNvPr id="14" name="ZoneTexte 13">
              <a:extLst>
                <a:ext uri="{FF2B5EF4-FFF2-40B4-BE49-F238E27FC236}">
                  <a16:creationId xmlns:a16="http://schemas.microsoft.com/office/drawing/2014/main" id="{8CBC956E-A7BF-4523-8883-19C8DB7E0160}"/>
                </a:ext>
              </a:extLst>
            </xdr:cNvPr>
            <xdr:cNvSpPr txBox="1"/>
          </xdr:nvSpPr>
          <xdr:spPr>
            <a:xfrm>
              <a:off x="13006388" y="662780"/>
              <a:ext cx="271859" cy="119063"/>
            </a:xfrm>
            <a:prstGeom prst="rect">
              <a:avLst/>
            </a:prstGeom>
            <a:solidFill>
              <a:schemeClr val="accent2">
                <a:lumMod val="60000"/>
                <a:lumOff val="40000"/>
              </a:schemeClr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 sz="1100"/>
            </a:p>
          </xdr:txBody>
        </xdr:sp>
        <xdr:sp macro="" textlink="">
          <xdr:nvSpPr>
            <xdr:cNvPr id="15" name="ZoneTexte 14">
              <a:extLst>
                <a:ext uri="{FF2B5EF4-FFF2-40B4-BE49-F238E27FC236}">
                  <a16:creationId xmlns:a16="http://schemas.microsoft.com/office/drawing/2014/main" id="{37104400-64D8-4287-B77A-8F8AA2A50B6B}"/>
                </a:ext>
              </a:extLst>
            </xdr:cNvPr>
            <xdr:cNvSpPr txBox="1"/>
          </xdr:nvSpPr>
          <xdr:spPr>
            <a:xfrm>
              <a:off x="13005991" y="496094"/>
              <a:ext cx="278209" cy="119062"/>
            </a:xfrm>
            <a:prstGeom prst="rect">
              <a:avLst/>
            </a:prstGeom>
            <a:solidFill>
              <a:schemeClr val="accent3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 sz="1100"/>
            </a:p>
          </xdr:txBody>
        </xdr:sp>
      </xdr:grpSp>
    </xdr:grpSp>
    <xdr:clientData/>
  </xdr:twoCellAnchor>
  <xdr:twoCellAnchor editAs="absolute">
    <xdr:from>
      <xdr:col>7</xdr:col>
      <xdr:colOff>248330</xdr:colOff>
      <xdr:row>0</xdr:row>
      <xdr:rowOff>82776</xdr:rowOff>
    </xdr:from>
    <xdr:to>
      <xdr:col>9</xdr:col>
      <xdr:colOff>17009</xdr:colOff>
      <xdr:row>9</xdr:row>
      <xdr:rowOff>39687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8" name="Mois">
              <a:extLst>
                <a:ext uri="{FF2B5EF4-FFF2-40B4-BE49-F238E27FC236}">
                  <a16:creationId xmlns:a16="http://schemas.microsoft.com/office/drawing/2014/main" id="{26EC939B-1784-7BAD-F690-5947760CB03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75893" y="82776"/>
              <a:ext cx="1197429" cy="167141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285751</xdr:colOff>
      <xdr:row>4</xdr:row>
      <xdr:rowOff>0</xdr:rowOff>
    </xdr:from>
    <xdr:to>
      <xdr:col>5</xdr:col>
      <xdr:colOff>285751</xdr:colOff>
      <xdr:row>18</xdr:row>
      <xdr:rowOff>53975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1654B72-34A3-4734-B27B-A7E7B5CF893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363007</xdr:colOff>
      <xdr:row>4</xdr:row>
      <xdr:rowOff>1058</xdr:rowOff>
    </xdr:from>
    <xdr:to>
      <xdr:col>10</xdr:col>
      <xdr:colOff>361950</xdr:colOff>
      <xdr:row>18</xdr:row>
      <xdr:rowOff>55033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0DC6F63-491E-4DCE-BD31-AC9D1D6B895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438149</xdr:colOff>
      <xdr:row>4</xdr:row>
      <xdr:rowOff>1059</xdr:rowOff>
    </xdr:from>
    <xdr:to>
      <xdr:col>15</xdr:col>
      <xdr:colOff>438150</xdr:colOff>
      <xdr:row>18</xdr:row>
      <xdr:rowOff>55034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2F7B244-2C1C-4BC0-982C-ECD5FF1304E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267758</xdr:colOff>
      <xdr:row>19</xdr:row>
      <xdr:rowOff>11642</xdr:rowOff>
    </xdr:from>
    <xdr:to>
      <xdr:col>5</xdr:col>
      <xdr:colOff>285750</xdr:colOff>
      <xdr:row>33</xdr:row>
      <xdr:rowOff>65617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E7E3976-0C12-4C18-8236-B251155502E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371475</xdr:colOff>
      <xdr:row>19</xdr:row>
      <xdr:rowOff>2117</xdr:rowOff>
    </xdr:from>
    <xdr:to>
      <xdr:col>10</xdr:col>
      <xdr:colOff>361951</xdr:colOff>
      <xdr:row>33</xdr:row>
      <xdr:rowOff>56092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94CC2CB-AD97-438F-BDB7-3C8E736C2C8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</xdr:col>
      <xdr:colOff>449791</xdr:colOff>
      <xdr:row>19</xdr:row>
      <xdr:rowOff>1058</xdr:rowOff>
    </xdr:from>
    <xdr:to>
      <xdr:col>15</xdr:col>
      <xdr:colOff>438150</xdr:colOff>
      <xdr:row>33</xdr:row>
      <xdr:rowOff>55033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291F3771-7515-41EB-BF9C-A106451AB72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267758</xdr:colOff>
      <xdr:row>34</xdr:row>
      <xdr:rowOff>2118</xdr:rowOff>
    </xdr:from>
    <xdr:to>
      <xdr:col>5</xdr:col>
      <xdr:colOff>276226</xdr:colOff>
      <xdr:row>48</xdr:row>
      <xdr:rowOff>56093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D085C3D-054C-4A25-9B8B-0D701583135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</xdr:col>
      <xdr:colOff>381000</xdr:colOff>
      <xdr:row>34</xdr:row>
      <xdr:rowOff>11642</xdr:rowOff>
    </xdr:from>
    <xdr:to>
      <xdr:col>10</xdr:col>
      <xdr:colOff>352426</xdr:colOff>
      <xdr:row>48</xdr:row>
      <xdr:rowOff>65617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9C665AED-FAD7-48AE-A0F0-0125ECC8D87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10</xdr:col>
      <xdr:colOff>447675</xdr:colOff>
      <xdr:row>34</xdr:row>
      <xdr:rowOff>1058</xdr:rowOff>
    </xdr:from>
    <xdr:to>
      <xdr:col>15</xdr:col>
      <xdr:colOff>457200</xdr:colOff>
      <xdr:row>48</xdr:row>
      <xdr:rowOff>55033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A1C98817-1540-4A63-834A-297F1C2C53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247649</xdr:colOff>
      <xdr:row>49</xdr:row>
      <xdr:rowOff>10584</xdr:rowOff>
    </xdr:from>
    <xdr:to>
      <xdr:col>5</xdr:col>
      <xdr:colOff>266700</xdr:colOff>
      <xdr:row>63</xdr:row>
      <xdr:rowOff>64559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B0EE2C7C-964E-4342-82D4-7FBDA67C86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5</xdr:col>
      <xdr:colOff>371476</xdr:colOff>
      <xdr:row>49</xdr:row>
      <xdr:rowOff>10583</xdr:rowOff>
    </xdr:from>
    <xdr:to>
      <xdr:col>10</xdr:col>
      <xdr:colOff>352426</xdr:colOff>
      <xdr:row>63</xdr:row>
      <xdr:rowOff>64558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55A5B2A-8CDE-43E8-A303-5CD7D21CA64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10</xdr:col>
      <xdr:colOff>447676</xdr:colOff>
      <xdr:row>49</xdr:row>
      <xdr:rowOff>11640</xdr:rowOff>
    </xdr:from>
    <xdr:to>
      <xdr:col>15</xdr:col>
      <xdr:colOff>447676</xdr:colOff>
      <xdr:row>63</xdr:row>
      <xdr:rowOff>65615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D9DDFAE1-3C2F-4122-89C7-24D1C72191E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15</xdr:col>
      <xdr:colOff>506942</xdr:colOff>
      <xdr:row>4</xdr:row>
      <xdr:rowOff>2117</xdr:rowOff>
    </xdr:from>
    <xdr:to>
      <xdr:col>20</xdr:col>
      <xdr:colOff>504826</xdr:colOff>
      <xdr:row>18</xdr:row>
      <xdr:rowOff>56092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2DAFB1CF-FB9C-486F-8D97-85A4C27A95D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219075</xdr:colOff>
      <xdr:row>69</xdr:row>
      <xdr:rowOff>0</xdr:rowOff>
    </xdr:from>
    <xdr:to>
      <xdr:col>5</xdr:col>
      <xdr:colOff>161925</xdr:colOff>
      <xdr:row>83</xdr:row>
      <xdr:rowOff>53975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7328994-48DA-47F7-B60F-173512CE086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5</xdr:col>
      <xdr:colOff>257175</xdr:colOff>
      <xdr:row>69</xdr:row>
      <xdr:rowOff>9525</xdr:rowOff>
    </xdr:from>
    <xdr:to>
      <xdr:col>10</xdr:col>
      <xdr:colOff>200025</xdr:colOff>
      <xdr:row>83</xdr:row>
      <xdr:rowOff>63500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59937144-3C72-494B-AE34-9CC5B41C419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10</xdr:col>
      <xdr:colOff>295275</xdr:colOff>
      <xdr:row>69</xdr:row>
      <xdr:rowOff>9525</xdr:rowOff>
    </xdr:from>
    <xdr:to>
      <xdr:col>15</xdr:col>
      <xdr:colOff>238125</xdr:colOff>
      <xdr:row>83</xdr:row>
      <xdr:rowOff>63500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4DBBD3EA-2BF5-4B8E-9F80-9EBDD383BEE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0</xdr:col>
      <xdr:colOff>219075</xdr:colOff>
      <xdr:row>84</xdr:row>
      <xdr:rowOff>0</xdr:rowOff>
    </xdr:from>
    <xdr:to>
      <xdr:col>5</xdr:col>
      <xdr:colOff>161925</xdr:colOff>
      <xdr:row>98</xdr:row>
      <xdr:rowOff>53975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27CEA582-6C52-4F87-8227-C7237C9DB9A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5</xdr:col>
      <xdr:colOff>266700</xdr:colOff>
      <xdr:row>84</xdr:row>
      <xdr:rowOff>0</xdr:rowOff>
    </xdr:from>
    <xdr:to>
      <xdr:col>10</xdr:col>
      <xdr:colOff>209550</xdr:colOff>
      <xdr:row>98</xdr:row>
      <xdr:rowOff>53975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E93032B9-1904-40C9-A6A9-143686875B2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10</xdr:col>
      <xdr:colOff>304800</xdr:colOff>
      <xdr:row>84</xdr:row>
      <xdr:rowOff>0</xdr:rowOff>
    </xdr:from>
    <xdr:to>
      <xdr:col>15</xdr:col>
      <xdr:colOff>247650</xdr:colOff>
      <xdr:row>98</xdr:row>
      <xdr:rowOff>53975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E4DE4E85-0524-4CF7-9010-ED0AC1B586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0</xdr:col>
      <xdr:colOff>219075</xdr:colOff>
      <xdr:row>99</xdr:row>
      <xdr:rowOff>9525</xdr:rowOff>
    </xdr:from>
    <xdr:to>
      <xdr:col>5</xdr:col>
      <xdr:colOff>161925</xdr:colOff>
      <xdr:row>113</xdr:row>
      <xdr:rowOff>63500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340F7E98-B89F-4747-84AF-6BA54DADC35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5</xdr:col>
      <xdr:colOff>285750</xdr:colOff>
      <xdr:row>99</xdr:row>
      <xdr:rowOff>9525</xdr:rowOff>
    </xdr:from>
    <xdr:to>
      <xdr:col>10</xdr:col>
      <xdr:colOff>228600</xdr:colOff>
      <xdr:row>113</xdr:row>
      <xdr:rowOff>63500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4E2AD491-A936-44A6-BDB4-AE4D078A486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10</xdr:col>
      <xdr:colOff>333375</xdr:colOff>
      <xdr:row>99</xdr:row>
      <xdr:rowOff>0</xdr:rowOff>
    </xdr:from>
    <xdr:to>
      <xdr:col>15</xdr:col>
      <xdr:colOff>276225</xdr:colOff>
      <xdr:row>113</xdr:row>
      <xdr:rowOff>53975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3075BCDD-9598-4CBB-9671-369558B8D1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0</xdr:col>
      <xdr:colOff>219075</xdr:colOff>
      <xdr:row>114</xdr:row>
      <xdr:rowOff>9525</xdr:rowOff>
    </xdr:from>
    <xdr:to>
      <xdr:col>5</xdr:col>
      <xdr:colOff>161925</xdr:colOff>
      <xdr:row>128</xdr:row>
      <xdr:rowOff>63500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A39F2AF3-9B9F-4251-9D74-DC64B20CFB3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28575</xdr:rowOff>
    </xdr:from>
    <xdr:to>
      <xdr:col>1</xdr:col>
      <xdr:colOff>295275</xdr:colOff>
      <xdr:row>1</xdr:row>
      <xdr:rowOff>197908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E79099B-10DF-4A3E-A75F-415B9312C382}"/>
            </a:ext>
          </a:extLst>
        </xdr:cNvPr>
        <xdr:cNvSpPr/>
      </xdr:nvSpPr>
      <xdr:spPr>
        <a:xfrm>
          <a:off x="66675" y="28575"/>
          <a:ext cx="1193800" cy="356658"/>
        </a:xfrm>
        <a:prstGeom prst="roundRect">
          <a:avLst/>
        </a:prstGeom>
        <a:solidFill>
          <a:schemeClr val="accent1">
            <a:lumMod val="75000"/>
          </a:schemeClr>
        </a:solidFill>
        <a:ln>
          <a:solidFill>
            <a:schemeClr val="accent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SOMMAIRE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</xdr:wsDr>
</file>

<file path=xl/namedSheetViews/namedSheetView1.xml><?xml version="1.0" encoding="utf-8"?>
<namedSheetViews xmlns="http://schemas.microsoft.com/office/spreadsheetml/2019/namedsheetviews" xmlns:x="http://schemas.openxmlformats.org/spreadsheetml/2006/main" xmlns:mc="http://schemas.openxmlformats.org/markup-compatibility/2006" xmlns:x14="http://schemas.microsoft.com/office/spreadsheetml/2009/9/main" mc:Ignorable="x14"/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iliale" xr10:uid="{00000000-0013-0000-FFFF-FFFF01000000}" sourceName="Tournées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lote_offre" xr10:uid="{00000000-0013-0000-FFFF-FFFF03000000}" sourceName="Livreurs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AE4294B6-6B03-4217-A15A-076C77E4F13A}" sourceName="Mois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iliale" xr10:uid="{00000000-0014-0000-FFFF-FFFF01000000}" cache="Segment_Filiale" caption="Tournées" style="SlicerStyleLight6" rowHeight="241300"/>
  <slicer name="Pilote offre" xr10:uid="{00000000-0014-0000-FFFF-FFFF03000000}" cache="Segment_Pilote_offre" caption="Livreurs" style="SlicerStyleLight3" rowHeight="241300"/>
  <slicer name="Mois" xr10:uid="{ED833F9A-D70D-404F-9C42-C1BB4699073D}" cache="Segment_Mois" caption="Mois" style="SlicerStyleLight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2:T44" totalsRowShown="0" headerRowDxfId="64" dataDxfId="62" headerRowBorderDxfId="63" tableBorderDxfId="61" totalsRowBorderDxfId="60">
  <autoFilter ref="B12:T44" xr:uid="{00000000-0009-0000-0100-000001000000}"/>
  <sortState xmlns:xlrd2="http://schemas.microsoft.com/office/spreadsheetml/2017/richdata2" ref="B13:T43">
    <sortCondition ref="B12:B43"/>
  </sortState>
  <tableColumns count="19">
    <tableColumn id="1" xr3:uid="{00000000-0010-0000-0000-000001000000}" name="Tournées" dataDxfId="59"/>
    <tableColumn id="3" xr3:uid="{00000000-0010-0000-0000-000003000000}" name="Date" dataDxfId="58"/>
    <tableColumn id="2" xr3:uid="{FD2547D3-0E7D-4FEA-9477-2BC90F2A4B6B}" name="Mois" dataDxfId="30">
      <calculatedColumnFormula>IF(C13&lt;&gt;"",UPPER(TEXT(C13,"MMMM")),"")</calculatedColumnFormula>
    </tableColumn>
    <tableColumn id="4" xr3:uid="{00000000-0010-0000-0000-000004000000}" name="Livreurs" dataDxfId="57"/>
    <tableColumn id="5" xr3:uid="{00000000-0010-0000-0000-000005000000}" name="Nb Colis" dataDxfId="56"/>
    <tableColumn id="6" xr3:uid="{00000000-0010-0000-0000-000006000000}" name="Distribués (réel)" dataDxfId="55"/>
    <tableColumn id="7" xr3:uid="{00000000-0010-0000-0000-000007000000}" name="BP (réel)" dataDxfId="54"/>
    <tableColumn id="8" xr3:uid="{00000000-0010-0000-0000-000008000000}" name="Relais (réel)" dataDxfId="53"/>
    <tableColumn id="9" xr3:uid="{00000000-0010-0000-0000-000009000000}" name="Prés. Infruct." dataDxfId="52"/>
    <tableColumn id="10" xr3:uid="{00000000-0010-0000-0000-00000A000000}" name="Anomalie" dataDxfId="51"/>
    <tableColumn id="11" xr3:uid="{00000000-0010-0000-0000-00000B000000}" name="Taux Prés Instruct." dataDxfId="50" dataCellStyle="Pourcentage"/>
    <tableColumn id="12" xr3:uid="{00000000-0010-0000-0000-00000C000000}" name="Taux anomalie" dataDxfId="49" dataCellStyle="Pourcentage"/>
    <tableColumn id="13" xr3:uid="{00000000-0010-0000-0000-00000D000000}" name="Taux décoché" dataDxfId="48" dataCellStyle="Pourcentage"/>
    <tableColumn id="14" xr3:uid="{00000000-0010-0000-0000-00000E000000}" name="Objets en picking" dataDxfId="47"/>
    <tableColumn id="15" xr3:uid="{00000000-0010-0000-0000-00000F000000}" name="Distribués (payé)" dataDxfId="46"/>
    <tableColumn id="16" xr3:uid="{00000000-0010-0000-0000-000010000000}" name="BP (payé)" dataDxfId="45"/>
    <tableColumn id="17" xr3:uid="{00000000-0010-0000-0000-000011000000}" name="Relais (payé)" dataDxfId="44"/>
    <tableColumn id="18" xr3:uid="{00000000-0010-0000-0000-000012000000}" name="Total Points" dataDxfId="43"/>
    <tableColumn id="19" xr3:uid="{00000000-0010-0000-0000-000013000000}" name="Dont Pénalités" dataDxfId="4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A3:A13" totalsRowShown="0" headerRowDxfId="41" dataDxfId="39" headerRowBorderDxfId="40" tableBorderDxfId="38">
  <autoFilter ref="A3:A13" xr:uid="{00000000-0009-0000-0100-000004000000}"/>
  <tableColumns count="1">
    <tableColumn id="1" xr3:uid="{00000000-0010-0000-0100-000001000000}" name="TOURNÉES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B3:B16" totalsRowShown="0" headerRowDxfId="36" dataDxfId="34" headerRowBorderDxfId="35" tableBorderDxfId="33" totalsRowBorderDxfId="32" dataCellStyle="Normal 2">
  <autoFilter ref="B3:B16" xr:uid="{00000000-0009-0000-0100-000007000000}"/>
  <sortState xmlns:xlrd2="http://schemas.microsoft.com/office/spreadsheetml/2017/richdata2" ref="B4:B16">
    <sortCondition ref="B4:B16"/>
  </sortState>
  <tableColumns count="1">
    <tableColumn id="1" xr3:uid="{00000000-0010-0000-0400-000001000000}" name="LIVREURS" dataDxfId="31" dataCellStyle="Normal 2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19/04/relationships/namedSheetView" Target="../namedSheetViews/namedSheetView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tabColor theme="9"/>
    <pageSetUpPr fitToPage="1"/>
  </sheetPr>
  <dimension ref="B1:U44"/>
  <sheetViews>
    <sheetView showGridLines="0" tabSelected="1" view="pageBreakPreview" zoomScale="120" zoomScaleNormal="50" zoomScaleSheetLayoutView="120" workbookViewId="0">
      <pane xSplit="1" ySplit="12" topLeftCell="B16" activePane="bottomRight" state="frozen"/>
      <selection pane="topRight" activeCell="B1" sqref="B1"/>
      <selection pane="bottomLeft" activeCell="A13" sqref="A13"/>
      <selection pane="bottomRight" activeCell="M5" sqref="M5"/>
    </sheetView>
  </sheetViews>
  <sheetFormatPr baseColWidth="10" defaultColWidth="11.42578125" defaultRowHeight="15" x14ac:dyDescent="0.25"/>
  <cols>
    <col min="1" max="1" width="3.7109375" style="5" customWidth="1"/>
    <col min="2" max="2" width="9.5703125" style="6" customWidth="1"/>
    <col min="3" max="3" width="12.42578125" style="7" customWidth="1"/>
    <col min="4" max="4" width="12.42578125" style="7" hidden="1" customWidth="1"/>
    <col min="5" max="5" width="20.140625" style="5" customWidth="1"/>
    <col min="6" max="6" width="13" style="5" customWidth="1"/>
    <col min="7" max="12" width="10.7109375" style="6" customWidth="1"/>
    <col min="13" max="13" width="10.7109375" style="8" customWidth="1"/>
    <col min="14" max="14" width="10.7109375" style="6" customWidth="1"/>
    <col min="15" max="15" width="10.7109375" style="9" customWidth="1"/>
    <col min="16" max="16" width="10.7109375" style="10" customWidth="1"/>
    <col min="17" max="17" width="10.7109375" style="11" customWidth="1"/>
    <col min="18" max="20" width="10.7109375" style="10" customWidth="1"/>
    <col min="21" max="21" width="3.42578125" style="10" customWidth="1"/>
    <col min="22" max="16384" width="11.42578125" style="5"/>
  </cols>
  <sheetData>
    <row r="1" spans="2:21" x14ac:dyDescent="0.25">
      <c r="B1" s="5"/>
      <c r="C1" s="6"/>
      <c r="D1" s="6"/>
      <c r="E1" s="7"/>
      <c r="G1" s="5"/>
      <c r="M1" s="6"/>
      <c r="N1" s="8"/>
      <c r="O1" s="6"/>
      <c r="P1" s="9"/>
      <c r="Q1" s="10"/>
      <c r="R1" s="11"/>
      <c r="U1" s="12"/>
    </row>
    <row r="2" spans="2:21" x14ac:dyDescent="0.25">
      <c r="B2" s="5"/>
      <c r="C2" s="5"/>
      <c r="D2" s="5"/>
      <c r="E2" s="35"/>
      <c r="F2" s="35"/>
      <c r="G2" s="13"/>
      <c r="M2" s="6"/>
      <c r="N2" s="8"/>
      <c r="O2" s="6"/>
      <c r="P2" s="9"/>
      <c r="Q2" s="10"/>
      <c r="R2" s="11"/>
      <c r="U2" s="12"/>
    </row>
    <row r="3" spans="2:21" ht="15" customHeight="1" x14ac:dyDescent="0.25">
      <c r="B3" s="5"/>
      <c r="C3" s="5"/>
      <c r="D3" s="5"/>
      <c r="E3" s="36"/>
      <c r="F3" s="36"/>
      <c r="G3" s="14"/>
      <c r="M3" s="6"/>
      <c r="N3" s="8"/>
      <c r="O3" s="6"/>
      <c r="P3" s="9"/>
      <c r="Q3" s="10"/>
      <c r="R3" s="11"/>
      <c r="U3" s="12"/>
    </row>
    <row r="4" spans="2:21" x14ac:dyDescent="0.25">
      <c r="B4" s="5"/>
      <c r="C4" s="14"/>
      <c r="D4" s="14"/>
      <c r="E4" s="36"/>
      <c r="F4" s="36"/>
      <c r="G4" s="14"/>
      <c r="M4" s="6"/>
      <c r="N4" s="8"/>
      <c r="O4" s="6"/>
      <c r="P4" s="9"/>
      <c r="Q4" s="10"/>
      <c r="R4" s="11"/>
      <c r="U4" s="12"/>
    </row>
    <row r="5" spans="2:21" x14ac:dyDescent="0.25">
      <c r="B5" s="5"/>
      <c r="C5" s="15"/>
      <c r="D5" s="15"/>
      <c r="E5" s="15"/>
      <c r="F5" s="15"/>
      <c r="G5" s="5"/>
      <c r="M5" s="6"/>
      <c r="N5" s="8"/>
      <c r="O5" s="6"/>
      <c r="P5" s="9"/>
      <c r="Q5" s="10"/>
      <c r="R5" s="11"/>
      <c r="U5" s="12"/>
    </row>
    <row r="6" spans="2:21" x14ac:dyDescent="0.25">
      <c r="B6" s="5"/>
      <c r="C6" s="15"/>
      <c r="D6" s="15"/>
      <c r="E6" s="15"/>
      <c r="F6" s="15"/>
      <c r="G6" s="5"/>
      <c r="M6" s="6"/>
      <c r="N6" s="8"/>
      <c r="O6" s="6"/>
      <c r="P6" s="9"/>
      <c r="Q6" s="10"/>
      <c r="R6" s="11"/>
      <c r="U6" s="12"/>
    </row>
    <row r="7" spans="2:21" x14ac:dyDescent="0.25">
      <c r="B7" s="5"/>
      <c r="C7" s="15"/>
      <c r="D7" s="15"/>
      <c r="E7" s="15"/>
      <c r="F7" s="15"/>
      <c r="G7" s="5"/>
      <c r="M7" s="6"/>
      <c r="N7" s="8"/>
      <c r="O7" s="6"/>
      <c r="P7" s="9"/>
      <c r="Q7" s="10"/>
      <c r="R7" s="11"/>
      <c r="U7" s="12"/>
    </row>
    <row r="8" spans="2:21" x14ac:dyDescent="0.25">
      <c r="B8" s="5"/>
      <c r="C8" s="15"/>
      <c r="D8" s="15"/>
      <c r="E8" s="15"/>
      <c r="F8" s="15"/>
      <c r="G8" s="5"/>
      <c r="M8" s="6"/>
      <c r="N8" s="8"/>
      <c r="O8" s="6"/>
      <c r="P8" s="9"/>
      <c r="Q8" s="10"/>
      <c r="R8" s="11"/>
      <c r="U8" s="12"/>
    </row>
    <row r="9" spans="2:21" x14ac:dyDescent="0.25">
      <c r="B9" s="5"/>
      <c r="C9" s="15"/>
      <c r="D9" s="15"/>
      <c r="E9" s="15"/>
      <c r="F9" s="15"/>
      <c r="G9" s="5"/>
      <c r="M9" s="6"/>
      <c r="N9" s="8"/>
      <c r="O9" s="6"/>
      <c r="P9" s="9"/>
      <c r="Q9" s="10"/>
      <c r="R9" s="11"/>
      <c r="U9" s="12"/>
    </row>
    <row r="11" spans="2:21" ht="24" customHeight="1" x14ac:dyDescent="0.25">
      <c r="G11" s="37" t="s">
        <v>13</v>
      </c>
      <c r="H11" s="38"/>
      <c r="I11" s="39"/>
      <c r="J11" s="40" t="s">
        <v>3</v>
      </c>
      <c r="K11" s="41"/>
      <c r="L11" s="41"/>
      <c r="M11" s="41"/>
      <c r="N11" s="41"/>
      <c r="O11" s="42" t="s">
        <v>12</v>
      </c>
      <c r="P11" s="43"/>
      <c r="Q11" s="43"/>
      <c r="R11" s="43"/>
      <c r="S11" s="43"/>
      <c r="T11" s="44"/>
    </row>
    <row r="12" spans="2:21" ht="50.45" customHeight="1" x14ac:dyDescent="0.25">
      <c r="B12" s="16" t="s">
        <v>21</v>
      </c>
      <c r="C12" s="25" t="s">
        <v>2</v>
      </c>
      <c r="D12" s="25" t="s">
        <v>0</v>
      </c>
      <c r="E12" s="18" t="s">
        <v>1</v>
      </c>
      <c r="F12" s="17" t="s">
        <v>20</v>
      </c>
      <c r="G12" s="18" t="s">
        <v>14</v>
      </c>
      <c r="H12" s="17" t="s">
        <v>15</v>
      </c>
      <c r="I12" s="18" t="s">
        <v>16</v>
      </c>
      <c r="J12" s="18" t="s">
        <v>4</v>
      </c>
      <c r="K12" s="18" t="s">
        <v>5</v>
      </c>
      <c r="L12" s="19" t="s">
        <v>6</v>
      </c>
      <c r="M12" s="18" t="s">
        <v>7</v>
      </c>
      <c r="N12" s="20" t="s">
        <v>8</v>
      </c>
      <c r="O12" s="21" t="s">
        <v>9</v>
      </c>
      <c r="P12" s="21" t="s">
        <v>17</v>
      </c>
      <c r="Q12" s="22" t="s">
        <v>18</v>
      </c>
      <c r="R12" s="21" t="s">
        <v>19</v>
      </c>
      <c r="S12" s="21" t="s">
        <v>10</v>
      </c>
      <c r="T12" s="21" t="s">
        <v>11</v>
      </c>
      <c r="U12" s="5"/>
    </row>
    <row r="13" spans="2:21" x14ac:dyDescent="0.25">
      <c r="B13" s="23" t="s">
        <v>23</v>
      </c>
      <c r="C13" s="30">
        <v>45598</v>
      </c>
      <c r="D13" s="1" t="str">
        <f t="shared" ref="D13:D43" si="0">IF(C13&lt;&gt;"",UPPER(TEXT(C13,"MMMM")),"")</f>
        <v>NOVEMBRE</v>
      </c>
      <c r="E13" s="24" t="s">
        <v>51</v>
      </c>
      <c r="F13" s="33">
        <v>163</v>
      </c>
      <c r="G13" s="33">
        <v>36</v>
      </c>
      <c r="H13" s="33">
        <v>0</v>
      </c>
      <c r="I13" s="33">
        <v>9</v>
      </c>
      <c r="J13" s="33">
        <v>2</v>
      </c>
      <c r="K13" s="33">
        <v>1</v>
      </c>
      <c r="L13" s="32">
        <v>4.4400000000000002E-2</v>
      </c>
      <c r="M13" s="32">
        <v>2.2200000000000001E-2</v>
      </c>
      <c r="N13" s="61">
        <f>SUM(Tableau1[[#This Row],[Taux Prés Instruct.]:[Taux anomalie]])</f>
        <v>6.6600000000000006E-2</v>
      </c>
      <c r="O13" s="31">
        <v>130</v>
      </c>
      <c r="P13" s="34">
        <v>34</v>
      </c>
      <c r="Q13" s="31">
        <v>0</v>
      </c>
      <c r="R13" s="31">
        <v>8</v>
      </c>
      <c r="S13" s="31">
        <v>42</v>
      </c>
      <c r="T13" s="31">
        <v>0</v>
      </c>
      <c r="U13" s="5"/>
    </row>
    <row r="14" spans="2:21" x14ac:dyDescent="0.25">
      <c r="B14" s="23" t="s">
        <v>24</v>
      </c>
      <c r="C14" s="30">
        <v>45598</v>
      </c>
      <c r="D14" s="1" t="str">
        <f t="shared" si="0"/>
        <v>NOVEMBRE</v>
      </c>
      <c r="E14" s="24" t="s">
        <v>52</v>
      </c>
      <c r="F14" s="33">
        <v>87</v>
      </c>
      <c r="G14" s="33">
        <v>33</v>
      </c>
      <c r="H14" s="33">
        <v>0</v>
      </c>
      <c r="I14" s="33">
        <v>7</v>
      </c>
      <c r="J14" s="33">
        <v>1</v>
      </c>
      <c r="K14" s="33">
        <v>0</v>
      </c>
      <c r="L14" s="32">
        <v>2.5000000000000001E-2</v>
      </c>
      <c r="M14" s="32">
        <v>0</v>
      </c>
      <c r="N14" s="61">
        <f>SUM(Tableau1[[#This Row],[Taux Prés Instruct.]:[Taux anomalie]])</f>
        <v>2.5000000000000001E-2</v>
      </c>
      <c r="O14" s="31">
        <v>61</v>
      </c>
      <c r="P14" s="34">
        <v>32</v>
      </c>
      <c r="Q14" s="31">
        <v>0</v>
      </c>
      <c r="R14" s="31">
        <v>7</v>
      </c>
      <c r="S14" s="31">
        <v>39</v>
      </c>
      <c r="T14" s="31">
        <v>0</v>
      </c>
      <c r="U14" s="5"/>
    </row>
    <row r="15" spans="2:21" x14ac:dyDescent="0.25">
      <c r="B15" s="23" t="s">
        <v>25</v>
      </c>
      <c r="C15" s="30">
        <v>45598</v>
      </c>
      <c r="D15" s="1" t="str">
        <f t="shared" si="0"/>
        <v>NOVEMBRE</v>
      </c>
      <c r="E15" s="24" t="s">
        <v>53</v>
      </c>
      <c r="F15" s="33">
        <v>86</v>
      </c>
      <c r="G15" s="33">
        <v>32</v>
      </c>
      <c r="H15" s="33">
        <v>0</v>
      </c>
      <c r="I15" s="33">
        <v>2</v>
      </c>
      <c r="J15" s="33">
        <v>0</v>
      </c>
      <c r="K15" s="33">
        <v>1</v>
      </c>
      <c r="L15" s="32">
        <v>0</v>
      </c>
      <c r="M15" s="32">
        <v>2.9399999999999999E-2</v>
      </c>
      <c r="N15" s="61">
        <f>SUM(Tableau1[[#This Row],[Taux Prés Instruct.]:[Taux anomalie]])</f>
        <v>2.9399999999999999E-2</v>
      </c>
      <c r="O15" s="31">
        <v>86</v>
      </c>
      <c r="P15" s="34">
        <v>31</v>
      </c>
      <c r="Q15" s="31">
        <v>0</v>
      </c>
      <c r="R15" s="31">
        <v>2</v>
      </c>
      <c r="S15" s="31">
        <v>33</v>
      </c>
      <c r="T15" s="31">
        <v>0</v>
      </c>
      <c r="U15" s="5"/>
    </row>
    <row r="16" spans="2:21" x14ac:dyDescent="0.25">
      <c r="B16" s="23" t="s">
        <v>27</v>
      </c>
      <c r="C16" s="30">
        <v>45598</v>
      </c>
      <c r="D16" s="1" t="str">
        <f t="shared" si="0"/>
        <v>NOVEMBRE</v>
      </c>
      <c r="E16" s="24" t="s">
        <v>54</v>
      </c>
      <c r="F16" s="33">
        <v>99</v>
      </c>
      <c r="G16" s="33">
        <v>21</v>
      </c>
      <c r="H16" s="33">
        <v>0</v>
      </c>
      <c r="I16" s="33">
        <v>5</v>
      </c>
      <c r="J16" s="33">
        <v>1</v>
      </c>
      <c r="K16" s="33">
        <v>1</v>
      </c>
      <c r="L16" s="32">
        <v>3.85E-2</v>
      </c>
      <c r="M16" s="32">
        <v>3.85E-2</v>
      </c>
      <c r="N16" s="61">
        <f>SUM(Tableau1[[#This Row],[Taux Prés Instruct.]:[Taux anomalie]])</f>
        <v>7.6999999999999999E-2</v>
      </c>
      <c r="O16" s="31">
        <v>92</v>
      </c>
      <c r="P16" s="34">
        <v>19</v>
      </c>
      <c r="Q16" s="31">
        <v>0</v>
      </c>
      <c r="R16" s="31">
        <v>5</v>
      </c>
      <c r="S16" s="31">
        <v>24</v>
      </c>
      <c r="T16" s="31">
        <v>0</v>
      </c>
      <c r="U16" s="5"/>
    </row>
    <row r="17" spans="2:21" x14ac:dyDescent="0.25">
      <c r="B17" s="23" t="s">
        <v>28</v>
      </c>
      <c r="C17" s="30">
        <v>45598</v>
      </c>
      <c r="D17" s="1" t="str">
        <f t="shared" si="0"/>
        <v>NOVEMBRE</v>
      </c>
      <c r="E17" s="24" t="s">
        <v>55</v>
      </c>
      <c r="F17" s="33">
        <v>44</v>
      </c>
      <c r="G17" s="33">
        <v>21</v>
      </c>
      <c r="H17" s="33">
        <v>0</v>
      </c>
      <c r="I17" s="33">
        <v>4</v>
      </c>
      <c r="J17" s="33">
        <v>0</v>
      </c>
      <c r="K17" s="33">
        <v>0</v>
      </c>
      <c r="L17" s="32">
        <v>0</v>
      </c>
      <c r="M17" s="32">
        <v>0</v>
      </c>
      <c r="N17" s="61">
        <f>SUM(Tableau1[[#This Row],[Taux Prés Instruct.]:[Taux anomalie]])</f>
        <v>0</v>
      </c>
      <c r="O17" s="31">
        <v>44</v>
      </c>
      <c r="P17" s="34">
        <v>21</v>
      </c>
      <c r="Q17" s="31">
        <v>0</v>
      </c>
      <c r="R17" s="31">
        <v>4</v>
      </c>
      <c r="S17" s="31">
        <v>25</v>
      </c>
      <c r="T17" s="31">
        <v>0</v>
      </c>
      <c r="U17" s="5"/>
    </row>
    <row r="18" spans="2:21" x14ac:dyDescent="0.25">
      <c r="B18" s="23" t="s">
        <v>29</v>
      </c>
      <c r="C18" s="30">
        <v>45598</v>
      </c>
      <c r="D18" s="1" t="str">
        <f t="shared" si="0"/>
        <v>NOVEMBRE</v>
      </c>
      <c r="E18" s="24" t="s">
        <v>55</v>
      </c>
      <c r="F18" s="33">
        <v>34</v>
      </c>
      <c r="G18" s="33">
        <v>25</v>
      </c>
      <c r="H18" s="33">
        <v>0</v>
      </c>
      <c r="I18" s="33">
        <v>0</v>
      </c>
      <c r="J18" s="33">
        <v>0</v>
      </c>
      <c r="K18" s="33">
        <v>2</v>
      </c>
      <c r="L18" s="32">
        <v>0</v>
      </c>
      <c r="M18" s="32">
        <v>0.08</v>
      </c>
      <c r="N18" s="61">
        <f>SUM(Tableau1[[#This Row],[Taux Prés Instruct.]:[Taux anomalie]])</f>
        <v>0.08</v>
      </c>
      <c r="O18" s="31">
        <v>34</v>
      </c>
      <c r="P18" s="34">
        <v>23</v>
      </c>
      <c r="Q18" s="31">
        <v>0</v>
      </c>
      <c r="R18" s="31">
        <v>0</v>
      </c>
      <c r="S18" s="31">
        <v>23</v>
      </c>
      <c r="T18" s="31">
        <v>0</v>
      </c>
      <c r="U18" s="5"/>
    </row>
    <row r="19" spans="2:21" x14ac:dyDescent="0.25">
      <c r="B19" s="23" t="s">
        <v>28</v>
      </c>
      <c r="C19" s="30">
        <v>45600</v>
      </c>
      <c r="D19" s="1" t="str">
        <f t="shared" si="0"/>
        <v>NOVEMBRE</v>
      </c>
      <c r="E19" s="24" t="s">
        <v>49</v>
      </c>
      <c r="F19" s="33">
        <v>113</v>
      </c>
      <c r="G19" s="33">
        <v>43</v>
      </c>
      <c r="H19" s="33">
        <v>0</v>
      </c>
      <c r="I19" s="33">
        <v>3</v>
      </c>
      <c r="J19" s="33">
        <v>2</v>
      </c>
      <c r="K19" s="33">
        <v>6</v>
      </c>
      <c r="L19" s="32">
        <v>4.3499999999999997E-2</v>
      </c>
      <c r="M19" s="32">
        <v>0.13039999999999999</v>
      </c>
      <c r="N19" s="61">
        <f>SUM(Tableau1[[#This Row],[Taux Prés Instruct.]:[Taux anomalie]])</f>
        <v>0.1739</v>
      </c>
      <c r="O19" s="31">
        <v>104</v>
      </c>
      <c r="P19" s="34">
        <v>35</v>
      </c>
      <c r="Q19" s="31">
        <v>0</v>
      </c>
      <c r="R19" s="31">
        <v>3</v>
      </c>
      <c r="S19" s="31">
        <v>38</v>
      </c>
      <c r="T19" s="31">
        <v>0</v>
      </c>
      <c r="U19" s="5"/>
    </row>
    <row r="20" spans="2:21" x14ac:dyDescent="0.25">
      <c r="B20" s="23" t="s">
        <v>22</v>
      </c>
      <c r="C20" s="30">
        <v>45600</v>
      </c>
      <c r="D20" s="1" t="str">
        <f t="shared" si="0"/>
        <v>NOVEMBRE</v>
      </c>
      <c r="E20" s="24" t="s">
        <v>50</v>
      </c>
      <c r="F20" s="33">
        <v>149</v>
      </c>
      <c r="G20" s="33">
        <v>64</v>
      </c>
      <c r="H20" s="33">
        <v>0</v>
      </c>
      <c r="I20" s="33">
        <v>6</v>
      </c>
      <c r="J20" s="33">
        <v>5</v>
      </c>
      <c r="K20" s="33">
        <v>0</v>
      </c>
      <c r="L20" s="32">
        <v>7.1400000000000005E-2</v>
      </c>
      <c r="M20" s="32">
        <v>0</v>
      </c>
      <c r="N20" s="61">
        <f>SUM(Tableau1[[#This Row],[Taux Prés Instruct.]:[Taux anomalie]])</f>
        <v>7.1400000000000005E-2</v>
      </c>
      <c r="O20" s="31">
        <v>149</v>
      </c>
      <c r="P20" s="34">
        <v>59</v>
      </c>
      <c r="Q20" s="31">
        <v>0</v>
      </c>
      <c r="R20" s="31">
        <v>6</v>
      </c>
      <c r="S20" s="31">
        <v>65</v>
      </c>
      <c r="T20" s="31">
        <v>0</v>
      </c>
      <c r="U20" s="5"/>
    </row>
    <row r="21" spans="2:21" x14ac:dyDescent="0.25">
      <c r="B21" s="23" t="s">
        <v>23</v>
      </c>
      <c r="C21" s="30">
        <v>45600</v>
      </c>
      <c r="D21" s="1" t="str">
        <f t="shared" si="0"/>
        <v>NOVEMBRE</v>
      </c>
      <c r="E21" s="24" t="s">
        <v>51</v>
      </c>
      <c r="F21" s="33">
        <v>149</v>
      </c>
      <c r="G21" s="33">
        <v>37</v>
      </c>
      <c r="H21" s="33">
        <v>0</v>
      </c>
      <c r="I21" s="33">
        <v>2</v>
      </c>
      <c r="J21" s="33">
        <v>1</v>
      </c>
      <c r="K21" s="33">
        <v>0</v>
      </c>
      <c r="L21" s="32">
        <v>2.5600000000000001E-2</v>
      </c>
      <c r="M21" s="32">
        <v>0</v>
      </c>
      <c r="N21" s="61">
        <f>SUM(Tableau1[[#This Row],[Taux Prés Instruct.]:[Taux anomalie]])</f>
        <v>2.5600000000000001E-2</v>
      </c>
      <c r="O21" s="31">
        <v>149</v>
      </c>
      <c r="P21" s="34">
        <v>36</v>
      </c>
      <c r="Q21" s="31">
        <v>0</v>
      </c>
      <c r="R21" s="31">
        <v>2</v>
      </c>
      <c r="S21" s="31">
        <v>38</v>
      </c>
      <c r="T21" s="31">
        <v>0</v>
      </c>
      <c r="U21" s="5"/>
    </row>
    <row r="22" spans="2:21" x14ac:dyDescent="0.25">
      <c r="B22" s="23" t="s">
        <v>24</v>
      </c>
      <c r="C22" s="30">
        <v>45600</v>
      </c>
      <c r="D22" s="1" t="str">
        <f t="shared" si="0"/>
        <v>NOVEMBRE</v>
      </c>
      <c r="E22" s="24" t="s">
        <v>52</v>
      </c>
      <c r="F22" s="33">
        <v>141</v>
      </c>
      <c r="G22" s="33">
        <v>58</v>
      </c>
      <c r="H22" s="33">
        <v>0</v>
      </c>
      <c r="I22" s="33">
        <v>3</v>
      </c>
      <c r="J22" s="33">
        <v>1</v>
      </c>
      <c r="K22" s="33">
        <v>0</v>
      </c>
      <c r="L22" s="32">
        <v>1.6400000000000001E-2</v>
      </c>
      <c r="M22" s="32">
        <v>0</v>
      </c>
      <c r="N22" s="61">
        <f>SUM(Tableau1[[#This Row],[Taux Prés Instruct.]:[Taux anomalie]])</f>
        <v>1.6400000000000001E-2</v>
      </c>
      <c r="O22" s="31">
        <v>114</v>
      </c>
      <c r="P22" s="34">
        <v>57</v>
      </c>
      <c r="Q22" s="31">
        <v>0</v>
      </c>
      <c r="R22" s="31">
        <v>3</v>
      </c>
      <c r="S22" s="31">
        <v>60</v>
      </c>
      <c r="T22" s="31">
        <v>0</v>
      </c>
      <c r="U22" s="5"/>
    </row>
    <row r="23" spans="2:21" x14ac:dyDescent="0.25">
      <c r="B23" s="23" t="s">
        <v>25</v>
      </c>
      <c r="C23" s="30">
        <v>45600</v>
      </c>
      <c r="D23" s="1" t="str">
        <f t="shared" si="0"/>
        <v>NOVEMBRE</v>
      </c>
      <c r="E23" s="24" t="s">
        <v>53</v>
      </c>
      <c r="F23" s="33">
        <v>90</v>
      </c>
      <c r="G23" s="33">
        <v>49</v>
      </c>
      <c r="H23" s="33">
        <v>0</v>
      </c>
      <c r="I23" s="33">
        <v>0</v>
      </c>
      <c r="J23" s="33">
        <v>0</v>
      </c>
      <c r="K23" s="33">
        <v>4</v>
      </c>
      <c r="L23" s="32">
        <v>0</v>
      </c>
      <c r="M23" s="32">
        <v>8.1600000000000006E-2</v>
      </c>
      <c r="N23" s="61">
        <f>SUM(Tableau1[[#This Row],[Taux Prés Instruct.]:[Taux anomalie]])</f>
        <v>8.1600000000000006E-2</v>
      </c>
      <c r="O23" s="31">
        <v>90</v>
      </c>
      <c r="P23" s="34">
        <v>45</v>
      </c>
      <c r="Q23" s="31">
        <v>0</v>
      </c>
      <c r="R23" s="31">
        <v>0</v>
      </c>
      <c r="S23" s="31">
        <v>45</v>
      </c>
      <c r="T23" s="31">
        <v>0</v>
      </c>
      <c r="U23" s="5"/>
    </row>
    <row r="24" spans="2:21" x14ac:dyDescent="0.25">
      <c r="B24" s="23" t="s">
        <v>26</v>
      </c>
      <c r="C24" s="30">
        <v>45600</v>
      </c>
      <c r="D24" s="1" t="str">
        <f t="shared" si="0"/>
        <v>NOVEMBRE</v>
      </c>
      <c r="E24" s="24" t="s">
        <v>48</v>
      </c>
      <c r="F24" s="33">
        <v>161</v>
      </c>
      <c r="G24" s="33">
        <v>55</v>
      </c>
      <c r="H24" s="33">
        <v>0</v>
      </c>
      <c r="I24" s="33">
        <v>3</v>
      </c>
      <c r="J24" s="33">
        <v>1</v>
      </c>
      <c r="K24" s="33">
        <v>0</v>
      </c>
      <c r="L24" s="32">
        <v>1.72E-2</v>
      </c>
      <c r="M24" s="32">
        <v>0</v>
      </c>
      <c r="N24" s="61">
        <f>SUM(Tableau1[[#This Row],[Taux Prés Instruct.]:[Taux anomalie]])</f>
        <v>1.72E-2</v>
      </c>
      <c r="O24" s="31">
        <v>137</v>
      </c>
      <c r="P24" s="34">
        <v>54</v>
      </c>
      <c r="Q24" s="31">
        <v>0</v>
      </c>
      <c r="R24" s="31">
        <v>3</v>
      </c>
      <c r="S24" s="31">
        <v>57</v>
      </c>
      <c r="T24" s="31">
        <v>0</v>
      </c>
      <c r="U24" s="5"/>
    </row>
    <row r="25" spans="2:21" x14ac:dyDescent="0.25">
      <c r="B25" s="23" t="s">
        <v>27</v>
      </c>
      <c r="C25" s="30">
        <v>45600</v>
      </c>
      <c r="D25" s="1" t="str">
        <f t="shared" si="0"/>
        <v>NOVEMBRE</v>
      </c>
      <c r="E25" s="24" t="s">
        <v>54</v>
      </c>
      <c r="F25" s="33">
        <v>131</v>
      </c>
      <c r="G25" s="33">
        <v>20</v>
      </c>
      <c r="H25" s="33">
        <v>0</v>
      </c>
      <c r="I25" s="33">
        <v>1</v>
      </c>
      <c r="J25" s="33">
        <v>0</v>
      </c>
      <c r="K25" s="33">
        <v>0</v>
      </c>
      <c r="L25" s="32">
        <v>0</v>
      </c>
      <c r="M25" s="32">
        <v>0</v>
      </c>
      <c r="N25" s="61">
        <f>SUM(Tableau1[[#This Row],[Taux Prés Instruct.]:[Taux anomalie]])</f>
        <v>0</v>
      </c>
      <c r="O25" s="31">
        <v>126</v>
      </c>
      <c r="P25" s="34">
        <v>20</v>
      </c>
      <c r="Q25" s="31">
        <v>0</v>
      </c>
      <c r="R25" s="31">
        <v>1</v>
      </c>
      <c r="S25" s="31">
        <v>21</v>
      </c>
      <c r="T25" s="31">
        <v>0</v>
      </c>
      <c r="U25" s="5"/>
    </row>
    <row r="26" spans="2:21" x14ac:dyDescent="0.25">
      <c r="B26" s="23" t="s">
        <v>29</v>
      </c>
      <c r="C26" s="30">
        <v>45600</v>
      </c>
      <c r="D26" s="1" t="str">
        <f t="shared" si="0"/>
        <v>NOVEMBRE</v>
      </c>
      <c r="E26" s="24" t="s">
        <v>55</v>
      </c>
      <c r="F26" s="33">
        <v>65</v>
      </c>
      <c r="G26" s="33">
        <v>36</v>
      </c>
      <c r="H26" s="33">
        <v>0</v>
      </c>
      <c r="I26" s="33">
        <v>1</v>
      </c>
      <c r="J26" s="33">
        <v>2</v>
      </c>
      <c r="K26" s="33">
        <v>0</v>
      </c>
      <c r="L26" s="32">
        <v>5.4100000000000002E-2</v>
      </c>
      <c r="M26" s="32">
        <v>0</v>
      </c>
      <c r="N26" s="61">
        <f>SUM(Tableau1[[#This Row],[Taux Prés Instruct.]:[Taux anomalie]])</f>
        <v>5.4100000000000002E-2</v>
      </c>
      <c r="O26" s="31">
        <v>54</v>
      </c>
      <c r="P26" s="34">
        <v>34</v>
      </c>
      <c r="Q26" s="31">
        <v>0</v>
      </c>
      <c r="R26" s="31">
        <v>1</v>
      </c>
      <c r="S26" s="31">
        <v>35</v>
      </c>
      <c r="T26" s="31">
        <v>0</v>
      </c>
      <c r="U26" s="5"/>
    </row>
    <row r="27" spans="2:21" x14ac:dyDescent="0.25">
      <c r="B27" s="23" t="s">
        <v>28</v>
      </c>
      <c r="C27" s="30">
        <v>45601</v>
      </c>
      <c r="D27" s="1" t="str">
        <f t="shared" si="0"/>
        <v>NOVEMBRE</v>
      </c>
      <c r="E27" s="24" t="s">
        <v>49</v>
      </c>
      <c r="F27" s="33">
        <v>197</v>
      </c>
      <c r="G27" s="33">
        <v>50</v>
      </c>
      <c r="H27" s="33">
        <v>0</v>
      </c>
      <c r="I27" s="33">
        <v>5</v>
      </c>
      <c r="J27" s="33">
        <v>0</v>
      </c>
      <c r="K27" s="33">
        <v>4</v>
      </c>
      <c r="L27" s="32">
        <v>0</v>
      </c>
      <c r="M27" s="32">
        <v>7.2700000000000001E-2</v>
      </c>
      <c r="N27" s="61">
        <f>SUM(Tableau1[[#This Row],[Taux Prés Instruct.]:[Taux anomalie]])</f>
        <v>7.2700000000000001E-2</v>
      </c>
      <c r="O27" s="31">
        <v>195</v>
      </c>
      <c r="P27" s="34">
        <v>48</v>
      </c>
      <c r="Q27" s="31">
        <v>0</v>
      </c>
      <c r="R27" s="31">
        <v>3</v>
      </c>
      <c r="S27" s="31">
        <v>51</v>
      </c>
      <c r="T27" s="31">
        <v>0</v>
      </c>
      <c r="U27" s="5"/>
    </row>
    <row r="28" spans="2:21" x14ac:dyDescent="0.25">
      <c r="B28" s="23" t="s">
        <v>22</v>
      </c>
      <c r="C28" s="30">
        <v>45601</v>
      </c>
      <c r="D28" s="1" t="str">
        <f t="shared" si="0"/>
        <v>NOVEMBRE</v>
      </c>
      <c r="E28" s="24" t="s">
        <v>50</v>
      </c>
      <c r="F28" s="33">
        <v>254</v>
      </c>
      <c r="G28" s="33">
        <v>59</v>
      </c>
      <c r="H28" s="33">
        <v>0</v>
      </c>
      <c r="I28" s="33">
        <v>7</v>
      </c>
      <c r="J28" s="33">
        <v>5</v>
      </c>
      <c r="K28" s="33">
        <v>1</v>
      </c>
      <c r="L28" s="32">
        <v>7.5800000000000006E-2</v>
      </c>
      <c r="M28" s="32">
        <v>1.52E-2</v>
      </c>
      <c r="N28" s="61">
        <f>SUM(Tableau1[[#This Row],[Taux Prés Instruct.]:[Taux anomalie]])</f>
        <v>9.1000000000000011E-2</v>
      </c>
      <c r="O28" s="31">
        <v>200</v>
      </c>
      <c r="P28" s="34">
        <v>53</v>
      </c>
      <c r="Q28" s="31">
        <v>0</v>
      </c>
      <c r="R28" s="31">
        <v>7</v>
      </c>
      <c r="S28" s="31">
        <v>60</v>
      </c>
      <c r="T28" s="31">
        <v>0</v>
      </c>
      <c r="U28" s="5"/>
    </row>
    <row r="29" spans="2:21" x14ac:dyDescent="0.25">
      <c r="B29" s="23" t="s">
        <v>23</v>
      </c>
      <c r="C29" s="30">
        <v>45601</v>
      </c>
      <c r="D29" s="1" t="str">
        <f t="shared" si="0"/>
        <v>NOVEMBRE</v>
      </c>
      <c r="E29" s="24" t="s">
        <v>51</v>
      </c>
      <c r="F29" s="33">
        <v>215</v>
      </c>
      <c r="G29" s="33">
        <v>65</v>
      </c>
      <c r="H29" s="33">
        <v>0</v>
      </c>
      <c r="I29" s="33">
        <v>5</v>
      </c>
      <c r="J29" s="33">
        <v>1</v>
      </c>
      <c r="K29" s="33">
        <v>6</v>
      </c>
      <c r="L29" s="32">
        <v>1.43E-2</v>
      </c>
      <c r="M29" s="32">
        <v>8.5699999999999998E-2</v>
      </c>
      <c r="N29" s="61">
        <f>SUM(Tableau1[[#This Row],[Taux Prés Instruct.]:[Taux anomalie]])</f>
        <v>0.1</v>
      </c>
      <c r="O29" s="31">
        <v>215</v>
      </c>
      <c r="P29" s="34">
        <v>63</v>
      </c>
      <c r="Q29" s="31">
        <v>0</v>
      </c>
      <c r="R29" s="31">
        <v>4</v>
      </c>
      <c r="S29" s="31">
        <v>67</v>
      </c>
      <c r="T29" s="31">
        <v>2</v>
      </c>
      <c r="U29" s="5"/>
    </row>
    <row r="30" spans="2:21" x14ac:dyDescent="0.25">
      <c r="B30" s="23" t="s">
        <v>24</v>
      </c>
      <c r="C30" s="30">
        <v>45601</v>
      </c>
      <c r="D30" s="1" t="str">
        <f t="shared" si="0"/>
        <v>NOVEMBRE</v>
      </c>
      <c r="E30" s="24" t="s">
        <v>52</v>
      </c>
      <c r="F30" s="33">
        <v>165</v>
      </c>
      <c r="G30" s="33">
        <v>81</v>
      </c>
      <c r="H30" s="33">
        <v>1</v>
      </c>
      <c r="I30" s="33">
        <v>3</v>
      </c>
      <c r="J30" s="33">
        <v>0</v>
      </c>
      <c r="K30" s="33">
        <v>0</v>
      </c>
      <c r="L30" s="32">
        <v>0</v>
      </c>
      <c r="M30" s="32">
        <v>0</v>
      </c>
      <c r="N30" s="61">
        <f>SUM(Tableau1[[#This Row],[Taux Prés Instruct.]:[Taux anomalie]])</f>
        <v>0</v>
      </c>
      <c r="O30" s="31">
        <v>150</v>
      </c>
      <c r="P30" s="34">
        <v>81</v>
      </c>
      <c r="Q30" s="31">
        <v>1</v>
      </c>
      <c r="R30" s="31">
        <v>3</v>
      </c>
      <c r="S30" s="31">
        <v>85</v>
      </c>
      <c r="T30" s="31">
        <v>0</v>
      </c>
      <c r="U30" s="5"/>
    </row>
    <row r="31" spans="2:21" x14ac:dyDescent="0.25">
      <c r="B31" s="23" t="s">
        <v>25</v>
      </c>
      <c r="C31" s="30">
        <v>45601</v>
      </c>
      <c r="D31" s="1" t="str">
        <f t="shared" si="0"/>
        <v>NOVEMBRE</v>
      </c>
      <c r="E31" s="24" t="s">
        <v>53</v>
      </c>
      <c r="F31" s="33">
        <v>189</v>
      </c>
      <c r="G31" s="33">
        <v>64</v>
      </c>
      <c r="H31" s="33">
        <v>0</v>
      </c>
      <c r="I31" s="33">
        <v>3</v>
      </c>
      <c r="J31" s="33">
        <v>0</v>
      </c>
      <c r="K31" s="33">
        <v>12</v>
      </c>
      <c r="L31" s="32">
        <v>0</v>
      </c>
      <c r="M31" s="32">
        <v>0.17910000000000001</v>
      </c>
      <c r="N31" s="61">
        <f>SUM(Tableau1[[#This Row],[Taux Prés Instruct.]:[Taux anomalie]])</f>
        <v>0.17910000000000001</v>
      </c>
      <c r="O31" s="31">
        <v>183</v>
      </c>
      <c r="P31" s="34">
        <v>54</v>
      </c>
      <c r="Q31" s="31">
        <v>0</v>
      </c>
      <c r="R31" s="31">
        <v>1</v>
      </c>
      <c r="S31" s="31">
        <v>55</v>
      </c>
      <c r="T31" s="31">
        <v>0</v>
      </c>
      <c r="U31" s="5"/>
    </row>
    <row r="32" spans="2:21" x14ac:dyDescent="0.25">
      <c r="B32" s="23" t="s">
        <v>26</v>
      </c>
      <c r="C32" s="30">
        <v>45601</v>
      </c>
      <c r="D32" s="1" t="str">
        <f t="shared" si="0"/>
        <v>NOVEMBRE</v>
      </c>
      <c r="E32" s="24" t="s">
        <v>48</v>
      </c>
      <c r="F32" s="33">
        <v>196</v>
      </c>
      <c r="G32" s="33">
        <v>59</v>
      </c>
      <c r="H32" s="33">
        <v>0</v>
      </c>
      <c r="I32" s="33">
        <v>3</v>
      </c>
      <c r="J32" s="33">
        <v>1</v>
      </c>
      <c r="K32" s="33">
        <v>1</v>
      </c>
      <c r="L32" s="32">
        <v>1.61E-2</v>
      </c>
      <c r="M32" s="32">
        <v>1.61E-2</v>
      </c>
      <c r="N32" s="61">
        <f>SUM(Tableau1[[#This Row],[Taux Prés Instruct.]:[Taux anomalie]])</f>
        <v>3.2199999999999999E-2</v>
      </c>
      <c r="O32" s="31">
        <v>172</v>
      </c>
      <c r="P32" s="34">
        <v>57</v>
      </c>
      <c r="Q32" s="31">
        <v>0</v>
      </c>
      <c r="R32" s="31">
        <v>3</v>
      </c>
      <c r="S32" s="31">
        <v>60</v>
      </c>
      <c r="T32" s="31">
        <v>0</v>
      </c>
      <c r="U32" s="5"/>
    </row>
    <row r="33" spans="2:21" x14ac:dyDescent="0.25">
      <c r="B33" s="23" t="s">
        <v>27</v>
      </c>
      <c r="C33" s="30">
        <v>45601</v>
      </c>
      <c r="D33" s="1" t="str">
        <f t="shared" si="0"/>
        <v>NOVEMBRE</v>
      </c>
      <c r="E33" s="24" t="s">
        <v>54</v>
      </c>
      <c r="F33" s="33">
        <v>217</v>
      </c>
      <c r="G33" s="33">
        <v>25</v>
      </c>
      <c r="H33" s="33">
        <v>0</v>
      </c>
      <c r="I33" s="33">
        <v>2</v>
      </c>
      <c r="J33" s="33">
        <v>0</v>
      </c>
      <c r="K33" s="33">
        <v>0</v>
      </c>
      <c r="L33" s="32">
        <v>0</v>
      </c>
      <c r="M33" s="32">
        <v>0</v>
      </c>
      <c r="N33" s="61">
        <f>SUM(Tableau1[[#This Row],[Taux Prés Instruct.]:[Taux anomalie]])</f>
        <v>0</v>
      </c>
      <c r="O33" s="31">
        <v>204</v>
      </c>
      <c r="P33" s="34">
        <v>25</v>
      </c>
      <c r="Q33" s="31">
        <v>0</v>
      </c>
      <c r="R33" s="31">
        <v>2</v>
      </c>
      <c r="S33" s="31">
        <v>27</v>
      </c>
      <c r="T33" s="31">
        <v>0</v>
      </c>
      <c r="U33" s="5"/>
    </row>
    <row r="34" spans="2:21" x14ac:dyDescent="0.25">
      <c r="B34" s="23" t="s">
        <v>29</v>
      </c>
      <c r="C34" s="30">
        <v>45601</v>
      </c>
      <c r="D34" s="1" t="str">
        <f t="shared" si="0"/>
        <v>NOVEMBRE</v>
      </c>
      <c r="E34" s="24" t="s">
        <v>55</v>
      </c>
      <c r="F34" s="33">
        <v>88</v>
      </c>
      <c r="G34" s="33">
        <v>58</v>
      </c>
      <c r="H34" s="33">
        <v>0</v>
      </c>
      <c r="I34" s="33">
        <v>3</v>
      </c>
      <c r="J34" s="33">
        <v>3</v>
      </c>
      <c r="K34" s="33">
        <v>3</v>
      </c>
      <c r="L34" s="32">
        <v>4.9200000000000001E-2</v>
      </c>
      <c r="M34" s="32">
        <v>4.9200000000000001E-2</v>
      </c>
      <c r="N34" s="61">
        <f>SUM(Tableau1[[#This Row],[Taux Prés Instruct.]:[Taux anomalie]])</f>
        <v>9.8400000000000001E-2</v>
      </c>
      <c r="O34" s="31">
        <v>81</v>
      </c>
      <c r="P34" s="34">
        <v>53</v>
      </c>
      <c r="Q34" s="31">
        <v>0</v>
      </c>
      <c r="R34" s="31">
        <v>2</v>
      </c>
      <c r="S34" s="31">
        <v>55</v>
      </c>
      <c r="T34" s="31">
        <v>0</v>
      </c>
      <c r="U34" s="5"/>
    </row>
    <row r="35" spans="2:21" x14ac:dyDescent="0.25">
      <c r="B35" s="23" t="s">
        <v>33</v>
      </c>
      <c r="C35" s="30">
        <v>45601</v>
      </c>
      <c r="D35" s="1" t="str">
        <f t="shared" si="0"/>
        <v>NOVEMBRE</v>
      </c>
      <c r="E35" s="24" t="s">
        <v>61</v>
      </c>
      <c r="F35" s="33">
        <v>104</v>
      </c>
      <c r="G35" s="33">
        <v>62</v>
      </c>
      <c r="H35" s="33">
        <v>0</v>
      </c>
      <c r="I35" s="33">
        <v>1</v>
      </c>
      <c r="J35" s="33">
        <v>1</v>
      </c>
      <c r="K35" s="33">
        <v>7</v>
      </c>
      <c r="L35" s="32">
        <v>1.5900000000000001E-2</v>
      </c>
      <c r="M35" s="32">
        <v>0.1111</v>
      </c>
      <c r="N35" s="61">
        <f>SUM(Tableau1[[#This Row],[Taux Prés Instruct.]:[Taux anomalie]])</f>
        <v>0.127</v>
      </c>
      <c r="O35" s="31">
        <v>104</v>
      </c>
      <c r="P35" s="34">
        <v>54</v>
      </c>
      <c r="Q35" s="31">
        <v>0</v>
      </c>
      <c r="R35" s="31">
        <v>1</v>
      </c>
      <c r="S35" s="31">
        <v>55</v>
      </c>
      <c r="T35" s="31">
        <v>0</v>
      </c>
      <c r="U35" s="5"/>
    </row>
    <row r="36" spans="2:21" x14ac:dyDescent="0.25">
      <c r="B36" s="23" t="s">
        <v>28</v>
      </c>
      <c r="C36" s="30">
        <v>45602</v>
      </c>
      <c r="D36" s="1" t="str">
        <f t="shared" si="0"/>
        <v>NOVEMBRE</v>
      </c>
      <c r="E36" s="24" t="s">
        <v>49</v>
      </c>
      <c r="F36" s="33">
        <v>186</v>
      </c>
      <c r="G36" s="33">
        <v>54</v>
      </c>
      <c r="H36" s="33">
        <v>0</v>
      </c>
      <c r="I36" s="33">
        <v>5</v>
      </c>
      <c r="J36" s="33">
        <v>0</v>
      </c>
      <c r="K36" s="33">
        <v>1</v>
      </c>
      <c r="L36" s="32">
        <v>0</v>
      </c>
      <c r="M36" s="32">
        <v>1.6899999999999998E-2</v>
      </c>
      <c r="N36" s="61">
        <f>SUM(Tableau1[[#This Row],[Taux Prés Instruct.]:[Taux anomalie]])</f>
        <v>1.6899999999999998E-2</v>
      </c>
      <c r="O36" s="31">
        <v>151</v>
      </c>
      <c r="P36" s="34">
        <v>53</v>
      </c>
      <c r="Q36" s="31">
        <v>0</v>
      </c>
      <c r="R36" s="31">
        <v>5</v>
      </c>
      <c r="S36" s="31">
        <v>58</v>
      </c>
      <c r="T36" s="31">
        <v>0</v>
      </c>
      <c r="U36" s="5"/>
    </row>
    <row r="37" spans="2:21" x14ac:dyDescent="0.25">
      <c r="B37" s="23" t="s">
        <v>22</v>
      </c>
      <c r="C37" s="30">
        <v>45602</v>
      </c>
      <c r="D37" s="1" t="str">
        <f t="shared" si="0"/>
        <v>NOVEMBRE</v>
      </c>
      <c r="E37" s="24" t="s">
        <v>50</v>
      </c>
      <c r="F37" s="33">
        <v>203</v>
      </c>
      <c r="G37" s="33">
        <v>63</v>
      </c>
      <c r="H37" s="33">
        <v>0</v>
      </c>
      <c r="I37" s="33">
        <v>6</v>
      </c>
      <c r="J37" s="33">
        <v>3</v>
      </c>
      <c r="K37" s="33">
        <v>0</v>
      </c>
      <c r="L37" s="32">
        <v>4.3499999999999997E-2</v>
      </c>
      <c r="M37" s="32">
        <v>0</v>
      </c>
      <c r="N37" s="61">
        <f>SUM(Tableau1[[#This Row],[Taux Prés Instruct.]:[Taux anomalie]])</f>
        <v>4.3499999999999997E-2</v>
      </c>
      <c r="O37" s="31">
        <v>179</v>
      </c>
      <c r="P37" s="34">
        <v>60</v>
      </c>
      <c r="Q37" s="31">
        <v>0</v>
      </c>
      <c r="R37" s="31">
        <v>6</v>
      </c>
      <c r="S37" s="31">
        <v>66</v>
      </c>
      <c r="T37" s="31">
        <v>0</v>
      </c>
      <c r="U37" s="5"/>
    </row>
    <row r="38" spans="2:21" x14ac:dyDescent="0.25">
      <c r="B38" s="23" t="s">
        <v>23</v>
      </c>
      <c r="C38" s="30">
        <v>45602</v>
      </c>
      <c r="D38" s="1" t="str">
        <f t="shared" si="0"/>
        <v>NOVEMBRE</v>
      </c>
      <c r="E38" s="24" t="s">
        <v>51</v>
      </c>
      <c r="F38" s="33">
        <v>179</v>
      </c>
      <c r="G38" s="33">
        <v>72</v>
      </c>
      <c r="H38" s="33">
        <v>0</v>
      </c>
      <c r="I38" s="33">
        <v>4</v>
      </c>
      <c r="J38" s="33">
        <v>3</v>
      </c>
      <c r="K38" s="33">
        <v>0</v>
      </c>
      <c r="L38" s="32">
        <v>3.95E-2</v>
      </c>
      <c r="M38" s="32">
        <v>0</v>
      </c>
      <c r="N38" s="61">
        <f>SUM(Tableau1[[#This Row],[Taux Prés Instruct.]:[Taux anomalie]])</f>
        <v>3.95E-2</v>
      </c>
      <c r="O38" s="31">
        <v>167</v>
      </c>
      <c r="P38" s="34">
        <v>69</v>
      </c>
      <c r="Q38" s="31">
        <v>0</v>
      </c>
      <c r="R38" s="31">
        <v>4</v>
      </c>
      <c r="S38" s="31">
        <v>73</v>
      </c>
      <c r="T38" s="31">
        <v>0</v>
      </c>
      <c r="U38" s="5"/>
    </row>
    <row r="39" spans="2:21" x14ac:dyDescent="0.25">
      <c r="B39" s="23" t="s">
        <v>24</v>
      </c>
      <c r="C39" s="30">
        <v>45602</v>
      </c>
      <c r="D39" s="1" t="str">
        <f t="shared" si="0"/>
        <v>NOVEMBRE</v>
      </c>
      <c r="E39" s="24" t="s">
        <v>52</v>
      </c>
      <c r="F39" s="33">
        <v>170</v>
      </c>
      <c r="G39" s="33">
        <v>78</v>
      </c>
      <c r="H39" s="33">
        <v>0</v>
      </c>
      <c r="I39" s="33">
        <v>3</v>
      </c>
      <c r="J39" s="33">
        <v>1</v>
      </c>
      <c r="K39" s="33">
        <v>1</v>
      </c>
      <c r="L39" s="32">
        <v>1.23E-2</v>
      </c>
      <c r="M39" s="32">
        <v>1.23E-2</v>
      </c>
      <c r="N39" s="61">
        <f>SUM(Tableau1[[#This Row],[Taux Prés Instruct.]:[Taux anomalie]])</f>
        <v>2.46E-2</v>
      </c>
      <c r="O39" s="31">
        <v>140</v>
      </c>
      <c r="P39" s="34">
        <v>76</v>
      </c>
      <c r="Q39" s="31">
        <v>0</v>
      </c>
      <c r="R39" s="31">
        <v>3</v>
      </c>
      <c r="S39" s="31">
        <v>79</v>
      </c>
      <c r="T39" s="31">
        <v>0</v>
      </c>
      <c r="U39" s="5"/>
    </row>
    <row r="40" spans="2:21" x14ac:dyDescent="0.25">
      <c r="B40" s="23" t="s">
        <v>25</v>
      </c>
      <c r="C40" s="30">
        <v>45602</v>
      </c>
      <c r="D40" s="1" t="str">
        <f t="shared" si="0"/>
        <v>NOVEMBRE</v>
      </c>
      <c r="E40" s="24" t="s">
        <v>53</v>
      </c>
      <c r="F40" s="33">
        <v>154</v>
      </c>
      <c r="G40" s="33">
        <v>57</v>
      </c>
      <c r="H40" s="33">
        <v>0</v>
      </c>
      <c r="I40" s="33">
        <v>3</v>
      </c>
      <c r="J40" s="33">
        <v>5</v>
      </c>
      <c r="K40" s="33">
        <v>9</v>
      </c>
      <c r="L40" s="32">
        <v>8.3299999999999999E-2</v>
      </c>
      <c r="M40" s="32">
        <v>0.15</v>
      </c>
      <c r="N40" s="61">
        <f>SUM(Tableau1[[#This Row],[Taux Prés Instruct.]:[Taux anomalie]])</f>
        <v>0.23330000000000001</v>
      </c>
      <c r="O40" s="31">
        <v>152</v>
      </c>
      <c r="P40" s="34">
        <v>43</v>
      </c>
      <c r="Q40" s="31">
        <v>0</v>
      </c>
      <c r="R40" s="31">
        <v>3</v>
      </c>
      <c r="S40" s="31">
        <v>46</v>
      </c>
      <c r="T40" s="31">
        <v>0</v>
      </c>
      <c r="U40" s="5"/>
    </row>
    <row r="41" spans="2:21" x14ac:dyDescent="0.25">
      <c r="B41" s="23" t="s">
        <v>26</v>
      </c>
      <c r="C41" s="30">
        <v>45602</v>
      </c>
      <c r="D41" s="1" t="str">
        <f t="shared" si="0"/>
        <v>NOVEMBRE</v>
      </c>
      <c r="E41" s="24" t="s">
        <v>48</v>
      </c>
      <c r="F41" s="33">
        <v>251</v>
      </c>
      <c r="G41" s="33">
        <v>82</v>
      </c>
      <c r="H41" s="33">
        <v>0</v>
      </c>
      <c r="I41" s="33">
        <v>6</v>
      </c>
      <c r="J41" s="33">
        <v>3</v>
      </c>
      <c r="K41" s="33">
        <v>0</v>
      </c>
      <c r="L41" s="32">
        <v>3.4099999999999998E-2</v>
      </c>
      <c r="M41" s="32">
        <v>0</v>
      </c>
      <c r="N41" s="61">
        <f>SUM(Tableau1[[#This Row],[Taux Prés Instruct.]:[Taux anomalie]])</f>
        <v>3.4099999999999998E-2</v>
      </c>
      <c r="O41" s="31">
        <v>175</v>
      </c>
      <c r="P41" s="34">
        <v>79</v>
      </c>
      <c r="Q41" s="31">
        <v>0</v>
      </c>
      <c r="R41" s="31">
        <v>6</v>
      </c>
      <c r="S41" s="31">
        <v>85</v>
      </c>
      <c r="T41" s="31">
        <v>0</v>
      </c>
      <c r="U41" s="5"/>
    </row>
    <row r="42" spans="2:21" x14ac:dyDescent="0.25">
      <c r="B42" s="23" t="s">
        <v>27</v>
      </c>
      <c r="C42" s="30">
        <v>45602</v>
      </c>
      <c r="D42" s="1" t="str">
        <f t="shared" si="0"/>
        <v>NOVEMBRE</v>
      </c>
      <c r="E42" s="24" t="s">
        <v>54</v>
      </c>
      <c r="F42" s="33">
        <v>254</v>
      </c>
      <c r="G42" s="33">
        <v>31</v>
      </c>
      <c r="H42" s="33">
        <v>0</v>
      </c>
      <c r="I42" s="33">
        <v>2</v>
      </c>
      <c r="J42" s="33">
        <v>0</v>
      </c>
      <c r="K42" s="33">
        <v>0</v>
      </c>
      <c r="L42" s="32">
        <v>0</v>
      </c>
      <c r="M42" s="32">
        <v>0</v>
      </c>
      <c r="N42" s="61">
        <f>SUM(Tableau1[[#This Row],[Taux Prés Instruct.]:[Taux anomalie]])</f>
        <v>0</v>
      </c>
      <c r="O42" s="31">
        <v>226</v>
      </c>
      <c r="P42" s="34">
        <v>31</v>
      </c>
      <c r="Q42" s="31">
        <v>0</v>
      </c>
      <c r="R42" s="31">
        <v>2</v>
      </c>
      <c r="S42" s="31">
        <v>33</v>
      </c>
      <c r="T42" s="31">
        <v>0</v>
      </c>
      <c r="U42" s="5"/>
    </row>
    <row r="43" spans="2:21" x14ac:dyDescent="0.25">
      <c r="B43" s="23" t="s">
        <v>29</v>
      </c>
      <c r="C43" s="30">
        <v>45602</v>
      </c>
      <c r="D43" s="1" t="str">
        <f t="shared" si="0"/>
        <v>NOVEMBRE</v>
      </c>
      <c r="E43" s="24" t="s">
        <v>55</v>
      </c>
      <c r="F43" s="33">
        <v>89</v>
      </c>
      <c r="G43" s="33">
        <v>64</v>
      </c>
      <c r="H43" s="33">
        <v>0</v>
      </c>
      <c r="I43" s="33">
        <v>3</v>
      </c>
      <c r="J43" s="33">
        <v>2</v>
      </c>
      <c r="K43" s="33">
        <v>2</v>
      </c>
      <c r="L43" s="32">
        <v>2.9899999999999999E-2</v>
      </c>
      <c r="M43" s="32">
        <v>2.9899999999999999E-2</v>
      </c>
      <c r="N43" s="61">
        <f>SUM(Tableau1[[#This Row],[Taux Prés Instruct.]:[Taux anomalie]])</f>
        <v>5.9799999999999999E-2</v>
      </c>
      <c r="O43" s="31">
        <v>82</v>
      </c>
      <c r="P43" s="34">
        <v>61</v>
      </c>
      <c r="Q43" s="31">
        <v>0</v>
      </c>
      <c r="R43" s="31">
        <v>2</v>
      </c>
      <c r="S43" s="31">
        <v>63</v>
      </c>
      <c r="T43" s="31">
        <v>0</v>
      </c>
      <c r="U43" s="5"/>
    </row>
    <row r="44" spans="2:21" x14ac:dyDescent="0.25">
      <c r="B44" s="54" t="s">
        <v>33</v>
      </c>
      <c r="C44" s="30">
        <v>45602</v>
      </c>
      <c r="D44" s="59" t="str">
        <f>IF(C44&lt;&gt;"",UPPER(TEXT(C44,"MMMM")),"")</f>
        <v>NOVEMBRE</v>
      </c>
      <c r="E44" s="55" t="s">
        <v>61</v>
      </c>
      <c r="F44" s="56">
        <v>67</v>
      </c>
      <c r="G44" s="56">
        <v>40</v>
      </c>
      <c r="H44" s="56">
        <v>0</v>
      </c>
      <c r="I44" s="56">
        <v>1</v>
      </c>
      <c r="J44" s="56">
        <v>2</v>
      </c>
      <c r="K44" s="56">
        <v>1</v>
      </c>
      <c r="L44" s="60">
        <v>4.8800000000000003E-2</v>
      </c>
      <c r="M44" s="60">
        <v>2.4400000000000002E-2</v>
      </c>
      <c r="N44" s="61">
        <f>SUM(Tableau1[[#This Row],[Taux Prés Instruct.]:[Taux anomalie]])</f>
        <v>7.3200000000000001E-2</v>
      </c>
      <c r="O44" s="57">
        <v>67</v>
      </c>
      <c r="P44" s="58">
        <v>37</v>
      </c>
      <c r="Q44" s="57">
        <v>0</v>
      </c>
      <c r="R44" s="57">
        <v>1</v>
      </c>
      <c r="S44" s="57">
        <v>38</v>
      </c>
      <c r="T44" s="57">
        <v>0</v>
      </c>
    </row>
  </sheetData>
  <sheetProtection insertHyperlinks="0" sort="0" autoFilter="0" pivotTables="0"/>
  <sortState xmlns:xlrd2="http://schemas.microsoft.com/office/spreadsheetml/2017/richdata2" ref="B13:T43">
    <sortCondition ref="H13:H43"/>
  </sortState>
  <mergeCells count="5">
    <mergeCell ref="E2:F2"/>
    <mergeCell ref="E3:F4"/>
    <mergeCell ref="G11:I11"/>
    <mergeCell ref="J11:N11"/>
    <mergeCell ref="O11:T11"/>
  </mergeCells>
  <phoneticPr fontId="9" type="noConversion"/>
  <conditionalFormatting sqref="B13:T44">
    <cfRule type="expression" dxfId="29" priority="25" stopIfTrue="1">
      <formula>$K13="Caduque"</formula>
    </cfRule>
    <cfRule type="expression" dxfId="28" priority="26">
      <formula>#REF!="Sans suite"</formula>
    </cfRule>
    <cfRule type="expression" dxfId="27" priority="27">
      <formula>#REF!="Gagné"</formula>
    </cfRule>
    <cfRule type="expression" dxfId="26" priority="28">
      <formula>#REF!="Perdu"</formula>
    </cfRule>
  </conditionalFormatting>
  <pageMargins left="0.70866141732283472" right="0.70866141732283472" top="0.74803149606299213" bottom="0.74803149606299213" header="0.31496062992125984" footer="0.31496062992125984"/>
  <pageSetup paperSize="8" scale="63" fitToHeight="0" orientation="landscape" horizontalDpi="1200" verticalDpi="12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3000000}">
          <x14:formula1>
            <xm:f>Liste!$B$4:$B$16</xm:f>
          </x14:formula1>
          <xm:sqref>E13:E44</xm:sqref>
        </x14:dataValidation>
        <x14:dataValidation type="list" allowBlank="1" showInputMessage="1" showErrorMessage="1" xr:uid="{00000000-0002-0000-0400-000005000000}">
          <x14:formula1>
            <xm:f>Liste!$A$4:$A$19</xm:f>
          </x14:formula1>
          <xm:sqref>B13:B44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EC95C-B95C-46B0-A0BE-755084194001}">
  <sheetPr codeName="Feuil3">
    <tabColor rgb="FF92D050"/>
  </sheetPr>
  <dimension ref="B2:AA65"/>
  <sheetViews>
    <sheetView zoomScale="90" zoomScaleNormal="90" workbookViewId="0">
      <selection activeCell="U10" sqref="U10:U11"/>
    </sheetView>
  </sheetViews>
  <sheetFormatPr baseColWidth="10" defaultRowHeight="15" x14ac:dyDescent="0.25"/>
  <cols>
    <col min="1" max="1" width="4" customWidth="1"/>
    <col min="14" max="14" width="5.5703125" customWidth="1"/>
    <col min="22" max="22" width="11.42578125" customWidth="1"/>
    <col min="26" max="27" width="11.42578125" customWidth="1"/>
  </cols>
  <sheetData>
    <row r="2" spans="2:27" ht="15" customHeight="1" x14ac:dyDescent="0.25">
      <c r="B2" s="62" t="s">
        <v>34</v>
      </c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  <c r="AA2" s="71"/>
    </row>
    <row r="3" spans="2:27" ht="15" customHeight="1" x14ac:dyDescent="0.25"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71"/>
    </row>
    <row r="4" spans="2:27" ht="15.75" thickBot="1" x14ac:dyDescent="0.3">
      <c r="O4" s="82" t="s">
        <v>36</v>
      </c>
    </row>
    <row r="5" spans="2:27" ht="19.5" thickBot="1" x14ac:dyDescent="0.35">
      <c r="B5" s="68" t="s">
        <v>58</v>
      </c>
      <c r="C5" s="69"/>
      <c r="D5" s="69"/>
      <c r="E5" s="69"/>
      <c r="F5" s="69"/>
      <c r="G5" s="69"/>
      <c r="H5" s="69"/>
      <c r="I5" s="69"/>
      <c r="J5" s="69"/>
      <c r="K5" s="69"/>
      <c r="L5" s="69"/>
      <c r="M5" s="70"/>
      <c r="O5" s="79" t="str" cm="1">
        <f t="array" ref="O5">IFERROR(HYPERLINK(ValCellule(Décoché_Graph!B2)),Décoché_Graph!B2)</f>
        <v>JANVIER</v>
      </c>
      <c r="P5" s="79" t="str" cm="1">
        <f t="array" ref="P5">IFERROR(HYPERLINK(ValCellule(Décoché_Graph!C2)),Décoché_Graph!C2)</f>
        <v>FÉVRIER</v>
      </c>
      <c r="Q5" s="79" t="str" cm="1">
        <f t="array" ref="Q5">IFERROR(HYPERLINK(ValCellule(Décoché_Graph!D2)),Décoché_Graph!D2)</f>
        <v>MARS</v>
      </c>
      <c r="R5" s="79" t="str" cm="1">
        <f t="array" ref="R5">IFERROR(HYPERLINK(ValCellule(Décoché_Graph!E2)),Décoché_Graph!E2)</f>
        <v>AVRIL</v>
      </c>
      <c r="S5" s="79" t="str" cm="1">
        <f t="array" ref="S5">IFERROR(HYPERLINK(ValCellule(Décoché_Graph!F2)),Décoché_Graph!F2)</f>
        <v>MAI</v>
      </c>
      <c r="T5" s="79" t="str" cm="1">
        <f t="array" ref="T5">IFERROR(HYPERLINK(ValCellule(Décoché_Graph!G2)),Décoché_Graph!G2)</f>
        <v>JUIN</v>
      </c>
      <c r="U5" s="79" t="str" cm="1">
        <f t="array" ref="U5">IFERROR(HYPERLINK(ValCellule(Décoché_Graph!H2)),Décoché_Graph!H2)</f>
        <v>JUILLET</v>
      </c>
      <c r="V5" s="79" t="str" cm="1">
        <f t="array" ref="V5">IFERROR(HYPERLINK(ValCellule(Décoché_Graph!I2)),Décoché_Graph!I2)</f>
        <v>AOÛT</v>
      </c>
      <c r="W5" s="79" t="str" cm="1">
        <f t="array" ref="W5">IFERROR(HYPERLINK(ValCellule(Décoché_Graph!J2)),Décoché_Graph!J2)</f>
        <v>SEPTEMBRE</v>
      </c>
      <c r="X5" s="79" t="str" cm="1">
        <f t="array" ref="X5">IFERROR(HYPERLINK(ValCellule(Décoché_Graph!K2)),Décoché_Graph!K2)</f>
        <v>OCTOBRE</v>
      </c>
      <c r="Y5" s="79" t="str" cm="1">
        <f t="array" ref="Y5">IFERROR(HYPERLINK(ValCellule(Décoché_Graph!L2)),Décoché_Graph!L2)</f>
        <v>NOVEMBRE</v>
      </c>
      <c r="Z5" s="79" t="str" cm="1">
        <f t="array" ref="Z5">IFERROR(HYPERLINK(ValCellule(Décoché_Graph!M2)),Décoché_Graph!M2)</f>
        <v>DÉCEMBRE</v>
      </c>
      <c r="AA5" s="79" cm="1">
        <f t="array" ref="AA5">IFERROR(HYPERLINK(ValCellule(Décoché_Graph!N2)),Décoché_Graph!N2)</f>
        <v>2024</v>
      </c>
    </row>
    <row r="6" spans="2:27" ht="19.5" thickBot="1" x14ac:dyDescent="0.35">
      <c r="B6" s="65"/>
      <c r="C6" s="66" t="s">
        <v>22</v>
      </c>
      <c r="D6" s="66" t="s">
        <v>23</v>
      </c>
      <c r="E6" s="66" t="s">
        <v>24</v>
      </c>
      <c r="F6" s="66" t="s">
        <v>25</v>
      </c>
      <c r="G6" s="66" t="s">
        <v>26</v>
      </c>
      <c r="H6" s="66" t="s">
        <v>27</v>
      </c>
      <c r="I6" s="66" t="s">
        <v>28</v>
      </c>
      <c r="J6" s="66" t="s">
        <v>29</v>
      </c>
      <c r="K6" s="66" t="s">
        <v>33</v>
      </c>
      <c r="L6" s="66" t="s">
        <v>30</v>
      </c>
      <c r="M6" s="67" t="s">
        <v>47</v>
      </c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</row>
    <row r="7" spans="2:27" x14ac:dyDescent="0.25">
      <c r="B7" s="63" t="s">
        <v>35</v>
      </c>
      <c r="C7" s="72" t="str">
        <f>IFERROR(AVERAGEIFS(Tableau1[Taux décoché],Tableau1[Tournées],"14T51",Tableau1[Mois],"JANVIER"),"")</f>
        <v/>
      </c>
      <c r="D7" s="72" t="str">
        <f>IFERROR(AVERAGEIFS(Tableau1[Taux décoché],Tableau1[Tournées],"14T52",Tableau1[Mois],"JANVIER"),"")</f>
        <v/>
      </c>
      <c r="E7" s="72" t="str">
        <f>IFERROR(AVERAGEIFS(Tableau1[Taux décoché],Tableau1[Tournées],"14T53",Tableau1[Mois],"JANVIER"),"")</f>
        <v/>
      </c>
      <c r="F7" s="72" t="str">
        <f>IFERROR(AVERAGEIFS(Tableau1[Taux décoché],Tableau1[Tournées],"14T54",Tableau1[Mois],"JANVIER"),"")</f>
        <v/>
      </c>
      <c r="G7" s="72" t="str">
        <f>IFERROR(AVERAGEIFS(Tableau1[Taux décoché],Tableau1[Tournées],"14T55",Tableau1[Mois],"JANVIER"),"")</f>
        <v/>
      </c>
      <c r="H7" s="72" t="str">
        <f>IFERROR(AVERAGEIFS(Tableau1[Taux décoché],Tableau1[Tournées],"14T56",Tableau1[Mois],"JANVIER"),"")</f>
        <v/>
      </c>
      <c r="I7" s="72" t="str">
        <f>IFERROR(AVERAGEIFS(Tableau1[Taux décoché],Tableau1[Tournées],"14T61",Tableau1[Mois],"JANVIER"),"")</f>
        <v/>
      </c>
      <c r="J7" s="72" t="str">
        <f>IFERROR(AVERAGEIFS(Tableau1[Taux décoché],Tableau1[Tournées],"14T62",Tableau1[Mois],"JANVIER"),"")</f>
        <v/>
      </c>
      <c r="K7" s="72" t="str">
        <f>IFERROR(AVERAGEIFS(Tableau1[Taux décoché],Tableau1[Tournées],"14T63",Tableau1[Mois],"JANVIER"),"")</f>
        <v/>
      </c>
      <c r="L7" s="72" t="str">
        <f>IFERROR(AVERAGEIFS(Tableau1[Taux décoché],Tableau1[Tournées],"99R31",Tableau1[Mois],"JANVIER"),"")</f>
        <v/>
      </c>
      <c r="M7" s="74" t="str">
        <f>IFERROR(AVERAGE(C7:L7),"")</f>
        <v/>
      </c>
      <c r="O7" s="76"/>
      <c r="P7" s="76"/>
      <c r="Q7" s="76"/>
      <c r="R7" s="76"/>
      <c r="S7" s="76"/>
      <c r="T7" s="76"/>
    </row>
    <row r="8" spans="2:27" x14ac:dyDescent="0.25">
      <c r="B8" s="63" t="s">
        <v>36</v>
      </c>
      <c r="C8" s="72" t="str">
        <f>IFERROR(AVERAGEIFS(Tableau1[Taux décoché],Tableau1[Tournées],"14T51",Tableau1[Mois],"FÉVRIER"),"")</f>
        <v/>
      </c>
      <c r="D8" s="72" t="str">
        <f>IFERROR(AVERAGEIFS(Tableau1[Taux décoché],Tableau1[Tournées],"14T52",Tableau1[Mois],"FÉVRIER"),"")</f>
        <v/>
      </c>
      <c r="E8" s="72" t="str">
        <f>IFERROR(AVERAGEIFS(Tableau1[Taux décoché],Tableau1[Tournées],"14T53",Tableau1[Mois],"FÉVRIER"),"")</f>
        <v/>
      </c>
      <c r="F8" s="72" t="str">
        <f>IFERROR(AVERAGEIFS(Tableau1[Taux décoché],Tableau1[Tournées],"14T54",Tableau1[Mois],"FÉVRIER"),"")</f>
        <v/>
      </c>
      <c r="G8" s="72" t="s">
        <v>57</v>
      </c>
      <c r="H8" s="72" t="str">
        <f>IFERROR(AVERAGEIFS(Tableau1[Taux décoché],Tableau1[Tournées],"14T56",Tableau1[Mois],"FÉVRIER"),"")</f>
        <v/>
      </c>
      <c r="I8" s="72" t="str">
        <f>IFERROR(AVERAGEIFS(Tableau1[Taux décoché],Tableau1[Tournées],"14T61",Tableau1[Mois],"FÉVRIER"),"")</f>
        <v/>
      </c>
      <c r="J8" s="72" t="str">
        <f>IFERROR(AVERAGEIFS(Tableau1[Taux décoché],Tableau1[Tournées],"14T62",Tableau1[Mois],"FÉVRIER"),"")</f>
        <v/>
      </c>
      <c r="K8" s="72" t="str">
        <f>IFERROR(AVERAGEIFS(Tableau1[Taux décoché],Tableau1[Tournées],"14T63",Tableau1[Mois],"FÉVRIER"),"")</f>
        <v/>
      </c>
      <c r="L8" s="72" t="str">
        <f>IFERROR(AVERAGEIFS(Tableau1[Taux décoché],Tableau1[Tournées],"99R31",Tableau1[Mois],"FÉVRIER"),"")</f>
        <v/>
      </c>
      <c r="M8" s="74" t="str">
        <f t="shared" ref="M8:M18" si="0">IFERROR(AVERAGE(C8:L8),"")</f>
        <v/>
      </c>
      <c r="O8" s="45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8"/>
    </row>
    <row r="9" spans="2:27" x14ac:dyDescent="0.25">
      <c r="B9" s="63" t="s">
        <v>37</v>
      </c>
      <c r="C9" s="72" t="str">
        <f>IFERROR(AVERAGEIFS(Tableau1[Taux décoché],Tableau1[Tournées],"14T51",Tableau1[Mois],"MARS"),"")</f>
        <v/>
      </c>
      <c r="D9" s="72" t="str">
        <f>IFERROR(AVERAGEIFS(Tableau1[Taux décoché],Tableau1[Tournées],"14T52",Tableau1[Mois],"MARS"),"")</f>
        <v/>
      </c>
      <c r="E9" s="72" t="str">
        <f>IFERROR(AVERAGEIFS(Tableau1[Taux décoché],Tableau1[Tournées],"14T53",Tableau1[Mois],"MARS"),"")</f>
        <v/>
      </c>
      <c r="F9" s="72" t="str">
        <f>IFERROR(AVERAGEIFS(Tableau1[Taux décoché],Tableau1[Tournées],"14T54",Tableau1[Mois],"MARS"),"")</f>
        <v/>
      </c>
      <c r="G9" s="72" t="str">
        <f>IFERROR(AVERAGEIFS(Tableau1[Taux décoché],Tableau1[Tournées],"14T55",Tableau1[Mois],"MARS"),"")</f>
        <v/>
      </c>
      <c r="H9" s="72" t="str">
        <f>IFERROR(AVERAGEIFS(Tableau1[Taux décoché],Tableau1[Tournées],"14T56",Tableau1[Mois],"MARS"),"")</f>
        <v/>
      </c>
      <c r="I9" s="72" t="str">
        <f>IFERROR(AVERAGEIFS(Tableau1[Taux décoché],Tableau1[Tournées],"14T61",Tableau1[Mois],"MARS"),"")</f>
        <v/>
      </c>
      <c r="J9" s="72" t="str">
        <f>IFERROR(AVERAGEIFS(Tableau1[Taux décoché],Tableau1[Tournées],"14T62",Tableau1[Mois],"MARS"),"")</f>
        <v/>
      </c>
      <c r="K9" s="72" t="str">
        <f>IFERROR(AVERAGEIFS(Tableau1[Taux décoché],Tableau1[Tournées],"14T63",Tableau1[Mois],"MARS"),"")</f>
        <v/>
      </c>
      <c r="L9" s="72" t="str">
        <f>IFERROR(AVERAGEIFS(Tableau1[Taux décoché],Tableau1[Tournées],"99R31",Tableau1[Mois],"MARS"),"")</f>
        <v/>
      </c>
      <c r="M9" s="74" t="str">
        <f t="shared" si="0"/>
        <v/>
      </c>
      <c r="O9" s="46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49"/>
    </row>
    <row r="10" spans="2:27" x14ac:dyDescent="0.25">
      <c r="B10" s="63" t="s">
        <v>38</v>
      </c>
      <c r="C10" s="72" t="str">
        <f>IFERROR(AVERAGEIFS(Tableau1[Taux décoché],Tableau1[Tournées],"14T51",Tableau1[Mois],"AVRIL"),"")</f>
        <v/>
      </c>
      <c r="D10" s="72" t="str">
        <f>IFERROR(AVERAGEIFS(Tableau1[Taux décoché],Tableau1[Tournées],"14T52",Tableau1[Mois],"AVRIL"),"")</f>
        <v/>
      </c>
      <c r="E10" s="72" t="str">
        <f>IFERROR(AVERAGEIFS(Tableau1[Taux décoché],Tableau1[Tournées],"14T53",Tableau1[Mois],"AVRIL"),"")</f>
        <v/>
      </c>
      <c r="F10" s="72" t="str">
        <f>IFERROR(AVERAGEIFS(Tableau1[Taux décoché],Tableau1[Tournées],"14T54",Tableau1[Mois],"AVRIL"),"")</f>
        <v/>
      </c>
      <c r="G10" s="72" t="str">
        <f>IFERROR(AVERAGEIFS(Tableau1[Taux décoché],Tableau1[Tournées],"14T55",Tableau1[Mois],"AVRIL"),"")</f>
        <v/>
      </c>
      <c r="H10" s="72" t="str">
        <f>IFERROR(AVERAGEIFS(Tableau1[Taux décoché],Tableau1[Tournées],"14T56",Tableau1[Mois],"AVRIL"),"")</f>
        <v/>
      </c>
      <c r="I10" s="72" t="str">
        <f>IFERROR(AVERAGEIFS(Tableau1[Taux décoché],Tableau1[Tournées],"14T61",Tableau1[Mois],"AVRIL"),"")</f>
        <v/>
      </c>
      <c r="J10" s="72" t="str">
        <f>IFERROR(AVERAGEIFS(Tableau1[Taux décoché],Tableau1[Tournées],"14T62",Tableau1[Mois],"AVRIL"),"")</f>
        <v/>
      </c>
      <c r="K10" s="72" t="str">
        <f>IFERROR(AVERAGEIFS(Tableau1[Taux décoché],Tableau1[Tournées],"14T63",Tableau1[Mois],"AVRIL"),"")</f>
        <v/>
      </c>
      <c r="L10" s="72" t="str">
        <f>IFERROR(AVERAGEIFS(Tableau1[Taux décoché],Tableau1[Tournées],"99R31",Tableau1[Mois],"AVRIL"),"")</f>
        <v/>
      </c>
      <c r="M10" s="74" t="str">
        <f t="shared" si="0"/>
        <v/>
      </c>
      <c r="O10" s="46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49"/>
    </row>
    <row r="11" spans="2:27" x14ac:dyDescent="0.25">
      <c r="B11" s="63" t="s">
        <v>39</v>
      </c>
      <c r="C11" s="72" t="str">
        <f>IFERROR(AVERAGEIFS(Tableau1[Taux décoché],Tableau1[Tournées],"14T51",Tableau1[Mois],"MAI"),"")</f>
        <v/>
      </c>
      <c r="D11" s="72" t="str">
        <f>IFERROR(AVERAGEIFS(Tableau1[Taux décoché],Tableau1[Tournées],"14T52",Tableau1[Mois],"MAI"),"")</f>
        <v/>
      </c>
      <c r="E11" s="72" t="str">
        <f>IFERROR(AVERAGEIFS(Tableau1[Taux décoché],Tableau1[Tournées],"14T53",Tableau1[Mois],"MAI"),"")</f>
        <v/>
      </c>
      <c r="F11" s="72" t="str">
        <f>IFERROR(AVERAGEIFS(Tableau1[Taux décoché],Tableau1[Tournées],"14T54",Tableau1[Mois],"MAI"),"")</f>
        <v/>
      </c>
      <c r="G11" s="72" t="str">
        <f>IFERROR(AVERAGEIFS(Tableau1[Taux décoché],Tableau1[Tournées],"14T55",Tableau1[Mois],"MAI"),"")</f>
        <v/>
      </c>
      <c r="H11" s="72" t="str">
        <f>IFERROR(AVERAGEIFS(Tableau1[Taux décoché],Tableau1[Tournées],"14T56",Tableau1[Mois],"MAI"),"")</f>
        <v/>
      </c>
      <c r="I11" s="72" t="str">
        <f>IFERROR(AVERAGEIFS(Tableau1[Taux décoché],Tableau1[Tournées],"14T61",Tableau1[Mois],"MAI"),"")</f>
        <v/>
      </c>
      <c r="J11" s="72" t="str">
        <f>IFERROR(AVERAGEIFS(Tableau1[Taux décoché],Tableau1[Tournées],"14T62",Tableau1[Mois],"MAI"),"")</f>
        <v/>
      </c>
      <c r="K11" s="72" t="str">
        <f>IFERROR(AVERAGEIFS(Tableau1[Taux décoché],Tableau1[Tournées],"14T63",Tableau1[Mois],"MAI"),"")</f>
        <v/>
      </c>
      <c r="L11" s="72" t="str">
        <f>IFERROR(AVERAGEIFS(Tableau1[Taux décoché],Tableau1[Tournées],"99R31",Tableau1[Mois],"MAI"),"")</f>
        <v/>
      </c>
      <c r="M11" s="74" t="str">
        <f t="shared" si="0"/>
        <v/>
      </c>
      <c r="O11" s="46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49"/>
    </row>
    <row r="12" spans="2:27" x14ac:dyDescent="0.25">
      <c r="B12" s="63" t="s">
        <v>40</v>
      </c>
      <c r="C12" s="72" t="str">
        <f>IFERROR(AVERAGEIFS(Tableau1[Taux décoché],Tableau1[Tournées],"14T51",Tableau1[Mois],"JUIN"),"")</f>
        <v/>
      </c>
      <c r="D12" s="72" t="str">
        <f>IFERROR(AVERAGEIFS(Tableau1[Taux décoché],Tableau1[Tournées],"14T52",Tableau1[Mois],"JUIN"),"")</f>
        <v/>
      </c>
      <c r="E12" s="72" t="str">
        <f>IFERROR(AVERAGEIFS(Tableau1[Taux décoché],Tableau1[Tournées],"14T53",Tableau1[Mois],"JUIN"),"")</f>
        <v/>
      </c>
      <c r="F12" s="72" t="str">
        <f>IFERROR(AVERAGEIFS(Tableau1[Taux décoché],Tableau1[Tournées],"14T54",Tableau1[Mois],"JUIN"),"")</f>
        <v/>
      </c>
      <c r="G12" s="72" t="str">
        <f>IFERROR(AVERAGEIFS(Tableau1[Taux décoché],Tableau1[Tournées],"14T55",Tableau1[Mois],"JUIN"),"")</f>
        <v/>
      </c>
      <c r="H12" s="72" t="str">
        <f>IFERROR(AVERAGEIFS(Tableau1[Taux décoché],Tableau1[Tournées],"14T56",Tableau1[Mois],"JUIN"),"")</f>
        <v/>
      </c>
      <c r="I12" s="72" t="str">
        <f>IFERROR(AVERAGEIFS(Tableau1[Taux décoché],Tableau1[Tournées],"14T61",Tableau1[Mois],"JUIN"),"")</f>
        <v/>
      </c>
      <c r="J12" s="72" t="str">
        <f>IFERROR(AVERAGEIFS(Tableau1[Taux décoché],Tableau1[Tournées],"14T62",Tableau1[Mois],"JUIN"),"")</f>
        <v/>
      </c>
      <c r="K12" s="72" t="str">
        <f>IFERROR(AVERAGEIFS(Tableau1[Taux décoché],Tableau1[Tournées],"14T63",Tableau1[Mois],"JUIN"),"")</f>
        <v/>
      </c>
      <c r="L12" s="72" t="str">
        <f>IFERROR(AVERAGEIFS(Tableau1[Taux décoché],Tableau1[Tournées],"99R31",Tableau1[Mois],"JUIN"),"")</f>
        <v/>
      </c>
      <c r="M12" s="74" t="str">
        <f t="shared" si="0"/>
        <v/>
      </c>
      <c r="O12" s="46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49"/>
    </row>
    <row r="13" spans="2:27" x14ac:dyDescent="0.25">
      <c r="B13" s="63" t="s">
        <v>41</v>
      </c>
      <c r="C13" s="72" t="str">
        <f>IFERROR(AVERAGEIFS(Tableau1[Taux décoché],Tableau1[Tournées],"14T51",Tableau1[Mois],"JUILLET"),"")</f>
        <v/>
      </c>
      <c r="D13" s="72" t="str">
        <f>IFERROR(AVERAGEIFS(Tableau1[Taux décoché],Tableau1[Tournées],"14T52",Tableau1[Mois],"JUILLET"),"")</f>
        <v/>
      </c>
      <c r="E13" s="72" t="str">
        <f>IFERROR(AVERAGEIFS(Tableau1[Taux décoché],Tableau1[Tournées],"14T53",Tableau1[Mois],"JUILLET"),"")</f>
        <v/>
      </c>
      <c r="F13" s="72" t="str">
        <f>IFERROR(AVERAGEIFS(Tableau1[Taux décoché],Tableau1[Tournées],"14T54",Tableau1[Mois],"JUILLET"),"")</f>
        <v/>
      </c>
      <c r="G13" s="72" t="str">
        <f>IFERROR(AVERAGEIFS(Tableau1[Taux décoché],Tableau1[Tournées],"14T55",Tableau1[Mois],"JUILLET"),"")</f>
        <v/>
      </c>
      <c r="H13" s="72" t="str">
        <f>IFERROR(AVERAGEIFS(Tableau1[Taux décoché],Tableau1[Tournées],"14T56",Tableau1[Mois],"JUILLET"),"")</f>
        <v/>
      </c>
      <c r="I13" s="72" t="str">
        <f>IFERROR(AVERAGEIFS(Tableau1[Taux décoché],Tableau1[Tournées],"14T61",Tableau1[Mois],"JUILLET"),"")</f>
        <v/>
      </c>
      <c r="J13" s="72" t="str">
        <f>IFERROR(AVERAGEIFS(Tableau1[Taux décoché],Tableau1[Tournées],"14T62",Tableau1[Mois],"JUILLET"),"")</f>
        <v/>
      </c>
      <c r="K13" s="72" t="str">
        <f>IFERROR(AVERAGEIFS(Tableau1[Taux décoché],Tableau1[Tournées],"14T63",Tableau1[Mois],"JUILLET"),"")</f>
        <v/>
      </c>
      <c r="L13" s="72" t="str">
        <f>IFERROR(AVERAGEIFS(Tableau1[Taux décoché],Tableau1[Tournées],"99R31",Tableau1[Mois],"JUILLET"),"")</f>
        <v/>
      </c>
      <c r="M13" s="74" t="str">
        <f t="shared" si="0"/>
        <v/>
      </c>
      <c r="O13" s="46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49"/>
    </row>
    <row r="14" spans="2:27" x14ac:dyDescent="0.25">
      <c r="B14" s="63" t="s">
        <v>42</v>
      </c>
      <c r="C14" s="72" t="str">
        <f>IFERROR(AVERAGEIFS(Tableau1[Taux décoché],Tableau1[Tournées],"14T51",Tableau1[Mois],"AOÛT"),"")</f>
        <v/>
      </c>
      <c r="D14" s="72" t="str">
        <f>IFERROR(AVERAGEIFS(Tableau1[Taux décoché],Tableau1[Tournées],"14T52",Tableau1[Mois],"AOÛT"),"")</f>
        <v/>
      </c>
      <c r="E14" s="72" t="str">
        <f>IFERROR(AVERAGEIFS(Tableau1[Taux décoché],Tableau1[Tournées],"14T53",Tableau1[Mois],"AOÛT"),"")</f>
        <v/>
      </c>
      <c r="F14" s="72" t="str">
        <f>IFERROR(AVERAGEIFS(Tableau1[Taux décoché],Tableau1[Tournées],"14T54",Tableau1[Mois],"AOÛT"),"")</f>
        <v/>
      </c>
      <c r="G14" s="72" t="str">
        <f>IFERROR(AVERAGEIFS(Tableau1[Taux décoché],Tableau1[Tournées],"14T55",Tableau1[Mois],"AOÛT"),"")</f>
        <v/>
      </c>
      <c r="H14" s="72" t="str">
        <f>IFERROR(AVERAGEIFS(Tableau1[Taux décoché],Tableau1[Tournées],"14T56",Tableau1[Mois],"AOÛT"),"")</f>
        <v/>
      </c>
      <c r="I14" s="72" t="str">
        <f>IFERROR(AVERAGEIFS(Tableau1[Taux décoché],Tableau1[Tournées],"14T61",Tableau1[Mois],"AOÛT"),"")</f>
        <v/>
      </c>
      <c r="J14" s="72" t="str">
        <f>IFERROR(AVERAGEIFS(Tableau1[Taux décoché],Tableau1[Tournées],"14T62",Tableau1[Mois],"AOÛT"),"")</f>
        <v/>
      </c>
      <c r="K14" s="72" t="str">
        <f>IFERROR(AVERAGEIFS(Tableau1[Taux décoché],Tableau1[Tournées],"14T63",Tableau1[Mois],"AOÛT"),"")</f>
        <v/>
      </c>
      <c r="L14" s="72" t="str">
        <f>IFERROR(AVERAGEIFS(Tableau1[Taux décoché],Tableau1[Tournées],"99R31",Tableau1[Mois],"AOÛT"),"")</f>
        <v/>
      </c>
      <c r="M14" s="74" t="str">
        <f t="shared" si="0"/>
        <v/>
      </c>
      <c r="O14" s="46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49"/>
    </row>
    <row r="15" spans="2:27" x14ac:dyDescent="0.25">
      <c r="B15" s="63" t="s">
        <v>43</v>
      </c>
      <c r="C15" s="72" t="str">
        <f>IFERROR(AVERAGEIFS(Tableau1[Taux décoché],Tableau1[Tournées],"14T51",Tableau1[Mois],"SEPTEMBRE"),"")</f>
        <v/>
      </c>
      <c r="D15" s="72" t="str">
        <f>IFERROR(AVERAGEIFS(Tableau1[Taux décoché],Tableau1[Tournées],"14T52",Tableau1[Mois],"SEPTEMBRE"),"")</f>
        <v/>
      </c>
      <c r="E15" s="72" t="str">
        <f>IFERROR(AVERAGEIFS(Tableau1[Taux décoché],Tableau1[Tournées],"14T53",Tableau1[Mois],"SEPTEMBRE"),"")</f>
        <v/>
      </c>
      <c r="F15" s="72" t="str">
        <f>IFERROR(AVERAGEIFS(Tableau1[Taux décoché],Tableau1[Tournées],"14T54",Tableau1[Mois],"SEPTEMBRE"),"")</f>
        <v/>
      </c>
      <c r="G15" s="72" t="str">
        <f>IFERROR(AVERAGEIFS(Tableau1[Taux décoché],Tableau1[Tournées],"14T55",Tableau1[Mois],"SEPTEMBRE"),"")</f>
        <v/>
      </c>
      <c r="H15" s="72" t="str">
        <f>IFERROR(AVERAGEIFS(Tableau1[Taux décoché],Tableau1[Tournées],"14T56",Tableau1[Mois],"SEPTEMBRE"),"")</f>
        <v/>
      </c>
      <c r="I15" s="72" t="str">
        <f>IFERROR(AVERAGEIFS(Tableau1[Taux décoché],Tableau1[Tournées],"14T61",Tableau1[Mois],"SEPTEMBRE"),"")</f>
        <v/>
      </c>
      <c r="J15" s="72" t="str">
        <f>IFERROR(AVERAGEIFS(Tableau1[Taux décoché],Tableau1[Tournées],"14T62",Tableau1[Mois],"SEPTEMBRE"),"")</f>
        <v/>
      </c>
      <c r="K15" s="72" t="str">
        <f>IFERROR(AVERAGEIFS(Tableau1[Taux décoché],Tableau1[Tournées],"14T63",Tableau1[Mois],"SEPTEMBRE"),"")</f>
        <v/>
      </c>
      <c r="L15" s="72" t="str">
        <f>IFERROR(AVERAGEIFS(Tableau1[Taux décoché],Tableau1[Tournées],"99R31",Tableau1[Mois],"SEPTEMBRE"),"")</f>
        <v/>
      </c>
      <c r="M15" s="74" t="str">
        <f t="shared" si="0"/>
        <v/>
      </c>
      <c r="O15" s="46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49"/>
    </row>
    <row r="16" spans="2:27" x14ac:dyDescent="0.25">
      <c r="B16" s="63" t="s">
        <v>44</v>
      </c>
      <c r="C16" s="72" t="str">
        <f>IFERROR(AVERAGEIFS(Tableau1[Taux décoché],Tableau1[Tournées],"14T51",Tableau1[Mois],"OCTOBRE"),"")</f>
        <v/>
      </c>
      <c r="D16" s="72" t="str">
        <f>IFERROR(AVERAGEIFS(Tableau1[Taux décoché],Tableau1[Tournées],"14T52",Tableau1[Mois],"OCTOBRE"),"")</f>
        <v/>
      </c>
      <c r="E16" s="72" t="str">
        <f>IFERROR(AVERAGEIFS(Tableau1[Taux décoché],Tableau1[Tournées],"14T53",Tableau1[Mois],"OCTOBRE"),"")</f>
        <v/>
      </c>
      <c r="F16" s="72" t="str">
        <f>IFERROR(AVERAGEIFS(Tableau1[Taux décoché],Tableau1[Tournées],"14T54",Tableau1[Mois],"OCTOBRE"),"")</f>
        <v/>
      </c>
      <c r="G16" s="72" t="str">
        <f>IFERROR(AVERAGEIFS(Tableau1[Taux décoché],Tableau1[Tournées],"14T55",Tableau1[Mois],"OCTOBRE"),"")</f>
        <v/>
      </c>
      <c r="H16" s="72" t="str">
        <f>IFERROR(AVERAGEIFS(Tableau1[Taux décoché],Tableau1[Tournées],"14T56",Tableau1[Mois],"OCTOBRE"),"")</f>
        <v/>
      </c>
      <c r="I16" s="72" t="str">
        <f>IFERROR(AVERAGEIFS(Tableau1[Taux décoché],Tableau1[Tournées],"14T61",Tableau1[Mois],"OCTOBRE"),"")</f>
        <v/>
      </c>
      <c r="J16" s="72" t="str">
        <f>IFERROR(AVERAGEIFS(Tableau1[Taux décoché],Tableau1[Tournées],"14T62",Tableau1[Mois],"OCTOBRE"),"")</f>
        <v/>
      </c>
      <c r="K16" s="72" t="str">
        <f>IFERROR(AVERAGEIFS(Tableau1[Taux décoché],Tableau1[Tournées],"14T63",Tableau1[Mois],"OCTOBRE"),"")</f>
        <v/>
      </c>
      <c r="L16" s="72" t="str">
        <f>IFERROR(AVERAGEIFS(Tableau1[Taux décoché],Tableau1[Tournées],"99R31",Tableau1[Mois],"OCTOBRE"),"")</f>
        <v/>
      </c>
      <c r="M16" s="74" t="str">
        <f t="shared" si="0"/>
        <v/>
      </c>
      <c r="O16" s="46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49"/>
    </row>
    <row r="17" spans="2:27" x14ac:dyDescent="0.25">
      <c r="B17" s="63" t="s">
        <v>45</v>
      </c>
      <c r="C17" s="72">
        <f>IFERROR(AVERAGEIFS(Tableau1[Taux décoché],Tableau1[Tournées],"14T51",Tableau1[Mois],"NOVEMBRE"),"")</f>
        <v>6.8633333333333338E-2</v>
      </c>
      <c r="D17" s="72">
        <f>IFERROR(AVERAGEIFS(Tableau1[Taux décoché],Tableau1[Tournées],"14T52",Tableau1[Mois],"NOVEMBRE"),"")</f>
        <v>5.7925000000000004E-2</v>
      </c>
      <c r="E17" s="72">
        <f>IFERROR(AVERAGEIFS(Tableau1[Taux décoché],Tableau1[Tournées],"14T53",Tableau1[Mois],"NOVEMBRE"),"")</f>
        <v>1.6500000000000001E-2</v>
      </c>
      <c r="F17" s="72">
        <f>IFERROR(AVERAGEIFS(Tableau1[Taux décoché],Tableau1[Tournées],"14T54",Tableau1[Mois],"NOVEMBRE"),"")</f>
        <v>0.13085000000000002</v>
      </c>
      <c r="G17" s="72">
        <f>IFERROR(AVERAGEIFS(Tableau1[Taux décoché],Tableau1[Tournées],"14T55",Tableau1[Mois],"NOVEMBRE"),"")</f>
        <v>2.7833333333333331E-2</v>
      </c>
      <c r="H17" s="72">
        <f>IFERROR(AVERAGEIFS(Tableau1[Taux décoché],Tableau1[Tournées],"14T56",Tableau1[Mois],"NOVEMBRE"),"")</f>
        <v>1.925E-2</v>
      </c>
      <c r="I17" s="72">
        <f>IFERROR(AVERAGEIFS(Tableau1[Taux décoché],Tableau1[Tournées],"14T61",Tableau1[Mois],"NOVEMBRE"),"")</f>
        <v>6.5874999999999989E-2</v>
      </c>
      <c r="J17" s="72">
        <f>IFERROR(AVERAGEIFS(Tableau1[Taux décoché],Tableau1[Tournées],"14T62",Tableau1[Mois],"NOVEMBRE"),"")</f>
        <v>7.3075000000000001E-2</v>
      </c>
      <c r="K17" s="72">
        <f>IFERROR(AVERAGEIFS(Tableau1[Taux décoché],Tableau1[Tournées],"14T63",Tableau1[Mois],"NOVEMBRE"),"")</f>
        <v>0.10009999999999999</v>
      </c>
      <c r="L17" s="72" t="str">
        <f>IFERROR(AVERAGEIFS(Tableau1[Taux décoché],Tableau1[Tournées],"99R31",Tableau1[Mois],"NOVEMBRE"),"")</f>
        <v/>
      </c>
      <c r="M17" s="74">
        <f t="shared" si="0"/>
        <v>6.2226851851851853E-2</v>
      </c>
      <c r="O17" s="46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49"/>
    </row>
    <row r="18" spans="2:27" x14ac:dyDescent="0.25">
      <c r="B18" s="63" t="s">
        <v>46</v>
      </c>
      <c r="C18" s="72" t="str">
        <f>IFERROR(AVERAGEIFS(Tableau1[Taux décoché],Tableau1[Tournées],"14T51",Tableau1[Mois],"DÉCEMBRE"),"")</f>
        <v/>
      </c>
      <c r="D18" s="72" t="str">
        <f>IFERROR(AVERAGEIFS(Tableau1[Taux décoché],Tableau1[Tournées],"14T52",Tableau1[Mois],"DÉCEMBRE"),"")</f>
        <v/>
      </c>
      <c r="E18" s="72"/>
      <c r="F18" s="72" t="str">
        <f>IFERROR(AVERAGEIFS(Tableau1[Taux décoché],Tableau1[Tournées],"14T54",Tableau1[Mois],"DÉCEMBRE"),"")</f>
        <v/>
      </c>
      <c r="G18" s="72" t="str">
        <f>IFERROR(AVERAGEIFS(Tableau1[Taux décoché],Tableau1[Tournées],"14T55",Tableau1[Mois],"DÉCEMBRE"),"")</f>
        <v/>
      </c>
      <c r="H18" s="72" t="str">
        <f>IFERROR(AVERAGEIFS(Tableau1[Taux décoché],Tableau1[Tournées],"14T56",Tableau1[Mois],"DÉCEMBRE"),"")</f>
        <v/>
      </c>
      <c r="I18" s="72" t="str">
        <f>IFERROR(AVERAGEIFS(Tableau1[Taux décoché],Tableau1[Tournées],"14T61",Tableau1[Mois],"DÉCEMBRE"),"")</f>
        <v/>
      </c>
      <c r="J18" s="72" t="str">
        <f>IFERROR(AVERAGEIFS(Tableau1[Taux décoché],Tableau1[Tournées],"14T62",Tableau1[Mois],"DÉCEMBRE"),"")</f>
        <v/>
      </c>
      <c r="K18" s="72" t="str">
        <f>IFERROR(AVERAGEIFS(Tableau1[Taux décoché],Tableau1[Tournées],"14T63",Tableau1[Mois],"DÉCEMBRE"),"")</f>
        <v/>
      </c>
      <c r="L18" s="72" t="str">
        <f>IFERROR(AVERAGEIFS(Tableau1[Taux décoché],Tableau1[Tournées],"99R31",Tableau1[Mois],"DÉCEMBRE"),"")</f>
        <v/>
      </c>
      <c r="M18" s="74" t="str">
        <f t="shared" si="0"/>
        <v/>
      </c>
      <c r="O18" s="46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49"/>
    </row>
    <row r="19" spans="2:27" ht="15.75" thickBot="1" x14ac:dyDescent="0.3">
      <c r="B19" s="64" t="s">
        <v>47</v>
      </c>
      <c r="C19" s="73">
        <f>IFERROR(AVERAGE(C7:C18),"")</f>
        <v>6.8633333333333338E-2</v>
      </c>
      <c r="D19" s="73">
        <f>IFERROR(AVERAGE(D7:D18),"")</f>
        <v>5.7925000000000004E-2</v>
      </c>
      <c r="E19" s="73">
        <f>IFERROR(AVERAGE(E7:E18),"")</f>
        <v>1.6500000000000001E-2</v>
      </c>
      <c r="F19" s="73">
        <f>IFERROR(AVERAGE(F7:F18),"")</f>
        <v>0.13085000000000002</v>
      </c>
      <c r="G19" s="73">
        <f>IFERROR(AVERAGE(G7:G18),"")</f>
        <v>2.7833333333333331E-2</v>
      </c>
      <c r="H19" s="73">
        <f>IFERROR(AVERAGE(H7:H18),"")</f>
        <v>1.925E-2</v>
      </c>
      <c r="I19" s="73">
        <f>IFERROR(AVERAGE(I7:I18),"")</f>
        <v>6.5874999999999989E-2</v>
      </c>
      <c r="J19" s="73">
        <f>IFERROR(AVERAGE(J7:J18),"")</f>
        <v>7.3075000000000001E-2</v>
      </c>
      <c r="K19" s="73">
        <f>IFERROR(AVERAGE(K7:K18),"")</f>
        <v>0.10009999999999999</v>
      </c>
      <c r="L19" s="73" t="str">
        <f>IFERROR(AVERAGE(L7:L18),"")</f>
        <v/>
      </c>
      <c r="M19" s="75"/>
      <c r="O19" s="50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2"/>
    </row>
    <row r="20" spans="2:27" ht="15.75" thickBot="1" x14ac:dyDescent="0.3">
      <c r="O20" s="3" t="s">
        <v>25</v>
      </c>
    </row>
    <row r="21" spans="2:27" ht="19.5" thickBot="1" x14ac:dyDescent="0.35">
      <c r="B21" s="68" t="s">
        <v>59</v>
      </c>
      <c r="C21" s="69"/>
      <c r="D21" s="69"/>
      <c r="E21" s="69"/>
      <c r="F21" s="69"/>
      <c r="G21" s="69"/>
      <c r="H21" s="69"/>
      <c r="I21" s="69"/>
      <c r="J21" s="69"/>
      <c r="K21" s="69"/>
      <c r="L21" s="70"/>
      <c r="O21" s="80" t="str" cm="1">
        <f t="array" ref="O21">IFERROR(HYPERLINK(ValCellule2(Décoché_Graph!B67)),Décoché_Graph!B67)</f>
        <v>14T51</v>
      </c>
      <c r="P21" s="80" t="str" cm="1">
        <f t="array" ref="P21">IFERROR(HYPERLINK(ValCellule2(Décoché_Graph!C67)),Décoché_Graph!C67)</f>
        <v>14T52</v>
      </c>
      <c r="Q21" s="80" t="str" cm="1">
        <f t="array" ref="Q21">IFERROR(HYPERLINK(ValCellule2(Décoché_Graph!D67)),Décoché_Graph!D67)</f>
        <v>14T53</v>
      </c>
      <c r="R21" s="80" t="str" cm="1">
        <f t="array" ref="R21">IFERROR(HYPERLINK(ValCellule2(Décoché_Graph!E67)),Décoché_Graph!E67)</f>
        <v>14T54</v>
      </c>
      <c r="S21" s="80" t="str" cm="1">
        <f t="array" ref="S21">IFERROR(HYPERLINK(ValCellule2(Décoché_Graph!F67)),Décoché_Graph!F67)</f>
        <v>14T55</v>
      </c>
      <c r="T21" s="80" t="str" cm="1">
        <f t="array" ref="T21">IFERROR(HYPERLINK(ValCellule2(Décoché_Graph!G67)),Décoché_Graph!G67)</f>
        <v>14T56</v>
      </c>
      <c r="U21" s="80" t="str" cm="1">
        <f t="array" ref="U21">IFERROR(HYPERLINK(ValCellule2(Décoché_Graph!H67)),Décoché_Graph!H67)</f>
        <v>14T61</v>
      </c>
      <c r="V21" s="80" t="str" cm="1">
        <f t="array" ref="V21">IFERROR(HYPERLINK(ValCellule2(Décoché_Graph!I67)),Décoché_Graph!I67)</f>
        <v>14T62</v>
      </c>
      <c r="W21" s="80" t="str" cm="1">
        <f t="array" ref="W21">IFERROR(HYPERLINK(ValCellule2(Décoché_Graph!J67)),Décoché_Graph!J67)</f>
        <v>14T63</v>
      </c>
      <c r="X21" s="80" t="str" cm="1">
        <f t="array" ref="X21">IFERROR(HYPERLINK(ValCellule2(Décoché_Graph!K67)),Décoché_Graph!K67)</f>
        <v>99R31</v>
      </c>
    </row>
    <row r="22" spans="2:27" ht="19.5" thickBot="1" x14ac:dyDescent="0.35">
      <c r="B22" s="65"/>
      <c r="C22" s="66" t="s">
        <v>50</v>
      </c>
      <c r="D22" s="66" t="s">
        <v>51</v>
      </c>
      <c r="E22" s="66" t="s">
        <v>52</v>
      </c>
      <c r="F22" s="66" t="s">
        <v>53</v>
      </c>
      <c r="G22" s="66" t="s">
        <v>48</v>
      </c>
      <c r="H22" s="66" t="s">
        <v>54</v>
      </c>
      <c r="I22" s="66" t="s">
        <v>49</v>
      </c>
      <c r="J22" s="66" t="s">
        <v>55</v>
      </c>
      <c r="K22" s="66" t="s">
        <v>56</v>
      </c>
      <c r="L22" s="67" t="s">
        <v>47</v>
      </c>
      <c r="O22" s="81"/>
      <c r="P22" s="81"/>
      <c r="Q22" s="81"/>
      <c r="R22" s="81"/>
      <c r="S22" s="81"/>
      <c r="T22" s="81"/>
      <c r="U22" s="81"/>
      <c r="V22" s="81"/>
      <c r="W22" s="81"/>
      <c r="X22" s="81"/>
    </row>
    <row r="23" spans="2:27" x14ac:dyDescent="0.25">
      <c r="B23" s="63" t="s">
        <v>35</v>
      </c>
      <c r="C23" s="72" t="str">
        <f>IFERROR(AVERAGEIFS(Tableau1[Taux décoché],Tableau1[Livreurs],"Skandar",Tableau1[Mois],"JANVIER"),"")</f>
        <v/>
      </c>
      <c r="D23" s="72" t="str">
        <f>IFERROR(AVERAGEIFS(Tableau1[Taux décoché],Tableau1[Livreurs],"Sami",Tableau1[Mois],"JANVIER"),"")</f>
        <v/>
      </c>
      <c r="E23" s="72" t="str">
        <f>IFERROR(AVERAGEIFS(Tableau1[Taux décoché],Tableau1[Livreurs],"Théo",Tableau1[Mois],"JANVIER"),"")</f>
        <v/>
      </c>
      <c r="F23" s="72" t="str">
        <f>IFERROR(AVERAGEIFS(Tableau1[Taux décoché],Tableau1[Livreurs],"Matthias",Tableau1[Mois],"JANVIER"),"")</f>
        <v/>
      </c>
      <c r="G23" s="72" t="str">
        <f>IFERROR(AVERAGEIFS(Tableau1[Taux décoché],Tableau1[Livreurs],"Jonathan",Tableau1[Mois],"JANVIER"),"")</f>
        <v/>
      </c>
      <c r="H23" s="72" t="str">
        <f>IFERROR(AVERAGEIFS(Tableau1[Taux décoché],Tableau1[Livreurs],"Maxime",Tableau1[Mois],"JANVIER"),"")</f>
        <v/>
      </c>
      <c r="I23" s="72" t="str">
        <f>IFERROR(AVERAGEIFS(Tableau1[Taux décoché],Tableau1[Livreurs],"Bryan",Tableau1[Mois],"JANVIER"),"")</f>
        <v/>
      </c>
      <c r="J23" s="72" t="str">
        <f>IFERROR(AVERAGEIFS(Tableau1[Taux décoché],Tableau1[Livreurs],"David",Tableau1[Mois],"JANVIER"),"")</f>
        <v/>
      </c>
      <c r="K23" s="72" t="str">
        <f>IFERROR(AVERAGEIFS(Tableau1[Taux décoché],Tableau1[Livreurs],"Julien",Tableau1[Mois],"JANVIER"),"")</f>
        <v/>
      </c>
      <c r="L23" s="74" t="str">
        <f>IFERROR(AVERAGE(C23:K23),"")</f>
        <v/>
      </c>
    </row>
    <row r="24" spans="2:27" x14ac:dyDescent="0.25">
      <c r="B24" s="63" t="s">
        <v>36</v>
      </c>
      <c r="C24" s="72" t="str">
        <f>IFERROR(AVERAGEIFS(Tableau1[Taux décoché],Tableau1[Livreurs],"Skandar",Tableau1[Mois],"FÉVRIER"),"")</f>
        <v/>
      </c>
      <c r="D24" s="72" t="str">
        <f>IFERROR(AVERAGEIFS(Tableau1[Taux décoché],Tableau1[Livreurs],"Sami",Tableau1[Mois],"FÉVRIER"),"")</f>
        <v/>
      </c>
      <c r="E24" s="72" t="str">
        <f>IFERROR(AVERAGEIFS(Tableau1[Taux décoché],Tableau1[Livreurs],"Théo",Tableau1[Mois],"FÉVRIER"),"")</f>
        <v/>
      </c>
      <c r="F24" s="72" t="str">
        <f>IFERROR(AVERAGEIFS(Tableau1[Taux décoché],Tableau1[Livreurs],"Matthias",Tableau1[Mois],"FÉVRIER"),"")</f>
        <v/>
      </c>
      <c r="G24" s="72" t="s">
        <v>57</v>
      </c>
      <c r="H24" s="72" t="str">
        <f>IFERROR(AVERAGEIFS(Tableau1[Taux décoché],Tableau1[Livreurs],"Maxime",Tableau1[Mois],"FÉVRIER"),"")</f>
        <v/>
      </c>
      <c r="I24" s="72" t="str">
        <f>IFERROR(AVERAGEIFS(Tableau1[Taux décoché],Tableau1[Livreurs],"Bryan",Tableau1[Mois],"FÉVRIER"),"")</f>
        <v/>
      </c>
      <c r="J24" s="72" t="str">
        <f>IFERROR(AVERAGEIFS(Tableau1[Taux décoché],Tableau1[Livreurs],"David",Tableau1[Mois],"FÉVRIER"),"")</f>
        <v/>
      </c>
      <c r="K24" s="72" t="str">
        <f>IFERROR(AVERAGEIFS(Tableau1[Taux décoché],Tableau1[Livreurs],"Julien",Tableau1[Mois],"FÉVRIER"),"")</f>
        <v/>
      </c>
      <c r="L24" s="74" t="str">
        <f>IFERROR(AVERAGE(C24:K24),"")</f>
        <v/>
      </c>
      <c r="O24" s="45"/>
      <c r="P24" s="47"/>
      <c r="Q24" s="47"/>
      <c r="R24" s="47"/>
      <c r="S24" s="47"/>
      <c r="T24" s="47"/>
      <c r="U24" s="47"/>
      <c r="V24" s="47"/>
      <c r="W24" s="47"/>
      <c r="X24" s="48"/>
    </row>
    <row r="25" spans="2:27" x14ac:dyDescent="0.25">
      <c r="B25" s="63" t="s">
        <v>37</v>
      </c>
      <c r="C25" s="72" t="str">
        <f>IFERROR(AVERAGEIFS(Tableau1[Taux décoché],Tableau1[Livreurs],"Skandar",Tableau1[Mois],"MARS"),"")</f>
        <v/>
      </c>
      <c r="D25" s="72" t="str">
        <f>IFERROR(AVERAGEIFS(Tableau1[Taux décoché],Tableau1[Livreurs],"Sami",Tableau1[Mois],"MARS"),"")</f>
        <v/>
      </c>
      <c r="E25" s="72" t="str">
        <f>IFERROR(AVERAGEIFS(Tableau1[Taux décoché],Tableau1[Livreurs],"Théo",Tableau1[Mois],"MARS"),"")</f>
        <v/>
      </c>
      <c r="F25" s="72" t="str">
        <f>IFERROR(AVERAGEIFS(Tableau1[Taux décoché],Tableau1[Livreurs],"Matthias",Tableau1[Mois],"MARS"),"")</f>
        <v/>
      </c>
      <c r="G25" s="72" t="str">
        <f>IFERROR(AVERAGEIFS(Tableau1[Taux décoché],Tableau1[Livreurs],"Jonathan",Tableau1[Mois],"MARS"),"")</f>
        <v/>
      </c>
      <c r="H25" s="72" t="str">
        <f>IFERROR(AVERAGEIFS(Tableau1[Taux décoché],Tableau1[Livreurs],"Maxime",Tableau1[Mois],"MARS"),"")</f>
        <v/>
      </c>
      <c r="I25" s="72" t="str">
        <f>IFERROR(AVERAGEIFS(Tableau1[Taux décoché],Tableau1[Livreurs],"Bryan",Tableau1[Mois],"MARS"),"")</f>
        <v/>
      </c>
      <c r="J25" s="72" t="str">
        <f>IFERROR(AVERAGEIFS(Tableau1[Taux décoché],Tableau1[Livreurs],"David",Tableau1[Mois],"MARS"),"")</f>
        <v/>
      </c>
      <c r="K25" s="72" t="str">
        <f>IFERROR(AVERAGEIFS(Tableau1[Taux décoché],Tableau1[Livreurs],"Julien",Tableau1[Mois],"MARS"),"")</f>
        <v/>
      </c>
      <c r="L25" s="74" t="str">
        <f>IFERROR(AVERAGE(C25:K25),"")</f>
        <v/>
      </c>
      <c r="O25" s="46"/>
      <c r="P25" s="53"/>
      <c r="Q25" s="53"/>
      <c r="R25" s="53"/>
      <c r="S25" s="53"/>
      <c r="T25" s="53"/>
      <c r="U25" s="53"/>
      <c r="V25" s="53"/>
      <c r="W25" s="53"/>
      <c r="X25" s="49"/>
    </row>
    <row r="26" spans="2:27" x14ac:dyDescent="0.25">
      <c r="B26" s="63" t="s">
        <v>38</v>
      </c>
      <c r="C26" s="72" t="str">
        <f>IFERROR(AVERAGEIFS(Tableau1[Taux décoché],Tableau1[Livreurs],"Skandar",Tableau1[Mois],"AVRIL"),"")</f>
        <v/>
      </c>
      <c r="D26" s="72" t="str">
        <f>IFERROR(AVERAGEIFS(Tableau1[Taux décoché],Tableau1[Livreurs],"Sami",Tableau1[Mois],"AVRIL"),"")</f>
        <v/>
      </c>
      <c r="E26" s="72" t="str">
        <f>IFERROR(AVERAGEIFS(Tableau1[Taux décoché],Tableau1[Livreurs],"Théo",Tableau1[Mois],"AVRIL"),"")</f>
        <v/>
      </c>
      <c r="F26" s="72" t="str">
        <f>IFERROR(AVERAGEIFS(Tableau1[Taux décoché],Tableau1[Livreurs],"Matthias",Tableau1[Mois],"AVRIL"),"")</f>
        <v/>
      </c>
      <c r="G26" s="72" t="str">
        <f>IFERROR(AVERAGEIFS(Tableau1[Taux décoché],Tableau1[Livreurs],"Jonathan",Tableau1[Mois],"AVRIL"),"")</f>
        <v/>
      </c>
      <c r="H26" s="72" t="str">
        <f>IFERROR(AVERAGEIFS(Tableau1[Taux décoché],Tableau1[Livreurs],"Maxime",Tableau1[Mois],"AVRIL"),"")</f>
        <v/>
      </c>
      <c r="I26" s="72" t="str">
        <f>IFERROR(AVERAGEIFS(Tableau1[Taux décoché],Tableau1[Livreurs],"Bryan",Tableau1[Mois],"AVRIL"),"")</f>
        <v/>
      </c>
      <c r="J26" s="72" t="str">
        <f>IFERROR(AVERAGEIFS(Tableau1[Taux décoché],Tableau1[Livreurs],"David",Tableau1[Mois],"AVRIL"),"")</f>
        <v/>
      </c>
      <c r="K26" s="72" t="str">
        <f>IFERROR(AVERAGEIFS(Tableau1[Taux décoché],Tableau1[Livreurs],"Julien",Tableau1[Mois],"AVRIL"),"")</f>
        <v/>
      </c>
      <c r="L26" s="74" t="str">
        <f>IFERROR(AVERAGE(C26:K26),"")</f>
        <v/>
      </c>
      <c r="O26" s="46"/>
      <c r="P26" s="53"/>
      <c r="Q26" s="53"/>
      <c r="R26" s="53"/>
      <c r="S26" s="53"/>
      <c r="T26" s="53"/>
      <c r="U26" s="53"/>
      <c r="V26" s="53"/>
      <c r="W26" s="53"/>
      <c r="X26" s="49"/>
    </row>
    <row r="27" spans="2:27" x14ac:dyDescent="0.25">
      <c r="B27" s="63" t="s">
        <v>39</v>
      </c>
      <c r="C27" s="72" t="str">
        <f>IFERROR(AVERAGEIFS(Tableau1[Taux décoché],Tableau1[Livreurs],"Skandar",Tableau1[Mois],"MAI"),"")</f>
        <v/>
      </c>
      <c r="D27" s="72" t="str">
        <f>IFERROR(AVERAGEIFS(Tableau1[Taux décoché],Tableau1[Livreurs],"Sami",Tableau1[Mois],"MAI"),"")</f>
        <v/>
      </c>
      <c r="E27" s="72" t="str">
        <f>IFERROR(AVERAGEIFS(Tableau1[Taux décoché],Tableau1[Livreurs],"Théo",Tableau1[Mois],"MAI"),"")</f>
        <v/>
      </c>
      <c r="F27" s="72" t="str">
        <f>IFERROR(AVERAGEIFS(Tableau1[Taux décoché],Tableau1[Livreurs],"Matthias",Tableau1[Mois],"MAI"),"")</f>
        <v/>
      </c>
      <c r="G27" s="72" t="str">
        <f>IFERROR(AVERAGEIFS(Tableau1[Taux décoché],Tableau1[Livreurs],"Jonathan",Tableau1[Mois],"MAI"),"")</f>
        <v/>
      </c>
      <c r="H27" s="72" t="str">
        <f>IFERROR(AVERAGEIFS(Tableau1[Taux décoché],Tableau1[Livreurs],"Maxime",Tableau1[Mois],"MAI"),"")</f>
        <v/>
      </c>
      <c r="I27" s="72" t="str">
        <f>IFERROR(AVERAGEIFS(Tableau1[Taux décoché],Tableau1[Livreurs],"Bryan",Tableau1[Mois],"MAI"),"")</f>
        <v/>
      </c>
      <c r="J27" s="72" t="str">
        <f>IFERROR(AVERAGEIFS(Tableau1[Taux décoché],Tableau1[Livreurs],"David",Tableau1[Mois],"MAI"),"")</f>
        <v/>
      </c>
      <c r="K27" s="72" t="str">
        <f>IFERROR(AVERAGEIFS(Tableau1[Taux décoché],Tableau1[Livreurs],"Julien",Tableau1[Mois],"MAI"),"")</f>
        <v/>
      </c>
      <c r="L27" s="74" t="str">
        <f>IFERROR(AVERAGE(C27:K27),"")</f>
        <v/>
      </c>
      <c r="O27" s="46"/>
      <c r="P27" s="53"/>
      <c r="Q27" s="53"/>
      <c r="R27" s="53"/>
      <c r="S27" s="53"/>
      <c r="T27" s="53"/>
      <c r="U27" s="53"/>
      <c r="V27" s="53"/>
      <c r="W27" s="53"/>
      <c r="X27" s="49"/>
    </row>
    <row r="28" spans="2:27" x14ac:dyDescent="0.25">
      <c r="B28" s="63" t="s">
        <v>40</v>
      </c>
      <c r="C28" s="72" t="str">
        <f>IFERROR(AVERAGEIFS(Tableau1[Taux décoché],Tableau1[Livreurs],"Skandar",Tableau1[Mois],"JUIN"),"")</f>
        <v/>
      </c>
      <c r="D28" s="72" t="str">
        <f>IFERROR(AVERAGEIFS(Tableau1[Taux décoché],Tableau1[Livreurs],"Sami",Tableau1[Mois],"JUIN"),"")</f>
        <v/>
      </c>
      <c r="E28" s="72" t="str">
        <f>IFERROR(AVERAGEIFS(Tableau1[Taux décoché],Tableau1[Livreurs],"Théo",Tableau1[Mois],"JUIN"),"")</f>
        <v/>
      </c>
      <c r="F28" s="72" t="str">
        <f>IFERROR(AVERAGEIFS(Tableau1[Taux décoché],Tableau1[Livreurs],"Matthias",Tableau1[Mois],"JUIN"),"")</f>
        <v/>
      </c>
      <c r="G28" s="72" t="str">
        <f>IFERROR(AVERAGEIFS(Tableau1[Taux décoché],Tableau1[Livreurs],"Jonathan",Tableau1[Mois],"JUIN"),"")</f>
        <v/>
      </c>
      <c r="H28" s="72" t="str">
        <f>IFERROR(AVERAGEIFS(Tableau1[Taux décoché],Tableau1[Livreurs],"Maxime",Tableau1[Mois],"JUIN"),"")</f>
        <v/>
      </c>
      <c r="I28" s="72" t="str">
        <f>IFERROR(AVERAGEIFS(Tableau1[Taux décoché],Tableau1[Livreurs],"Bryan",Tableau1[Mois],"JUIN"),"")</f>
        <v/>
      </c>
      <c r="J28" s="72" t="str">
        <f>IFERROR(AVERAGEIFS(Tableau1[Taux décoché],Tableau1[Livreurs],"David",Tableau1[Mois],"JUIN"),"")</f>
        <v/>
      </c>
      <c r="K28" s="72" t="str">
        <f>IFERROR(AVERAGEIFS(Tableau1[Taux décoché],Tableau1[Livreurs],"Julien",Tableau1[Mois],"JUIN"),"")</f>
        <v/>
      </c>
      <c r="L28" s="74" t="str">
        <f>IFERROR(AVERAGE(C28:K28),"")</f>
        <v/>
      </c>
      <c r="O28" s="46"/>
      <c r="P28" s="53"/>
      <c r="Q28" s="53"/>
      <c r="R28" s="53"/>
      <c r="S28" s="53"/>
      <c r="T28" s="53"/>
      <c r="U28" s="53"/>
      <c r="V28" s="53"/>
      <c r="W28" s="53"/>
      <c r="X28" s="49"/>
    </row>
    <row r="29" spans="2:27" x14ac:dyDescent="0.25">
      <c r="B29" s="63" t="s">
        <v>41</v>
      </c>
      <c r="C29" s="72" t="str">
        <f>IFERROR(AVERAGEIFS(Tableau1[Taux décoché],Tableau1[Livreurs],"Skandar",Tableau1[Mois],"JUILLET"),"")</f>
        <v/>
      </c>
      <c r="D29" s="72" t="str">
        <f>IFERROR(AVERAGEIFS(Tableau1[Taux décoché],Tableau1[Livreurs],"Sami",Tableau1[Mois],"JUILLET"),"")</f>
        <v/>
      </c>
      <c r="E29" s="72" t="str">
        <f>IFERROR(AVERAGEIFS(Tableau1[Taux décoché],Tableau1[Livreurs],"Théo",Tableau1[Mois],"JUILLET"),"")</f>
        <v/>
      </c>
      <c r="F29" s="72" t="str">
        <f>IFERROR(AVERAGEIFS(Tableau1[Taux décoché],Tableau1[Livreurs],"Matthias",Tableau1[Mois],"JUILLET"),"")</f>
        <v/>
      </c>
      <c r="G29" s="72" t="str">
        <f>IFERROR(AVERAGEIFS(Tableau1[Taux décoché],Tableau1[Livreurs],"Jonathan",Tableau1[Mois],"JUILLET"),"")</f>
        <v/>
      </c>
      <c r="H29" s="72" t="str">
        <f>IFERROR(AVERAGEIFS(Tableau1[Taux décoché],Tableau1[Livreurs],"Maxime",Tableau1[Mois],"JUILLET"),"")</f>
        <v/>
      </c>
      <c r="I29" s="72" t="str">
        <f>IFERROR(AVERAGEIFS(Tableau1[Taux décoché],Tableau1[Livreurs],"Bryan",Tableau1[Mois],"JUILLET"),"")</f>
        <v/>
      </c>
      <c r="J29" s="72" t="str">
        <f>IFERROR(AVERAGEIFS(Tableau1[Taux décoché],Tableau1[Livreurs],"David",Tableau1[Mois],"JUILLET"),"")</f>
        <v/>
      </c>
      <c r="K29" s="72" t="str">
        <f>IFERROR(AVERAGEIFS(Tableau1[Taux décoché],Tableau1[Livreurs],"Julien",Tableau1[Mois],"JUILLET"),"")</f>
        <v/>
      </c>
      <c r="L29" s="74" t="str">
        <f>IFERROR(AVERAGE(C29:K29),"")</f>
        <v/>
      </c>
      <c r="O29" s="46"/>
      <c r="P29" s="53"/>
      <c r="Q29" s="53"/>
      <c r="R29" s="53"/>
      <c r="S29" s="53"/>
      <c r="T29" s="53"/>
      <c r="U29" s="53"/>
      <c r="V29" s="53"/>
      <c r="W29" s="53"/>
      <c r="X29" s="49"/>
    </row>
    <row r="30" spans="2:27" x14ac:dyDescent="0.25">
      <c r="B30" s="63" t="s">
        <v>42</v>
      </c>
      <c r="C30" s="72" t="str">
        <f>IFERROR(AVERAGEIFS(Tableau1[Taux décoché],Tableau1[Livreurs],"Skandar",Tableau1[Mois],"AOÛT"),"")</f>
        <v/>
      </c>
      <c r="D30" s="72" t="str">
        <f>IFERROR(AVERAGEIFS(Tableau1[Taux décoché],Tableau1[Livreurs],"Sami",Tableau1[Mois],"AOÛT"),"")</f>
        <v/>
      </c>
      <c r="E30" s="72" t="str">
        <f>IFERROR(AVERAGEIFS(Tableau1[Taux décoché],Tableau1[Livreurs],"Théo",Tableau1[Mois],"AOÛT"),"")</f>
        <v/>
      </c>
      <c r="F30" s="72" t="str">
        <f>IFERROR(AVERAGEIFS(Tableau1[Taux décoché],Tableau1[Livreurs],"Matthias",Tableau1[Mois],"AOÛT"),"")</f>
        <v/>
      </c>
      <c r="G30" s="72" t="str">
        <f>IFERROR(AVERAGEIFS(Tableau1[Taux décoché],Tableau1[Livreurs],"Jonathan",Tableau1[Mois],"AOÛT"),"")</f>
        <v/>
      </c>
      <c r="H30" s="72" t="str">
        <f>IFERROR(AVERAGEIFS(Tableau1[Taux décoché],Tableau1[Livreurs],"Maxime",Tableau1[Mois],"AOÛT"),"")</f>
        <v/>
      </c>
      <c r="I30" s="72" t="str">
        <f>IFERROR(AVERAGEIFS(Tableau1[Taux décoché],Tableau1[Livreurs],"Bryan",Tableau1[Mois],"AOÛT"),"")</f>
        <v/>
      </c>
      <c r="J30" s="72" t="str">
        <f>IFERROR(AVERAGEIFS(Tableau1[Taux décoché],Tableau1[Livreurs],"David",Tableau1[Mois],"AOÛT"),"")</f>
        <v/>
      </c>
      <c r="K30" s="72" t="str">
        <f>IFERROR(AVERAGEIFS(Tableau1[Taux décoché],Tableau1[Livreurs],"Julien",Tableau1[Mois],"AOÛT"),"")</f>
        <v/>
      </c>
      <c r="L30" s="74" t="str">
        <f>IFERROR(AVERAGE(C30:K30),"")</f>
        <v/>
      </c>
      <c r="O30" s="46"/>
      <c r="P30" s="53"/>
      <c r="Q30" s="53"/>
      <c r="R30" s="53"/>
      <c r="S30" s="53"/>
      <c r="T30" s="53"/>
      <c r="U30" s="53"/>
      <c r="V30" s="53"/>
      <c r="W30" s="53"/>
      <c r="X30" s="49"/>
    </row>
    <row r="31" spans="2:27" x14ac:dyDescent="0.25">
      <c r="B31" s="63" t="s">
        <v>43</v>
      </c>
      <c r="C31" s="72" t="str">
        <f>IFERROR(AVERAGEIFS(Tableau1[Taux décoché],Tableau1[Livreurs],"Skandar",Tableau1[Mois],"SEPTEMBRE"),"")</f>
        <v/>
      </c>
      <c r="D31" s="72" t="str">
        <f>IFERROR(AVERAGEIFS(Tableau1[Taux décoché],Tableau1[Livreurs],"Sami",Tableau1[Mois],"SEPTEMBRE"),"")</f>
        <v/>
      </c>
      <c r="E31" s="72" t="str">
        <f>IFERROR(AVERAGEIFS(Tableau1[Taux décoché],Tableau1[Livreurs],"Théo",Tableau1[Mois],"SEPTEMBRE"),"")</f>
        <v/>
      </c>
      <c r="F31" s="72" t="str">
        <f>IFERROR(AVERAGEIFS(Tableau1[Taux décoché],Tableau1[Livreurs],"Matthias",Tableau1[Mois],"SEPTEMBRE"),"")</f>
        <v/>
      </c>
      <c r="G31" s="72" t="str">
        <f>IFERROR(AVERAGEIFS(Tableau1[Taux décoché],Tableau1[Livreurs],"Jonathan",Tableau1[Mois],"SEPTEMBRE"),"")</f>
        <v/>
      </c>
      <c r="H31" s="72" t="str">
        <f>IFERROR(AVERAGEIFS(Tableau1[Taux décoché],Tableau1[Livreurs],"Maxime",Tableau1[Mois],"SEPTEMBRE"),"")</f>
        <v/>
      </c>
      <c r="I31" s="72" t="str">
        <f>IFERROR(AVERAGEIFS(Tableau1[Taux décoché],Tableau1[Livreurs],"Bryan",Tableau1[Mois],"SEPTEMBRE"),"")</f>
        <v/>
      </c>
      <c r="J31" s="72" t="str">
        <f>IFERROR(AVERAGEIFS(Tableau1[Taux décoché],Tableau1[Livreurs],"David",Tableau1[Mois],"SEPTEMBRE"),"")</f>
        <v/>
      </c>
      <c r="K31" s="72" t="str">
        <f>IFERROR(AVERAGEIFS(Tableau1[Taux décoché],Tableau1[Livreurs],"Julien",Tableau1[Mois],"SEPTEMBRE"),"")</f>
        <v/>
      </c>
      <c r="L31" s="74" t="str">
        <f>IFERROR(AVERAGE(C31:K31),"")</f>
        <v/>
      </c>
      <c r="O31" s="46"/>
      <c r="P31" s="53"/>
      <c r="Q31" s="53"/>
      <c r="R31" s="53"/>
      <c r="S31" s="53"/>
      <c r="T31" s="53"/>
      <c r="U31" s="53"/>
      <c r="V31" s="53"/>
      <c r="W31" s="53"/>
      <c r="X31" s="49"/>
    </row>
    <row r="32" spans="2:27" x14ac:dyDescent="0.25">
      <c r="B32" s="63" t="s">
        <v>44</v>
      </c>
      <c r="C32" s="72" t="str">
        <f>IFERROR(AVERAGEIFS(Tableau1[Taux décoché],Tableau1[Livreurs],"Skandar",Tableau1[Mois],"OCTOBRE"),"")</f>
        <v/>
      </c>
      <c r="D32" s="72" t="str">
        <f>IFERROR(AVERAGEIFS(Tableau1[Taux décoché],Tableau1[Livreurs],"Sami",Tableau1[Mois],"OCTOBRE"),"")</f>
        <v/>
      </c>
      <c r="E32" s="72" t="str">
        <f>IFERROR(AVERAGEIFS(Tableau1[Taux décoché],Tableau1[Livreurs],"Théo",Tableau1[Mois],"OCTOBRE"),"")</f>
        <v/>
      </c>
      <c r="F32" s="72" t="str">
        <f>IFERROR(AVERAGEIFS(Tableau1[Taux décoché],Tableau1[Livreurs],"Matthias",Tableau1[Mois],"OCTOBRE"),"")</f>
        <v/>
      </c>
      <c r="G32" s="72" t="str">
        <f>IFERROR(AVERAGEIFS(Tableau1[Taux décoché],Tableau1[Livreurs],"Jonathan",Tableau1[Mois],"OCTOBRE"),"")</f>
        <v/>
      </c>
      <c r="H32" s="72" t="str">
        <f>IFERROR(AVERAGEIFS(Tableau1[Taux décoché],Tableau1[Livreurs],"Maxime",Tableau1[Mois],"OCTOBRE"),"")</f>
        <v/>
      </c>
      <c r="I32" s="72" t="str">
        <f>IFERROR(AVERAGEIFS(Tableau1[Taux décoché],Tableau1[Livreurs],"Bryan",Tableau1[Mois],"OCTOBRE"),"")</f>
        <v/>
      </c>
      <c r="J32" s="72" t="str">
        <f>IFERROR(AVERAGEIFS(Tableau1[Taux décoché],Tableau1[Livreurs],"David",Tableau1[Mois],"OCTOBRE"),"")</f>
        <v/>
      </c>
      <c r="K32" s="72" t="str">
        <f>IFERROR(AVERAGEIFS(Tableau1[Taux décoché],Tableau1[Livreurs],"Julien",Tableau1[Mois],"OCTOBRE"),"")</f>
        <v/>
      </c>
      <c r="L32" s="74" t="str">
        <f>IFERROR(AVERAGE(C32:K32),"")</f>
        <v/>
      </c>
      <c r="O32" s="46"/>
      <c r="P32" s="53"/>
      <c r="Q32" s="53"/>
      <c r="R32" s="53"/>
      <c r="S32" s="53"/>
      <c r="T32" s="53"/>
      <c r="U32" s="53"/>
      <c r="V32" s="53"/>
      <c r="W32" s="53"/>
      <c r="X32" s="49"/>
    </row>
    <row r="33" spans="2:24" x14ac:dyDescent="0.25">
      <c r="B33" s="63" t="s">
        <v>45</v>
      </c>
      <c r="C33" s="72">
        <f>IFERROR(AVERAGEIFS(Tableau1[Taux décoché],Tableau1[Livreurs],"Skandar",Tableau1[Mois],"NOVEMBRE"),"")</f>
        <v>6.8633333333333338E-2</v>
      </c>
      <c r="D33" s="72">
        <f>IFERROR(AVERAGEIFS(Tableau1[Taux décoché],Tableau1[Livreurs],"Sami",Tableau1[Mois],"NOVEMBRE"),"")</f>
        <v>5.7925000000000004E-2</v>
      </c>
      <c r="E33" s="72">
        <f>IFERROR(AVERAGEIFS(Tableau1[Taux décoché],Tableau1[Livreurs],"Théo",Tableau1[Mois],"NOVEMBRE"),"")</f>
        <v>1.6500000000000001E-2</v>
      </c>
      <c r="F33" s="72">
        <f>IFERROR(AVERAGEIFS(Tableau1[Taux décoché],Tableau1[Livreurs],"Matthias",Tableau1[Mois],"NOVEMBRE"),"")</f>
        <v>0.13085000000000002</v>
      </c>
      <c r="G33" s="72">
        <f>IFERROR(AVERAGEIFS(Tableau1[Taux décoché],Tableau1[Livreurs],"Jonathan",Tableau1[Mois],"NOVEMBRE"),"")</f>
        <v>2.7833333333333331E-2</v>
      </c>
      <c r="H33" s="72">
        <f>IFERROR(AVERAGEIFS(Tableau1[Taux décoché],Tableau1[Livreurs],"Maxime",Tableau1[Mois],"NOVEMBRE"),"")</f>
        <v>1.925E-2</v>
      </c>
      <c r="I33" s="72">
        <f>IFERROR(AVERAGEIFS(Tableau1[Taux décoché],Tableau1[Livreurs],"Bryan",Tableau1[Mois],"NOVEMBRE"),"")</f>
        <v>8.7833333333333319E-2</v>
      </c>
      <c r="J33" s="72">
        <f>IFERROR(AVERAGEIFS(Tableau1[Taux décoché],Tableau1[Livreurs],"David",Tableau1[Mois],"NOVEMBRE"),"")</f>
        <v>5.8459999999999998E-2</v>
      </c>
      <c r="K33" s="72" t="str">
        <f>IFERROR(AVERAGEIFS(Tableau1[Taux décoché],Tableau1[Livreurs],"Julien",Tableau1[Mois],"NOVEMBRE"),"")</f>
        <v/>
      </c>
      <c r="L33" s="74">
        <f>IFERROR(AVERAGE(C33:K33),"")</f>
        <v>5.8410625000000001E-2</v>
      </c>
      <c r="O33" s="46"/>
      <c r="P33" s="53"/>
      <c r="Q33" s="53"/>
      <c r="R33" s="53"/>
      <c r="S33" s="53"/>
      <c r="T33" s="53"/>
      <c r="U33" s="53"/>
      <c r="V33" s="53"/>
      <c r="W33" s="53"/>
      <c r="X33" s="49"/>
    </row>
    <row r="34" spans="2:24" x14ac:dyDescent="0.25">
      <c r="B34" s="63" t="s">
        <v>46</v>
      </c>
      <c r="C34" s="72" t="str">
        <f>IFERROR(AVERAGEIFS(Tableau1[Taux décoché],Tableau1[Livreurs],"Skandar",Tableau1[Mois],"DÉCEMBRE"),"")</f>
        <v/>
      </c>
      <c r="D34" s="72" t="str">
        <f>IFERROR(AVERAGEIFS(Tableau1[Taux décoché],Tableau1[Livreurs],"Sami",Tableau1[Mois],"DÉCEMBRE"),"")</f>
        <v/>
      </c>
      <c r="E34" s="72"/>
      <c r="F34" s="72" t="str">
        <f>IFERROR(AVERAGEIFS(Tableau1[Taux décoché],Tableau1[Livreurs],"Matthias",Tableau1[Mois],"DÉCEMBRE"),"")</f>
        <v/>
      </c>
      <c r="G34" s="72" t="str">
        <f>IFERROR(AVERAGEIFS(Tableau1[Taux décoché],Tableau1[Livreurs],"Jonathan",Tableau1[Mois],"DÉCEMBRE"),"")</f>
        <v/>
      </c>
      <c r="H34" s="72" t="str">
        <f>IFERROR(AVERAGEIFS(Tableau1[Taux décoché],Tableau1[Livreurs],"Maxime",Tableau1[Mois],"DÉCEMBRE"),"")</f>
        <v/>
      </c>
      <c r="I34" s="72" t="str">
        <f>IFERROR(AVERAGEIFS(Tableau1[Taux décoché],Tableau1[Livreurs],"Bryan",Tableau1[Mois],"DÉCEMBRE"),"")</f>
        <v/>
      </c>
      <c r="J34" s="72" t="str">
        <f>IFERROR(AVERAGEIFS(Tableau1[Taux décoché],Tableau1[Livreurs],"David",Tableau1[Mois],"DÉCEMBRE"),"")</f>
        <v/>
      </c>
      <c r="K34" s="72" t="str">
        <f>IFERROR(AVERAGEIFS(Tableau1[Taux décoché],Tableau1[Livreurs],"Julien",Tableau1[Mois],"DÉCEMBRE"),"")</f>
        <v/>
      </c>
      <c r="L34" s="74" t="str">
        <f>IFERROR(AVERAGE(C34:K34),"")</f>
        <v/>
      </c>
      <c r="O34" s="46"/>
      <c r="P34" s="53"/>
      <c r="Q34" s="53"/>
      <c r="R34" s="53"/>
      <c r="S34" s="53"/>
      <c r="T34" s="53"/>
      <c r="U34" s="53"/>
      <c r="V34" s="53"/>
      <c r="W34" s="53"/>
      <c r="X34" s="49"/>
    </row>
    <row r="35" spans="2:24" ht="15.75" thickBot="1" x14ac:dyDescent="0.3">
      <c r="B35" s="64" t="s">
        <v>47</v>
      </c>
      <c r="C35" s="73">
        <f>IFERROR(AVERAGE(C23:C34),"")</f>
        <v>6.8633333333333338E-2</v>
      </c>
      <c r="D35" s="73">
        <f>IFERROR(AVERAGE(D23:D34),"")</f>
        <v>5.7925000000000004E-2</v>
      </c>
      <c r="E35" s="73">
        <f>IFERROR(AVERAGE(E23:E34),"")</f>
        <v>1.6500000000000001E-2</v>
      </c>
      <c r="F35" s="73">
        <f>IFERROR(AVERAGE(F23:F34),"")</f>
        <v>0.13085000000000002</v>
      </c>
      <c r="G35" s="73">
        <f>IFERROR(AVERAGE(G23:G34),"")</f>
        <v>2.7833333333333331E-2</v>
      </c>
      <c r="H35" s="73">
        <f>IFERROR(AVERAGE(H23:H34),"")</f>
        <v>1.925E-2</v>
      </c>
      <c r="I35" s="73">
        <f>IFERROR(AVERAGE(I23:I34),"")</f>
        <v>8.7833333333333319E-2</v>
      </c>
      <c r="J35" s="73">
        <f>IFERROR(AVERAGE(J23:J34),"")</f>
        <v>5.8459999999999998E-2</v>
      </c>
      <c r="K35" s="73" t="str">
        <f>IFERROR(AVERAGE(K23:K34),"")</f>
        <v/>
      </c>
      <c r="L35" s="75"/>
      <c r="O35" s="50"/>
      <c r="P35" s="51"/>
      <c r="Q35" s="51"/>
      <c r="R35" s="51"/>
      <c r="S35" s="51"/>
      <c r="T35" s="51"/>
      <c r="U35" s="51"/>
      <c r="V35" s="51"/>
      <c r="W35" s="51"/>
      <c r="X35" s="52"/>
    </row>
    <row r="41" spans="2:24" x14ac:dyDescent="0.25"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</row>
    <row r="42" spans="2:24" x14ac:dyDescent="0.25">
      <c r="H42" s="53"/>
      <c r="I42" s="53"/>
      <c r="J42" s="53"/>
      <c r="K42" s="53"/>
      <c r="L42" s="53"/>
      <c r="M42" s="53"/>
    </row>
    <row r="43" spans="2:24" x14ac:dyDescent="0.25">
      <c r="H43" s="53"/>
      <c r="I43" s="53"/>
      <c r="J43" s="53"/>
      <c r="K43" s="53"/>
      <c r="L43" s="53"/>
      <c r="M43" s="53"/>
    </row>
    <row r="44" spans="2:24" x14ac:dyDescent="0.25">
      <c r="H44" s="53"/>
      <c r="I44" s="53"/>
      <c r="J44" s="53"/>
      <c r="K44" s="53"/>
      <c r="L44" s="53"/>
      <c r="M44" s="53"/>
    </row>
    <row r="45" spans="2:24" x14ac:dyDescent="0.25">
      <c r="H45" s="53"/>
      <c r="I45" s="53"/>
      <c r="J45" s="53"/>
      <c r="K45" s="53"/>
      <c r="L45" s="53"/>
      <c r="M45" s="53"/>
    </row>
    <row r="46" spans="2:24" x14ac:dyDescent="0.25">
      <c r="H46" s="53"/>
      <c r="I46" s="53"/>
      <c r="J46" s="53"/>
      <c r="K46" s="53"/>
      <c r="L46" s="53"/>
      <c r="M46" s="53"/>
    </row>
    <row r="47" spans="2:24" x14ac:dyDescent="0.25">
      <c r="B47" s="53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</row>
    <row r="48" spans="2:24" x14ac:dyDescent="0.25"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</row>
    <row r="49" spans="2:13" x14ac:dyDescent="0.25"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</row>
    <row r="50" spans="2:13" x14ac:dyDescent="0.25">
      <c r="B50" s="53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</row>
    <row r="51" spans="2:13" x14ac:dyDescent="0.25"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</row>
    <row r="52" spans="2:13" x14ac:dyDescent="0.25"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</row>
    <row r="53" spans="2:13" x14ac:dyDescent="0.25"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</row>
    <row r="54" spans="2:13" x14ac:dyDescent="0.25">
      <c r="B54" s="53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</row>
    <row r="55" spans="2:13" x14ac:dyDescent="0.25">
      <c r="L55" s="53"/>
      <c r="M55" s="53"/>
    </row>
    <row r="56" spans="2:13" x14ac:dyDescent="0.25">
      <c r="L56" s="53"/>
      <c r="M56" s="53"/>
    </row>
    <row r="57" spans="2:13" x14ac:dyDescent="0.25">
      <c r="B57" s="53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</row>
    <row r="58" spans="2:13" x14ac:dyDescent="0.25">
      <c r="B58" s="53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</row>
    <row r="59" spans="2:13" x14ac:dyDescent="0.25">
      <c r="B59" s="53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</row>
    <row r="60" spans="2:13" x14ac:dyDescent="0.25">
      <c r="B60" s="53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</row>
    <row r="61" spans="2:13" x14ac:dyDescent="0.25">
      <c r="B61" s="53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</row>
    <row r="62" spans="2:13" x14ac:dyDescent="0.25"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</row>
    <row r="63" spans="2:13" x14ac:dyDescent="0.25">
      <c r="C63" s="53"/>
      <c r="D63" s="53"/>
      <c r="E63" s="53"/>
      <c r="F63" s="53"/>
      <c r="G63" s="53"/>
      <c r="H63" s="53"/>
      <c r="I63" s="53"/>
      <c r="J63" s="53"/>
      <c r="K63" s="53"/>
      <c r="L63" s="53"/>
    </row>
    <row r="64" spans="2:13" x14ac:dyDescent="0.25">
      <c r="C64" s="53"/>
      <c r="D64" s="53"/>
      <c r="E64" s="53"/>
      <c r="F64" s="53"/>
      <c r="G64" s="53"/>
      <c r="H64" s="53"/>
      <c r="I64" s="53"/>
      <c r="J64" s="53"/>
      <c r="K64" s="53"/>
      <c r="L64" s="53"/>
    </row>
    <row r="65" spans="3:12" x14ac:dyDescent="0.25">
      <c r="C65" s="53"/>
      <c r="D65" s="53"/>
      <c r="E65" s="53"/>
      <c r="F65" s="53"/>
      <c r="G65" s="53"/>
      <c r="H65" s="53"/>
      <c r="I65" s="53"/>
      <c r="J65" s="53"/>
      <c r="K65" s="53"/>
      <c r="L65" s="53"/>
    </row>
  </sheetData>
  <mergeCells count="26">
    <mergeCell ref="AA5:AA6"/>
    <mergeCell ref="U21:U22"/>
    <mergeCell ref="V21:V22"/>
    <mergeCell ref="W21:W22"/>
    <mergeCell ref="X21:X22"/>
    <mergeCell ref="U5:U6"/>
    <mergeCell ref="O5:O6"/>
    <mergeCell ref="O21:O22"/>
    <mergeCell ref="P21:P22"/>
    <mergeCell ref="Q21:Q22"/>
    <mergeCell ref="R21:R22"/>
    <mergeCell ref="S21:S22"/>
    <mergeCell ref="T21:T22"/>
    <mergeCell ref="V5:V6"/>
    <mergeCell ref="W5:W6"/>
    <mergeCell ref="X5:X6"/>
    <mergeCell ref="Y5:Y6"/>
    <mergeCell ref="Z5:Z6"/>
    <mergeCell ref="P5:P6"/>
    <mergeCell ref="R5:R6"/>
    <mergeCell ref="S5:S6"/>
    <mergeCell ref="T5:T6"/>
    <mergeCell ref="Q5:Q6"/>
    <mergeCell ref="B5:M5"/>
    <mergeCell ref="B21:L21"/>
    <mergeCell ref="B2:Z3"/>
  </mergeCells>
  <phoneticPr fontId="9" type="noConversion"/>
  <conditionalFormatting sqref="B7:L18">
    <cfRule type="expression" dxfId="25" priority="29">
      <formula>MOD(ROW(),2)</formula>
    </cfRule>
  </conditionalFormatting>
  <conditionalFormatting sqref="B23:B34">
    <cfRule type="expression" dxfId="24" priority="26">
      <formula>MOD(ROW(),2)</formula>
    </cfRule>
  </conditionalFormatting>
  <conditionalFormatting sqref="T5:T6">
    <cfRule type="expression" dxfId="23" priority="20">
      <formula>ref_cellule="JUIN"</formula>
    </cfRule>
  </conditionalFormatting>
  <conditionalFormatting sqref="Z5:Z6">
    <cfRule type="expression" dxfId="22" priority="13">
      <formula>ref_cellule="DÉCEMBRE"</formula>
    </cfRule>
  </conditionalFormatting>
  <conditionalFormatting sqref="Y5:Y6">
    <cfRule type="expression" dxfId="21" priority="15">
      <formula>ref_cellule="NOVEMBRE"</formula>
    </cfRule>
  </conditionalFormatting>
  <conditionalFormatting sqref="X5:X6">
    <cfRule type="expression" dxfId="20" priority="16">
      <formula>ref_cellule="OCTOBRE"</formula>
    </cfRule>
  </conditionalFormatting>
  <conditionalFormatting sqref="W5:W6">
    <cfRule type="expression" dxfId="19" priority="17">
      <formula>ref_cellule="SEPTEMBRE"</formula>
    </cfRule>
  </conditionalFormatting>
  <conditionalFormatting sqref="V5:V6">
    <cfRule type="expression" dxfId="18" priority="18">
      <formula>ref_cellule="AOÛT"</formula>
    </cfRule>
  </conditionalFormatting>
  <conditionalFormatting sqref="O5:O6">
    <cfRule type="expression" dxfId="17" priority="25">
      <formula>ref_cellule="JANVIER"</formula>
    </cfRule>
  </conditionalFormatting>
  <conditionalFormatting sqref="P5:P6">
    <cfRule type="expression" dxfId="16" priority="24">
      <formula>ref_cellule="FÉVRIER"</formula>
    </cfRule>
  </conditionalFormatting>
  <conditionalFormatting sqref="Q5:Q6">
    <cfRule type="expression" dxfId="15" priority="23">
      <formula>ref_cellule="MARS"</formula>
    </cfRule>
  </conditionalFormatting>
  <conditionalFormatting sqref="R5:R6">
    <cfRule type="expression" dxfId="14" priority="22">
      <formula>ref_cellule="AVRIL"</formula>
    </cfRule>
  </conditionalFormatting>
  <conditionalFormatting sqref="S5:S6">
    <cfRule type="expression" dxfId="13" priority="21">
      <formula>ref_cellule="MAI"</formula>
    </cfRule>
  </conditionalFormatting>
  <conditionalFormatting sqref="U5:U6">
    <cfRule type="expression" dxfId="12" priority="19">
      <formula>ref_cellule="JUILLET"</formula>
    </cfRule>
  </conditionalFormatting>
  <conditionalFormatting sqref="C23:K34">
    <cfRule type="expression" dxfId="11" priority="28">
      <formula>MOD(ROW(),2)</formula>
    </cfRule>
  </conditionalFormatting>
  <conditionalFormatting sqref="O21:O22">
    <cfRule type="expression" dxfId="10" priority="11">
      <formula>ref_cellule2="14T51"</formula>
    </cfRule>
  </conditionalFormatting>
  <conditionalFormatting sqref="P21:P22">
    <cfRule type="expression" dxfId="9" priority="10">
      <formula>ref_cellule2="14T52"</formula>
    </cfRule>
  </conditionalFormatting>
  <conditionalFormatting sqref="Q21:Q22">
    <cfRule type="expression" dxfId="8" priority="9">
      <formula>ref_cellule2="14T53"</formula>
    </cfRule>
  </conditionalFormatting>
  <conditionalFormatting sqref="R21:R22">
    <cfRule type="expression" dxfId="7" priority="8">
      <formula>ref_cellule2="14T54"</formula>
    </cfRule>
  </conditionalFormatting>
  <conditionalFormatting sqref="S21:S22">
    <cfRule type="expression" dxfId="6" priority="7">
      <formula>ref_cellule2="14T55"</formula>
    </cfRule>
  </conditionalFormatting>
  <conditionalFormatting sqref="T21:T22">
    <cfRule type="expression" dxfId="5" priority="6">
      <formula>ref_cellule2="14T56"</formula>
    </cfRule>
  </conditionalFormatting>
  <conditionalFormatting sqref="U21:U22">
    <cfRule type="expression" dxfId="4" priority="5">
      <formula>ref_cellule2="14T61"</formula>
    </cfRule>
  </conditionalFormatting>
  <conditionalFormatting sqref="V21:V22">
    <cfRule type="expression" dxfId="3" priority="4">
      <formula>ref_cellule2="14T62"</formula>
    </cfRule>
  </conditionalFormatting>
  <conditionalFormatting sqref="W21:W22">
    <cfRule type="expression" dxfId="2" priority="3">
      <formula>ref_cellule2="14T63"</formula>
    </cfRule>
  </conditionalFormatting>
  <conditionalFormatting sqref="X21:X22">
    <cfRule type="expression" dxfId="1" priority="1">
      <formula>ref_cellule2="99R31"</formula>
    </cfRule>
  </conditionalFormatting>
  <conditionalFormatting sqref="AA5:AA6">
    <cfRule type="expression" dxfId="0" priority="12">
      <formula>ref_cellule="2024"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1D9C3-392E-46E2-947D-909F164CEF45}">
  <sheetPr codeName="Feuil8">
    <tabColor rgb="FF92D050"/>
  </sheetPr>
  <dimension ref="B1:N68"/>
  <sheetViews>
    <sheetView topLeftCell="A36" workbookViewId="0">
      <selection activeCell="W13" sqref="W13"/>
    </sheetView>
  </sheetViews>
  <sheetFormatPr baseColWidth="10" defaultRowHeight="15" x14ac:dyDescent="0.25"/>
  <sheetData>
    <row r="1" spans="2:14" ht="15.75" thickBot="1" x14ac:dyDescent="0.3"/>
    <row r="2" spans="2:14" x14ac:dyDescent="0.25">
      <c r="B2" s="77" t="s">
        <v>35</v>
      </c>
      <c r="C2" s="77" t="s">
        <v>36</v>
      </c>
      <c r="D2" s="77" t="s">
        <v>37</v>
      </c>
      <c r="E2" s="77" t="s">
        <v>38</v>
      </c>
      <c r="F2" s="77" t="s">
        <v>39</v>
      </c>
      <c r="G2" s="77" t="s">
        <v>40</v>
      </c>
      <c r="H2" s="77" t="s">
        <v>41</v>
      </c>
      <c r="I2" s="77" t="s">
        <v>42</v>
      </c>
      <c r="J2" s="77" t="s">
        <v>43</v>
      </c>
      <c r="K2" s="77" t="s">
        <v>44</v>
      </c>
      <c r="L2" s="77" t="s">
        <v>45</v>
      </c>
      <c r="M2" s="77" t="s">
        <v>46</v>
      </c>
      <c r="N2" s="77">
        <v>2024</v>
      </c>
    </row>
    <row r="3" spans="2:14" ht="15.75" thickBot="1" x14ac:dyDescent="0.3">
      <c r="B3" s="78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</row>
    <row r="66" spans="2:11" ht="15.75" thickBot="1" x14ac:dyDescent="0.3"/>
    <row r="67" spans="2:11" x14ac:dyDescent="0.25">
      <c r="B67" s="77" t="s">
        <v>22</v>
      </c>
      <c r="C67" s="77" t="s">
        <v>23</v>
      </c>
      <c r="D67" s="77" t="s">
        <v>24</v>
      </c>
      <c r="E67" s="77" t="s">
        <v>25</v>
      </c>
      <c r="F67" s="77" t="s">
        <v>26</v>
      </c>
      <c r="G67" s="77" t="s">
        <v>27</v>
      </c>
      <c r="H67" s="77" t="s">
        <v>28</v>
      </c>
      <c r="I67" s="77" t="s">
        <v>29</v>
      </c>
      <c r="J67" s="77" t="s">
        <v>33</v>
      </c>
      <c r="K67" s="77" t="s">
        <v>30</v>
      </c>
    </row>
    <row r="68" spans="2:11" ht="15.75" thickBot="1" x14ac:dyDescent="0.3">
      <c r="B68" s="78"/>
      <c r="C68" s="78"/>
      <c r="D68" s="78"/>
      <c r="E68" s="78"/>
      <c r="F68" s="78"/>
      <c r="G68" s="78"/>
      <c r="H68" s="78"/>
      <c r="I68" s="78"/>
      <c r="J68" s="78"/>
      <c r="K68" s="78"/>
    </row>
  </sheetData>
  <mergeCells count="23">
    <mergeCell ref="H67:H68"/>
    <mergeCell ref="I67:I68"/>
    <mergeCell ref="J67:J68"/>
    <mergeCell ref="K67:K68"/>
    <mergeCell ref="B67:B68"/>
    <mergeCell ref="C67:C68"/>
    <mergeCell ref="D67:D68"/>
    <mergeCell ref="E67:E68"/>
    <mergeCell ref="F67:F68"/>
    <mergeCell ref="G67:G68"/>
    <mergeCell ref="B2:B3"/>
    <mergeCell ref="C2:C3"/>
    <mergeCell ref="D2:D3"/>
    <mergeCell ref="E2:E3"/>
    <mergeCell ref="F2:F3"/>
    <mergeCell ref="G2:G3"/>
    <mergeCell ref="N2:N3"/>
    <mergeCell ref="H2:H3"/>
    <mergeCell ref="I2:I3"/>
    <mergeCell ref="J2:J3"/>
    <mergeCell ref="K2:K3"/>
    <mergeCell ref="L2:L3"/>
    <mergeCell ref="M2:M3"/>
  </mergeCells>
  <phoneticPr fontId="9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7A0E3-4074-43B2-880C-9B31CAB0B160}">
  <sheetPr codeName="Feuil5">
    <tabColor rgb="FF92D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3C865C-2B63-4CCB-A857-8EB6C4BFA33A}">
  <sheetPr codeName="Feuil6">
    <tabColor rgb="FF92D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05C06-320E-410C-88DB-2EF9E03223DC}">
  <sheetPr codeName="Feuil7">
    <tabColor rgb="FF92D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">
    <tabColor theme="0" tint="-0.499984740745262"/>
  </sheetPr>
  <dimension ref="A2:B21"/>
  <sheetViews>
    <sheetView showGridLines="0" workbookViewId="0">
      <selection activeCell="B15" sqref="B15"/>
    </sheetView>
  </sheetViews>
  <sheetFormatPr baseColWidth="10" defaultColWidth="21.7109375" defaultRowHeight="15" x14ac:dyDescent="0.25"/>
  <cols>
    <col min="1" max="1" width="13.85546875" customWidth="1"/>
    <col min="2" max="2" width="17.42578125" customWidth="1"/>
  </cols>
  <sheetData>
    <row r="2" spans="1:2" ht="22.5" customHeight="1" x14ac:dyDescent="0.25"/>
    <row r="3" spans="1:2" s="3" customFormat="1" x14ac:dyDescent="0.25">
      <c r="A3" s="4" t="s">
        <v>32</v>
      </c>
      <c r="B3" s="4" t="s">
        <v>31</v>
      </c>
    </row>
    <row r="4" spans="1:2" x14ac:dyDescent="0.25">
      <c r="A4" t="s">
        <v>22</v>
      </c>
      <c r="B4" s="26" t="s">
        <v>49</v>
      </c>
    </row>
    <row r="5" spans="1:2" x14ac:dyDescent="0.25">
      <c r="A5" t="s">
        <v>23</v>
      </c>
      <c r="B5" s="26" t="s">
        <v>60</v>
      </c>
    </row>
    <row r="6" spans="1:2" ht="15.75" customHeight="1" x14ac:dyDescent="0.25">
      <c r="A6" t="s">
        <v>24</v>
      </c>
      <c r="B6" s="26" t="s">
        <v>55</v>
      </c>
    </row>
    <row r="7" spans="1:2" x14ac:dyDescent="0.25">
      <c r="A7" t="s">
        <v>25</v>
      </c>
      <c r="B7" s="27" t="s">
        <v>48</v>
      </c>
    </row>
    <row r="8" spans="1:2" x14ac:dyDescent="0.25">
      <c r="A8" t="s">
        <v>26</v>
      </c>
      <c r="B8" s="26" t="s">
        <v>61</v>
      </c>
    </row>
    <row r="9" spans="1:2" x14ac:dyDescent="0.25">
      <c r="A9" t="s">
        <v>27</v>
      </c>
      <c r="B9" s="26" t="s">
        <v>62</v>
      </c>
    </row>
    <row r="10" spans="1:2" ht="15.75" customHeight="1" x14ac:dyDescent="0.25">
      <c r="A10" t="s">
        <v>28</v>
      </c>
      <c r="B10" s="26" t="s">
        <v>53</v>
      </c>
    </row>
    <row r="11" spans="1:2" ht="12.75" customHeight="1" x14ac:dyDescent="0.25">
      <c r="A11" s="2" t="s">
        <v>29</v>
      </c>
      <c r="B11" s="26" t="s">
        <v>54</v>
      </c>
    </row>
    <row r="12" spans="1:2" x14ac:dyDescent="0.25">
      <c r="A12" s="2" t="s">
        <v>33</v>
      </c>
      <c r="B12" s="27" t="s">
        <v>51</v>
      </c>
    </row>
    <row r="13" spans="1:2" x14ac:dyDescent="0.25">
      <c r="A13" s="2" t="s">
        <v>30</v>
      </c>
      <c r="B13" s="26" t="s">
        <v>50</v>
      </c>
    </row>
    <row r="14" spans="1:2" x14ac:dyDescent="0.25">
      <c r="A14" s="2"/>
      <c r="B14" s="27" t="s">
        <v>52</v>
      </c>
    </row>
    <row r="15" spans="1:2" x14ac:dyDescent="0.25">
      <c r="A15" s="2"/>
      <c r="B15" s="28"/>
    </row>
    <row r="16" spans="1:2" x14ac:dyDescent="0.25">
      <c r="A16" s="2"/>
      <c r="B16" s="29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</sheetData>
  <phoneticPr fontId="9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Indicateurs journaliers</vt:lpstr>
      <vt:lpstr>Décoché</vt:lpstr>
      <vt:lpstr>Décoché_Graph</vt:lpstr>
      <vt:lpstr>Anomalie</vt:lpstr>
      <vt:lpstr>Points distribués</vt:lpstr>
      <vt:lpstr>Pénalités</vt:lpstr>
      <vt:lpstr>Liste</vt:lpstr>
      <vt:lpstr>Code_Tournées</vt:lpstr>
      <vt:lpstr>Livreurs</vt:lpstr>
      <vt:lpstr>ref_cellule</vt:lpstr>
      <vt:lpstr>ref_cellule2</vt:lpstr>
      <vt:lpstr>'Indicateurs journaliers'!Zone_d_impression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Etude</dc:creator>
  <cp:keywords/>
  <dc:description/>
  <cp:lastModifiedBy>Juline RHT.</cp:lastModifiedBy>
  <cp:revision/>
  <dcterms:created xsi:type="dcterms:W3CDTF">2011-02-11T14:51:40Z</dcterms:created>
  <dcterms:modified xsi:type="dcterms:W3CDTF">2024-12-06T15:18:50Z</dcterms:modified>
  <cp:category/>
  <cp:contentStatus/>
</cp:coreProperties>
</file>