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lfr\OneDrive\Bureau\"/>
    </mc:Choice>
  </mc:AlternateContent>
  <xr:revisionPtr revIDLastSave="0" documentId="13_ncr:1_{F1925FD4-1B2D-4D22-AB9B-BC45BBE9802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Tableau de bord" sheetId="5" r:id="rId1"/>
    <sheet name="BDD" sheetId="1" r:id="rId2"/>
    <sheet name="TCD" sheetId="4" r:id="rId3"/>
  </sheets>
  <definedNames>
    <definedName name="Segment_Année">#N/A</definedName>
    <definedName name="Segment_Mois_lettre">#N/A</definedName>
    <definedName name="Segment_Projet">#N/A</definedName>
  </definedNames>
  <calcPr calcId="191029"/>
  <pivotCaches>
    <pivotCache cacheId="1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M4" i="4" l="1"/>
  <c r="N4" i="4" s="1"/>
  <c r="M5" i="4"/>
  <c r="N5" i="4" s="1"/>
  <c r="Q1" i="4" l="1"/>
  <c r="N6" i="4"/>
  <c r="Q5" i="4" l="1"/>
  <c r="Q6" i="4"/>
  <c r="Q7" i="4"/>
  <c r="Q8" i="4"/>
  <c r="Q9" i="4"/>
  <c r="Q10" i="4"/>
  <c r="Q11" i="4"/>
  <c r="Q12" i="4"/>
  <c r="Q13" i="4"/>
  <c r="Q14" i="4"/>
  <c r="Q15" i="4"/>
  <c r="Q16" i="4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S12" i="4" l="1"/>
  <c r="T12" i="4"/>
  <c r="S16" i="4"/>
  <c r="T16" i="4"/>
  <c r="S9" i="4"/>
  <c r="T9" i="4"/>
  <c r="S8" i="4"/>
  <c r="T8" i="4"/>
  <c r="S14" i="4"/>
  <c r="T14" i="4"/>
  <c r="S7" i="4"/>
  <c r="T7" i="4"/>
  <c r="S15" i="4"/>
  <c r="T15" i="4"/>
  <c r="S6" i="4"/>
  <c r="T6" i="4"/>
  <c r="S13" i="4"/>
  <c r="T13" i="4"/>
  <c r="S11" i="4"/>
  <c r="T11" i="4"/>
  <c r="S10" i="4"/>
  <c r="T10" i="4"/>
  <c r="S5" i="4"/>
  <c r="T5" i="4"/>
  <c r="R13" i="4"/>
  <c r="R12" i="4"/>
  <c r="R11" i="4"/>
  <c r="R10" i="4"/>
  <c r="R14" i="4"/>
  <c r="R9" i="4"/>
  <c r="R8" i="4"/>
  <c r="R7" i="4"/>
  <c r="R15" i="4"/>
  <c r="R6" i="4"/>
  <c r="R16" i="4"/>
  <c r="R5" i="4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2" i="1"/>
</calcChain>
</file>

<file path=xl/sharedStrings.xml><?xml version="1.0" encoding="utf-8"?>
<sst xmlns="http://schemas.openxmlformats.org/spreadsheetml/2006/main" count="312" uniqueCount="85">
  <si>
    <t>Projet</t>
  </si>
  <si>
    <t>Date</t>
  </si>
  <si>
    <t>Montant</t>
  </si>
  <si>
    <t>Remboursement</t>
  </si>
  <si>
    <t>C2702966487C9A21B02</t>
  </si>
  <si>
    <t>IMMOSEINE - Commande VG202401</t>
  </si>
  <si>
    <t>C2702966D2DBD9122D7</t>
  </si>
  <si>
    <t>SERALU - Lot 304 - CHU de Nantes (7)</t>
  </si>
  <si>
    <t>C270296648607505A32</t>
  </si>
  <si>
    <t>LARA INVEST - Vars 2000 - Subventions Tranche 1</t>
  </si>
  <si>
    <t>C270296662BE2828FCD</t>
  </si>
  <si>
    <t>CORREIA FACADE - Devis 1-24-01-4</t>
  </si>
  <si>
    <t>Retrait de fonds</t>
  </si>
  <si>
    <t>C2702966570D5A0E67C</t>
  </si>
  <si>
    <t>FEU VERT AULNAY-SOUS-BOIS - Factures RATP (2)</t>
  </si>
  <si>
    <t>C2702966DC788B21148</t>
  </si>
  <si>
    <t>URBEXIA - Commande VG202409</t>
  </si>
  <si>
    <t>C2702966486E414615E</t>
  </si>
  <si>
    <t>SPORTINA DESIGN - 018 - Maserati CoupÃ©e</t>
  </si>
  <si>
    <t>C27029668D0F98276A5</t>
  </si>
  <si>
    <t>ECODIS L'AMICADO - BDC - Nardassi</t>
  </si>
  <si>
    <t>C2702966DC4E683B228</t>
  </si>
  <si>
    <t>BNB SAUMUR - Mariage - Facture 3353</t>
  </si>
  <si>
    <t>C2702966B3394D31788</t>
  </si>
  <si>
    <t>QUALI PARTS &amp; SERVICE - Fact 1909 - Tranche 1</t>
  </si>
  <si>
    <t>C2702966488A8122EB2</t>
  </si>
  <si>
    <t>QUALI PARTS &amp; SERVICE - Fact 0524</t>
  </si>
  <si>
    <t>C2702966544BB1B833C</t>
  </si>
  <si>
    <t>PUBLITECH - Commande VG202404</t>
  </si>
  <si>
    <t>C2702966DC29923AED1</t>
  </si>
  <si>
    <t>HOMIWAY - Commande VG202408</t>
  </si>
  <si>
    <t>C2702966DC1905271F1</t>
  </si>
  <si>
    <t>FVF83 - Facture 2400163</t>
  </si>
  <si>
    <t>C2702966D3428FD0067</t>
  </si>
  <si>
    <t>RENOV'IMMO - 2405 et 2402</t>
  </si>
  <si>
    <t>C2702966DBFB4BA2F2F</t>
  </si>
  <si>
    <t>SOREM - BDC - Carrefour - 74</t>
  </si>
  <si>
    <t>C2702966D2C78E77BAB</t>
  </si>
  <si>
    <t>CANASTELLE PROMOTION - Facture - SCI,J,</t>
  </si>
  <si>
    <t>C2702966446DFF2269B</t>
  </si>
  <si>
    <t>FENETRE ET STYLE -  Devis 00978</t>
  </si>
  <si>
    <t>C27029664898797764A</t>
  </si>
  <si>
    <t>PHOENIX - EOS TÃ©lÃ©com - Facture 0794</t>
  </si>
  <si>
    <t>C27029664479E31CC5E</t>
  </si>
  <si>
    <t>GREEN BIRD CAPITAL - Immeuble BesanÃ§on - Lot 3</t>
  </si>
  <si>
    <t>C270296644A639779E3</t>
  </si>
  <si>
    <t>ALPHA IMMO CONCEPT - Aubenas - Acquisition - Tranche 3/5</t>
  </si>
  <si>
    <t>C2702966D2F7CB8A56B</t>
  </si>
  <si>
    <t>SECURIDOCK - DEV24503 - Soveriso</t>
  </si>
  <si>
    <t>C2702966D342245A397</t>
  </si>
  <si>
    <t>SECURIDOCK - Devis 24494 - Guyot Environnement</t>
  </si>
  <si>
    <t>C2702966D35A957C46E</t>
  </si>
  <si>
    <t>PSL RHONE - Projet La Turbie - Tranche 1</t>
  </si>
  <si>
    <t>C2702966D427F7E8B88</t>
  </si>
  <si>
    <t>AQUILODGE - Commande VG202408</t>
  </si>
  <si>
    <t>C2702966D34DF385F27</t>
  </si>
  <si>
    <t>MEDIABREIZH - Commande VG202408</t>
  </si>
  <si>
    <t>Bonus</t>
  </si>
  <si>
    <t>Opération</t>
  </si>
  <si>
    <t>N°Contrat</t>
  </si>
  <si>
    <t>Capital remboursé</t>
  </si>
  <si>
    <t>Intérêts remboursés</t>
  </si>
  <si>
    <t>Prélèvements fiscaux et sociaux</t>
  </si>
  <si>
    <t>Intérêts net</t>
  </si>
  <si>
    <t>Année</t>
  </si>
  <si>
    <t>Mois</t>
  </si>
  <si>
    <t>Mois lettre</t>
  </si>
  <si>
    <t>Offre acceptée</t>
  </si>
  <si>
    <t>Offre remboursée</t>
  </si>
  <si>
    <t>Dépôt de fonds</t>
  </si>
  <si>
    <t>Total général</t>
  </si>
  <si>
    <t>Somme de Montant</t>
  </si>
  <si>
    <t>Total</t>
  </si>
  <si>
    <t>Date min</t>
  </si>
  <si>
    <t>Date max</t>
  </si>
  <si>
    <t>Solde</t>
  </si>
  <si>
    <t>Valeurs</t>
  </si>
  <si>
    <t>Somme de Capital remboursé</t>
  </si>
  <si>
    <t>ID</t>
  </si>
  <si>
    <t>Date fin mois</t>
  </si>
  <si>
    <t>Capital</t>
  </si>
  <si>
    <t>Offres</t>
  </si>
  <si>
    <t>Somme de Offres</t>
  </si>
  <si>
    <t>(vide)</t>
  </si>
  <si>
    <t>Somme de Intérêts remboursés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</si>
</sst>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0.89999084444715716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33" borderId="0" xfId="0" applyNumberFormat="1" applyFill="1"/>
    <xf numFmtId="49" fontId="0" fillId="33" borderId="0" xfId="0" applyNumberFormat="1" applyFill="1"/>
    <xf numFmtId="0" fontId="0" fillId="33" borderId="0" xfId="0" applyFill="1"/>
    <xf numFmtId="164" fontId="0" fillId="34" borderId="0" xfId="0" applyNumberFormat="1" applyFill="1"/>
    <xf numFmtId="49" fontId="0" fillId="34" borderId="0" xfId="0" applyNumberFormat="1" applyFill="1"/>
    <xf numFmtId="0" fontId="0" fillId="0" borderId="0" xfId="0" pivotButton="1"/>
    <xf numFmtId="0" fontId="0" fillId="0" borderId="0" xfId="0" applyNumberFormat="1"/>
    <xf numFmtId="0" fontId="0" fillId="35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3">
    <dxf>
      <numFmt numFmtId="164" formatCode="#,##0.00\ &quot;€&quot;"/>
      <fill>
        <patternFill patternType="solid">
          <fgColor indexed="64"/>
          <bgColor theme="7" tint="0.79998168889431442"/>
        </patternFill>
      </fill>
    </dxf>
    <dxf>
      <numFmt numFmtId="30" formatCode="@"/>
      <fill>
        <patternFill patternType="solid">
          <fgColor indexed="64"/>
          <bgColor theme="7" tint="0.79998168889431442"/>
        </patternFill>
      </fill>
    </dxf>
    <dxf>
      <numFmt numFmtId="30" formatCode="@"/>
      <fill>
        <patternFill patternType="solid">
          <fgColor indexed="64"/>
          <bgColor theme="7" tint="0.79998168889431442"/>
        </patternFill>
      </fill>
    </dxf>
    <dxf>
      <numFmt numFmtId="164" formatCode="#,##0.00\ &quot;€&quot;"/>
      <fill>
        <patternFill patternType="solid">
          <fgColor indexed="64"/>
          <bgColor theme="7" tint="0.79998168889431442"/>
        </patternFill>
      </fill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9" formatCode="dd/mm/yyyy"/>
    </dxf>
    <dxf>
      <numFmt numFmtId="164" formatCode="#,##0.00\ &quot;€&quot;"/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fill>
        <patternFill>
          <bgColor theme="0" tint="-0.499984740745262"/>
        </patternFill>
      </fill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SlicerStyleDark1 2" pivot="0" table="0" count="10" xr9:uid="{67D2CFCD-9A39-44A0-B063-AE187D5E5D57}">
      <tableStyleElement type="wholeTable" dxfId="12"/>
      <tableStyleElement type="headerRow" dxfId="11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Dark1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 w="25400">
          <a:noFill/>
        </a:ln>
        <a:effectLst/>
        <a:sp3d/>
      </c:spPr>
    </c:sideWall>
    <c:backWall>
      <c:thickness val="0"/>
      <c:spPr>
        <a:noFill/>
        <a:ln w="25400"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6039432715252395E-2"/>
          <c:y val="4.8179997237187459E-2"/>
          <c:w val="0.96396056728474766"/>
          <c:h val="0.79218607542478248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TCD!$S$4</c:f>
              <c:strCache>
                <c:ptCount val="1"/>
                <c:pt idx="0">
                  <c:v>Intérêts net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numFmt formatCode="#\ ##0.00&quot; €&quot;" sourceLinked="0"/>
            <c:spPr>
              <a:solidFill>
                <a:schemeClr val="accent1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TCD!$R$5:$R$16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TCD!$S$5:$S$16</c:f>
              <c:numCache>
                <c:formatCode>General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2</c:v>
                </c:pt>
                <c:pt idx="6">
                  <c:v>9.6399999999999988</c:v>
                </c:pt>
                <c:pt idx="7">
                  <c:v>17.439999999999998</c:v>
                </c:pt>
                <c:pt idx="8">
                  <c:v>28.730000000000008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3EC-43CA-9222-F35AACA104B3}"/>
            </c:ext>
          </c:extLst>
        </c:ser>
        <c:ser>
          <c:idx val="1"/>
          <c:order val="1"/>
          <c:tx>
            <c:strRef>
              <c:f>TCD!$T$4</c:f>
              <c:strCache>
                <c:ptCount val="1"/>
                <c:pt idx="0">
                  <c:v>Capital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numFmt formatCode="#\ ##0.00&quot; €&quot;" sourceLinked="0"/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oundRec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TCD!$R$5:$R$16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TCD!$T$5:$T$16</c:f>
              <c:numCache>
                <c:formatCode>General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1170</c:v>
                </c:pt>
                <c:pt idx="5">
                  <c:v>1192</c:v>
                </c:pt>
                <c:pt idx="6">
                  <c:v>1219</c:v>
                </c:pt>
                <c:pt idx="7">
                  <c:v>1527</c:v>
                </c:pt>
                <c:pt idx="8">
                  <c:v>1687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3EC-43CA-9222-F35AACA104B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000362080"/>
        <c:axId val="884255712"/>
        <c:axId val="0"/>
      </c:bar3DChart>
      <c:catAx>
        <c:axId val="1000362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4255712"/>
        <c:crosses val="autoZero"/>
        <c:auto val="1"/>
        <c:lblAlgn val="ctr"/>
        <c:lblOffset val="100"/>
        <c:noMultiLvlLbl val="0"/>
      </c:catAx>
      <c:valAx>
        <c:axId val="88425571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3620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198120</xdr:colOff>
      <xdr:row>11</xdr:row>
      <xdr:rowOff>38100</xdr:rowOff>
    </xdr:from>
    <xdr:to>
      <xdr:col>5</xdr:col>
      <xdr:colOff>83820</xdr:colOff>
      <xdr:row>31</xdr:row>
      <xdr:rowOff>76200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EA03674-EC01-BE9E-9140-EA9A25F43CAB}"/>
            </a:ext>
          </a:extLst>
        </xdr:cNvPr>
        <xdr:cNvSpPr/>
      </xdr:nvSpPr>
      <xdr:spPr>
        <a:xfrm>
          <a:off x="198120" y="2049780"/>
          <a:ext cx="3848100" cy="3695700"/>
        </a:xfrm>
        <a:prstGeom prst="roundRect">
          <a:avLst>
            <a:gd name="adj" fmla="val 5844"/>
          </a:avLst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198120</xdr:colOff>
      <xdr:row>0</xdr:row>
      <xdr:rowOff>167640</xdr:rowOff>
    </xdr:from>
    <xdr:to>
      <xdr:col>5</xdr:col>
      <xdr:colOff>83820</xdr:colOff>
      <xdr:row>10</xdr:row>
      <xdr:rowOff>99060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F1F2E5CF-18B9-87C7-E462-3556F77E2693}"/>
            </a:ext>
          </a:extLst>
        </xdr:cNvPr>
        <xdr:cNvSpPr/>
      </xdr:nvSpPr>
      <xdr:spPr>
        <a:xfrm>
          <a:off x="198120" y="167640"/>
          <a:ext cx="3848100" cy="1760220"/>
        </a:xfrm>
        <a:prstGeom prst="roundRect">
          <a:avLst>
            <a:gd name="adj" fmla="val 5844"/>
          </a:avLst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243840</xdr:colOff>
      <xdr:row>3</xdr:row>
      <xdr:rowOff>53341</xdr:rowOff>
    </xdr:from>
    <xdr:to>
      <xdr:col>2</xdr:col>
      <xdr:colOff>487680</xdr:colOff>
      <xdr:row>10</xdr:row>
      <xdr:rowOff>45721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768EA2C2-B0A8-4612-A845-8EA166FF6F3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3840" y="601981"/>
              <a:ext cx="1828800" cy="12725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525780</xdr:colOff>
      <xdr:row>3</xdr:row>
      <xdr:rowOff>53341</xdr:rowOff>
    </xdr:from>
    <xdr:to>
      <xdr:col>4</xdr:col>
      <xdr:colOff>769620</xdr:colOff>
      <xdr:row>10</xdr:row>
      <xdr:rowOff>7621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 lettre">
              <a:extLst>
                <a:ext uri="{FF2B5EF4-FFF2-40B4-BE49-F238E27FC236}">
                  <a16:creationId xmlns:a16="http://schemas.microsoft.com/office/drawing/2014/main" id="{B5BB1EE6-BD7D-42FD-B862-25083A92E08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lett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10740" y="601981"/>
              <a:ext cx="1828800" cy="12344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266700</xdr:colOff>
      <xdr:row>1</xdr:row>
      <xdr:rowOff>30480</xdr:rowOff>
    </xdr:from>
    <xdr:to>
      <xdr:col>3</xdr:col>
      <xdr:colOff>693420</xdr:colOff>
      <xdr:row>4</xdr:row>
      <xdr:rowOff>7620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37FF8D6F-AB86-17FE-F8B7-88BD550CD657}"/>
            </a:ext>
          </a:extLst>
        </xdr:cNvPr>
        <xdr:cNvSpPr txBox="1"/>
      </xdr:nvSpPr>
      <xdr:spPr>
        <a:xfrm>
          <a:off x="266700" y="213360"/>
          <a:ext cx="2804160" cy="5257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chemeClr val="bg1">
                  <a:lumMod val="95000"/>
                </a:schemeClr>
              </a:solidFill>
            </a:rPr>
            <a:t>Historique, suivi</a:t>
          </a:r>
        </a:p>
      </xdr:txBody>
    </xdr:sp>
    <xdr:clientData/>
  </xdr:twoCellAnchor>
  <xdr:twoCellAnchor>
    <xdr:from>
      <xdr:col>0</xdr:col>
      <xdr:colOff>251460</xdr:colOff>
      <xdr:row>11</xdr:row>
      <xdr:rowOff>22860</xdr:rowOff>
    </xdr:from>
    <xdr:to>
      <xdr:col>3</xdr:col>
      <xdr:colOff>678180</xdr:colOff>
      <xdr:row>14</xdr:row>
      <xdr:rowOff>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5BE848BA-441C-C263-6FB8-E70CCEB060E5}"/>
            </a:ext>
          </a:extLst>
        </xdr:cNvPr>
        <xdr:cNvSpPr txBox="1"/>
      </xdr:nvSpPr>
      <xdr:spPr>
        <a:xfrm>
          <a:off x="251460" y="2034540"/>
          <a:ext cx="2804160" cy="5257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chemeClr val="bg1">
                  <a:lumMod val="95000"/>
                </a:schemeClr>
              </a:solidFill>
            </a:rPr>
            <a:t>Projets :</a:t>
          </a:r>
        </a:p>
      </xdr:txBody>
    </xdr:sp>
    <xdr:clientData/>
  </xdr:twoCellAnchor>
  <xdr:twoCellAnchor>
    <xdr:from>
      <xdr:col>5</xdr:col>
      <xdr:colOff>198120</xdr:colOff>
      <xdr:row>0</xdr:row>
      <xdr:rowOff>175260</xdr:rowOff>
    </xdr:from>
    <xdr:to>
      <xdr:col>17</xdr:col>
      <xdr:colOff>617220</xdr:colOff>
      <xdr:row>10</xdr:row>
      <xdr:rowOff>106680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4901C0EF-9E31-50B1-771F-245E3AAEAF46}"/>
            </a:ext>
          </a:extLst>
        </xdr:cNvPr>
        <xdr:cNvSpPr/>
      </xdr:nvSpPr>
      <xdr:spPr>
        <a:xfrm>
          <a:off x="4160520" y="175260"/>
          <a:ext cx="9928860" cy="1760220"/>
        </a:xfrm>
        <a:prstGeom prst="roundRect">
          <a:avLst>
            <a:gd name="adj" fmla="val 5844"/>
          </a:avLst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198120</xdr:colOff>
      <xdr:row>2</xdr:row>
      <xdr:rowOff>22860</xdr:rowOff>
    </xdr:from>
    <xdr:to>
      <xdr:col>17</xdr:col>
      <xdr:colOff>586740</xdr:colOff>
      <xdr:row>10</xdr:row>
      <xdr:rowOff>7620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D612B67A-1D1E-4F2A-A597-8C147F09B7A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541020</xdr:colOff>
      <xdr:row>0</xdr:row>
      <xdr:rowOff>129540</xdr:rowOff>
    </xdr:from>
    <xdr:to>
      <xdr:col>11</xdr:col>
      <xdr:colOff>15240</xdr:colOff>
      <xdr:row>3</xdr:row>
      <xdr:rowOff>38100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3B21FDA5-8D03-EFC3-1715-259972036D42}"/>
            </a:ext>
          </a:extLst>
        </xdr:cNvPr>
        <xdr:cNvSpPr txBox="1"/>
      </xdr:nvSpPr>
      <xdr:spPr>
        <a:xfrm>
          <a:off x="5295900" y="129540"/>
          <a:ext cx="3436620" cy="4572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chemeClr val="bg1">
                  <a:lumMod val="95000"/>
                </a:schemeClr>
              </a:solidFill>
              <a:latin typeface="+mn-lt"/>
              <a:ea typeface="+mn-ea"/>
              <a:cs typeface="+mn-cs"/>
            </a:rPr>
            <a:t>Cumul capital et intérêts</a:t>
          </a:r>
          <a:endParaRPr lang="fr-FR" sz="1100">
            <a:solidFill>
              <a:schemeClr val="bg1">
                <a:lumMod val="95000"/>
              </a:schemeClr>
            </a:solidFill>
          </a:endParaRPr>
        </a:p>
      </xdr:txBody>
    </xdr:sp>
    <xdr:clientData/>
  </xdr:twoCellAnchor>
  <xdr:twoCellAnchor editAs="oneCell">
    <xdr:from>
      <xdr:col>0</xdr:col>
      <xdr:colOff>259080</xdr:colOff>
      <xdr:row>13</xdr:row>
      <xdr:rowOff>53340</xdr:rowOff>
    </xdr:from>
    <xdr:to>
      <xdr:col>5</xdr:col>
      <xdr:colOff>7620</xdr:colOff>
      <xdr:row>30</xdr:row>
      <xdr:rowOff>175260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rojet">
              <a:extLst>
                <a:ext uri="{FF2B5EF4-FFF2-40B4-BE49-F238E27FC236}">
                  <a16:creationId xmlns:a16="http://schemas.microsoft.com/office/drawing/2014/main" id="{7B49BA92-0255-43E1-9BAD-C25100B26CE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9080" y="2430780"/>
              <a:ext cx="3710940" cy="32308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Wilfried Fournival" refreshedDate="45543.71007361111" createdVersion="8" refreshedVersion="8" minRefreshableVersion="3" recordCount="90" xr:uid="{243B544B-372A-4E28-B9A2-8B18E8826652}">
  <cacheSource type="worksheet">
    <worksheetSource name="BaseDD"/>
  </cacheSource>
  <cacheFields count="13">
    <cacheField name="Opération" numFmtId="0">
      <sharedItems count="6">
        <s v="Remboursement"/>
        <s v="Retrait de fonds"/>
        <s v="Offre acceptée"/>
        <s v="Offre remboursée"/>
        <s v="Dépôt de fonds"/>
        <s v="Bonus"/>
      </sharedItems>
    </cacheField>
    <cacheField name="N°Contrat" numFmtId="0">
      <sharedItems containsBlank="1"/>
    </cacheField>
    <cacheField name="Projet" numFmtId="0">
      <sharedItems containsBlank="1" count="27">
        <s v="IMMOSEINE - Commande VG202401"/>
        <s v="SERALU - Lot 304 - CHU de Nantes (7)"/>
        <s v="LARA INVEST - Vars 2000 - Subventions Tranche 1"/>
        <s v="CORREIA FACADE - Devis 1-24-01-4"/>
        <m/>
        <s v="FEU VERT AULNAY-SOUS-BOIS - Factures RATP (2)"/>
        <s v="URBEXIA - Commande VG202409"/>
        <s v="SPORTINA DESIGN - 018 - Maserati CoupÃ©e"/>
        <s v="ECODIS L'AMICADO - BDC - Nardassi"/>
        <s v="BNB SAUMUR - Mariage - Facture 3353"/>
        <s v="QUALI PARTS &amp; SERVICE - Fact 1909 - Tranche 1"/>
        <s v="QUALI PARTS &amp; SERVICE - Fact 0524"/>
        <s v="PUBLITECH - Commande VG202404"/>
        <s v="HOMIWAY - Commande VG202408"/>
        <s v="FVF83 - Facture 2400163"/>
        <s v="RENOV'IMMO - 2405 et 2402"/>
        <s v="SOREM - BDC - Carrefour - 74"/>
        <s v="CANASTELLE PROMOTION - Facture - SCI,J,"/>
        <s v="FENETRE ET STYLE -  Devis 00978"/>
        <s v="PHOENIX - EOS TÃ©lÃ©com - Facture 0794"/>
        <s v="GREEN BIRD CAPITAL - Immeuble BesanÃ§on - Lot 3"/>
        <s v="ALPHA IMMO CONCEPT - Aubenas - Acquisition - Tranche 3/5"/>
        <s v="SECURIDOCK - DEV24503 - Soveriso"/>
        <s v="SECURIDOCK - Devis 24494 - Guyot Environnement"/>
        <s v="PSL RHONE - Projet La Turbie - Tranche 1"/>
        <s v="AQUILODGE - Commande VG202408"/>
        <s v="MEDIABREIZH - Commande VG202408"/>
      </sharedItems>
    </cacheField>
    <cacheField name="Date" numFmtId="14">
      <sharedItems containsSemiMixedTypes="0" containsNonDate="0" containsDate="1" containsString="0" minDate="2024-05-13T00:00:00" maxDate="2024-09-09T00:00:00" count="20">
        <d v="2024-09-08T00:00:00"/>
        <d v="2024-09-07T00:00:00"/>
        <d v="2024-09-06T00:00:00"/>
        <d v="2024-09-02T00:00:00"/>
        <d v="2024-09-01T00:00:00"/>
        <d v="2024-08-31T00:00:00"/>
        <d v="2024-08-07T00:00:00"/>
        <d v="2024-08-06T00:00:00"/>
        <d v="2024-07-14T00:00:00"/>
        <d v="2024-07-13T00:00:00"/>
        <d v="2024-07-09T00:00:00"/>
        <d v="2024-07-07T00:00:00"/>
        <d v="2024-07-06T00:00:00"/>
        <d v="2024-06-07T00:00:00"/>
        <d v="2024-06-06T00:00:00"/>
        <d v="2024-05-29T00:00:00"/>
        <d v="2024-05-27T00:00:00"/>
        <d v="2024-05-18T00:00:00"/>
        <d v="2024-05-15T00:00:00"/>
        <d v="2024-05-13T00:00:00"/>
      </sharedItems>
    </cacheField>
    <cacheField name="Montant" numFmtId="164">
      <sharedItems containsSemiMixedTypes="0" containsString="0" containsNumber="1" minValue="-2000" maxValue="2000"/>
    </cacheField>
    <cacheField name="Offres" numFmtId="164">
      <sharedItems containsSemiMixedTypes="0" containsString="0" containsNumber="1" containsInteger="1" minValue="0" maxValue="600"/>
    </cacheField>
    <cacheField name="Capital remboursé" numFmtId="164">
      <sharedItems containsString="0" containsBlank="1" containsNumber="1" containsInteger="1" minValue="0" maxValue="600"/>
    </cacheField>
    <cacheField name="Intérêts remboursés" numFmtId="164">
      <sharedItems containsString="0" containsBlank="1" containsNumber="1" minValue="0.01" maxValue="9.7100000000000009"/>
    </cacheField>
    <cacheField name="Prélèvements fiscaux et sociaux" numFmtId="164">
      <sharedItems containsString="0" containsBlank="1" containsNumber="1" minValue="0" maxValue="2.91"/>
    </cacheField>
    <cacheField name="Intérêts net" numFmtId="164">
      <sharedItems containsSemiMixedTypes="0" containsString="0" containsNumber="1" minValue="0" maxValue="6.8000000000000007"/>
    </cacheField>
    <cacheField name="Année" numFmtId="49">
      <sharedItems containsSemiMixedTypes="0" containsString="0" containsNumber="1" containsInteger="1" minValue="2024" maxValue="2024" count="1">
        <n v="2024"/>
      </sharedItems>
    </cacheField>
    <cacheField name="Mois" numFmtId="49">
      <sharedItems containsSemiMixedTypes="0" containsString="0" containsNumber="1" containsInteger="1" minValue="5" maxValue="9"/>
    </cacheField>
    <cacheField name="Mois lettre" numFmtId="164">
      <sharedItems count="5">
        <s v="Sept"/>
        <s v="Août"/>
        <s v="Juil"/>
        <s v="Juin"/>
        <s v="Mai"/>
      </sharedItems>
    </cacheField>
  </cacheFields>
  <extLst>
    <ext xmlns:x14="http://schemas.microsoft.com/office/spreadsheetml/2009/9/main" uri="{725AE2AE-9491-48be-B2B4-4EB974FC3084}">
      <x14:pivotCacheDefinition pivotCacheId="119713044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0">
  <r>
    <x v="0"/>
    <s v="C2702966487C9A21B02"/>
    <x v="0"/>
    <x v="0"/>
    <n v="0.39"/>
    <n v="0"/>
    <n v="0"/>
    <n v="0.56000000000000005"/>
    <n v="0.17"/>
    <n v="0.39"/>
    <x v="0"/>
    <n v="9"/>
    <x v="0"/>
  </r>
  <r>
    <x v="0"/>
    <s v="C2702966D2DBD9122D7"/>
    <x v="1"/>
    <x v="1"/>
    <n v="0.02"/>
    <n v="0"/>
    <n v="0"/>
    <n v="0.03"/>
    <n v="0.01"/>
    <n v="1.9999999999999997E-2"/>
    <x v="0"/>
    <n v="9"/>
    <x v="0"/>
  </r>
  <r>
    <x v="0"/>
    <s v="C270296648607505A32"/>
    <x v="2"/>
    <x v="1"/>
    <n v="0.32"/>
    <n v="0"/>
    <n v="0"/>
    <n v="0.46"/>
    <n v="0.14000000000000001"/>
    <n v="0.32"/>
    <x v="0"/>
    <n v="9"/>
    <x v="0"/>
  </r>
  <r>
    <x v="0"/>
    <s v="C270296662BE2828FCD"/>
    <x v="3"/>
    <x v="1"/>
    <n v="0.14000000000000001"/>
    <n v="0"/>
    <n v="0"/>
    <n v="0.2"/>
    <n v="0.06"/>
    <n v="0.14000000000000001"/>
    <x v="0"/>
    <n v="9"/>
    <x v="0"/>
  </r>
  <r>
    <x v="1"/>
    <m/>
    <x v="4"/>
    <x v="1"/>
    <n v="-600"/>
    <n v="0"/>
    <m/>
    <m/>
    <m/>
    <n v="0"/>
    <x v="0"/>
    <n v="9"/>
    <x v="0"/>
  </r>
  <r>
    <x v="0"/>
    <s v="C2702966570D5A0E67C"/>
    <x v="5"/>
    <x v="1"/>
    <n v="606.79999999999995"/>
    <n v="0"/>
    <n v="600"/>
    <n v="9.7100000000000009"/>
    <n v="2.91"/>
    <n v="6.8000000000000007"/>
    <x v="0"/>
    <n v="9"/>
    <x v="0"/>
  </r>
  <r>
    <x v="2"/>
    <s v="C2702966DC788B21148"/>
    <x v="6"/>
    <x v="1"/>
    <n v="-20"/>
    <n v="20"/>
    <m/>
    <m/>
    <m/>
    <n v="0"/>
    <x v="0"/>
    <n v="9"/>
    <x v="0"/>
  </r>
  <r>
    <x v="0"/>
    <s v="C2702966486E414615E"/>
    <x v="7"/>
    <x v="1"/>
    <n v="0.32"/>
    <n v="0"/>
    <n v="0"/>
    <n v="0.46"/>
    <n v="0.14000000000000001"/>
    <n v="0.32"/>
    <x v="0"/>
    <n v="9"/>
    <x v="0"/>
  </r>
  <r>
    <x v="0"/>
    <s v="C27029668D0F98276A5"/>
    <x v="8"/>
    <x v="1"/>
    <n v="0.17"/>
    <n v="0"/>
    <n v="0"/>
    <n v="0.25"/>
    <n v="0.08"/>
    <n v="0.16999999999999998"/>
    <x v="0"/>
    <n v="9"/>
    <x v="0"/>
  </r>
  <r>
    <x v="2"/>
    <s v="C2702966DC4E683B228"/>
    <x v="9"/>
    <x v="1"/>
    <n v="-60"/>
    <n v="60"/>
    <m/>
    <m/>
    <m/>
    <n v="0"/>
    <x v="0"/>
    <n v="9"/>
    <x v="0"/>
  </r>
  <r>
    <x v="0"/>
    <s v="C2702966B3394D31788"/>
    <x v="10"/>
    <x v="1"/>
    <n v="0.16"/>
    <n v="0"/>
    <n v="0"/>
    <n v="0.23"/>
    <n v="7.0000000000000007E-2"/>
    <n v="0.16"/>
    <x v="0"/>
    <n v="9"/>
    <x v="0"/>
  </r>
  <r>
    <x v="0"/>
    <s v="C2702966488A8122EB2"/>
    <x v="11"/>
    <x v="1"/>
    <n v="0.35"/>
    <n v="0"/>
    <n v="0"/>
    <n v="0.5"/>
    <n v="0.15"/>
    <n v="0.35"/>
    <x v="0"/>
    <n v="9"/>
    <x v="0"/>
  </r>
  <r>
    <x v="0"/>
    <s v="C2702966544BB1B833C"/>
    <x v="12"/>
    <x v="1"/>
    <n v="0.53"/>
    <n v="0"/>
    <n v="0"/>
    <n v="0.76"/>
    <n v="0.23"/>
    <n v="0.53"/>
    <x v="0"/>
    <n v="9"/>
    <x v="0"/>
  </r>
  <r>
    <x v="2"/>
    <s v="C2702966DC29923AED1"/>
    <x v="13"/>
    <x v="1"/>
    <n v="-20"/>
    <n v="20"/>
    <m/>
    <m/>
    <m/>
    <n v="0"/>
    <x v="0"/>
    <n v="9"/>
    <x v="0"/>
  </r>
  <r>
    <x v="2"/>
    <s v="C2702966DC1905271F1"/>
    <x v="14"/>
    <x v="1"/>
    <n v="-20"/>
    <n v="20"/>
    <m/>
    <m/>
    <m/>
    <n v="0"/>
    <x v="0"/>
    <n v="9"/>
    <x v="0"/>
  </r>
  <r>
    <x v="0"/>
    <s v="C2702966D3428FD0067"/>
    <x v="15"/>
    <x v="1"/>
    <n v="0.01"/>
    <n v="0"/>
    <n v="0"/>
    <n v="0.01"/>
    <n v="0"/>
    <n v="0.01"/>
    <x v="0"/>
    <n v="9"/>
    <x v="0"/>
  </r>
  <r>
    <x v="2"/>
    <s v="C2702966DBFB4BA2F2F"/>
    <x v="16"/>
    <x v="1"/>
    <n v="-20"/>
    <n v="20"/>
    <m/>
    <m/>
    <m/>
    <n v="0"/>
    <x v="0"/>
    <n v="9"/>
    <x v="0"/>
  </r>
  <r>
    <x v="0"/>
    <s v="C2702966D2C78E77BAB"/>
    <x v="17"/>
    <x v="1"/>
    <n v="0.01"/>
    <n v="0"/>
    <n v="0"/>
    <n v="0.01"/>
    <n v="0"/>
    <n v="0.01"/>
    <x v="0"/>
    <n v="9"/>
    <x v="0"/>
  </r>
  <r>
    <x v="0"/>
    <s v="C2702966446DFF2269B"/>
    <x v="18"/>
    <x v="2"/>
    <n v="0.65"/>
    <n v="0"/>
    <n v="0"/>
    <n v="0.93"/>
    <n v="0.28000000000000003"/>
    <n v="0.65"/>
    <x v="0"/>
    <n v="9"/>
    <x v="0"/>
  </r>
  <r>
    <x v="0"/>
    <s v="C27029664898797764A"/>
    <x v="19"/>
    <x v="2"/>
    <n v="0.35"/>
    <n v="0"/>
    <n v="0"/>
    <n v="0.5"/>
    <n v="0.15"/>
    <n v="0.35"/>
    <x v="0"/>
    <n v="9"/>
    <x v="0"/>
  </r>
  <r>
    <x v="0"/>
    <s v="C27029664479E31CC5E"/>
    <x v="20"/>
    <x v="2"/>
    <n v="0.71"/>
    <n v="0"/>
    <n v="0"/>
    <n v="1.01"/>
    <n v="0.3"/>
    <n v="0.71"/>
    <x v="0"/>
    <n v="9"/>
    <x v="0"/>
  </r>
  <r>
    <x v="0"/>
    <s v="C270296644A639779E3"/>
    <x v="21"/>
    <x v="2"/>
    <n v="0.34"/>
    <n v="0"/>
    <n v="0"/>
    <n v="0.48"/>
    <n v="0.14000000000000001"/>
    <n v="0.33999999999999997"/>
    <x v="0"/>
    <n v="9"/>
    <x v="0"/>
  </r>
  <r>
    <x v="0"/>
    <s v="C2702966D2F7CB8A56B"/>
    <x v="22"/>
    <x v="2"/>
    <n v="0.01"/>
    <n v="0"/>
    <n v="0"/>
    <n v="0.01"/>
    <n v="0"/>
    <n v="0.01"/>
    <x v="0"/>
    <n v="9"/>
    <x v="0"/>
  </r>
  <r>
    <x v="0"/>
    <s v="C2702966D342245A397"/>
    <x v="23"/>
    <x v="2"/>
    <n v="0.01"/>
    <n v="0"/>
    <n v="0"/>
    <n v="0.02"/>
    <n v="0.01"/>
    <n v="0.01"/>
    <x v="0"/>
    <n v="9"/>
    <x v="0"/>
  </r>
  <r>
    <x v="3"/>
    <s v="C2702966D35A957C46E"/>
    <x v="24"/>
    <x v="3"/>
    <n v="30"/>
    <n v="0"/>
    <m/>
    <m/>
    <m/>
    <n v="0"/>
    <x v="0"/>
    <n v="9"/>
    <x v="0"/>
  </r>
  <r>
    <x v="2"/>
    <s v="C2702966D427F7E8B88"/>
    <x v="25"/>
    <x v="4"/>
    <n v="-20"/>
    <n v="20"/>
    <m/>
    <m/>
    <m/>
    <n v="0"/>
    <x v="0"/>
    <n v="9"/>
    <x v="0"/>
  </r>
  <r>
    <x v="2"/>
    <s v="C2702966D35A957C46E"/>
    <x v="24"/>
    <x v="5"/>
    <n v="-30"/>
    <n v="30"/>
    <m/>
    <m/>
    <m/>
    <n v="0"/>
    <x v="0"/>
    <n v="8"/>
    <x v="1"/>
  </r>
  <r>
    <x v="2"/>
    <s v="C2702966D34DF385F27"/>
    <x v="26"/>
    <x v="5"/>
    <n v="-40"/>
    <n v="40"/>
    <m/>
    <m/>
    <m/>
    <n v="0"/>
    <x v="0"/>
    <n v="8"/>
    <x v="1"/>
  </r>
  <r>
    <x v="2"/>
    <s v="C2702966D3428FD0067"/>
    <x v="15"/>
    <x v="5"/>
    <n v="-20"/>
    <n v="20"/>
    <m/>
    <m/>
    <m/>
    <n v="0"/>
    <x v="0"/>
    <n v="8"/>
    <x v="1"/>
  </r>
  <r>
    <x v="2"/>
    <s v="C2702966D342245A397"/>
    <x v="23"/>
    <x v="5"/>
    <n v="-50"/>
    <n v="50"/>
    <m/>
    <m/>
    <m/>
    <n v="0"/>
    <x v="0"/>
    <n v="8"/>
    <x v="1"/>
  </r>
  <r>
    <x v="2"/>
    <s v="C2702966D2F7CB8A56B"/>
    <x v="22"/>
    <x v="5"/>
    <n v="-20"/>
    <n v="20"/>
    <m/>
    <m/>
    <m/>
    <n v="0"/>
    <x v="0"/>
    <n v="8"/>
    <x v="1"/>
  </r>
  <r>
    <x v="2"/>
    <s v="C2702966D2DBD9122D7"/>
    <x v="1"/>
    <x v="5"/>
    <n v="-100"/>
    <n v="100"/>
    <m/>
    <m/>
    <m/>
    <n v="0"/>
    <x v="0"/>
    <n v="8"/>
    <x v="1"/>
  </r>
  <r>
    <x v="2"/>
    <s v="C2702966D2C78E77BAB"/>
    <x v="17"/>
    <x v="5"/>
    <n v="-20"/>
    <n v="20"/>
    <m/>
    <m/>
    <m/>
    <n v="0"/>
    <x v="0"/>
    <n v="8"/>
    <x v="1"/>
  </r>
  <r>
    <x v="4"/>
    <m/>
    <x v="4"/>
    <x v="5"/>
    <n v="600"/>
    <n v="0"/>
    <m/>
    <m/>
    <m/>
    <n v="0"/>
    <x v="0"/>
    <n v="8"/>
    <x v="1"/>
  </r>
  <r>
    <x v="2"/>
    <s v="C2702966B3394D31788"/>
    <x v="10"/>
    <x v="6"/>
    <n v="-28"/>
    <n v="28"/>
    <m/>
    <m/>
    <m/>
    <n v="0"/>
    <x v="0"/>
    <n v="8"/>
    <x v="1"/>
  </r>
  <r>
    <x v="0"/>
    <s v="C2702966487C9A21B02"/>
    <x v="0"/>
    <x v="6"/>
    <n v="0.39"/>
    <n v="0"/>
    <n v="0"/>
    <n v="0.56000000000000005"/>
    <n v="0.17"/>
    <n v="0.39"/>
    <x v="0"/>
    <n v="8"/>
    <x v="1"/>
  </r>
  <r>
    <x v="4"/>
    <m/>
    <x v="4"/>
    <x v="6"/>
    <n v="20"/>
    <n v="0"/>
    <m/>
    <m/>
    <m/>
    <n v="0"/>
    <x v="0"/>
    <n v="8"/>
    <x v="1"/>
  </r>
  <r>
    <x v="0"/>
    <s v="C270296648607505A32"/>
    <x v="2"/>
    <x v="6"/>
    <n v="0.32"/>
    <n v="0"/>
    <n v="0"/>
    <n v="0.46"/>
    <n v="0.14000000000000001"/>
    <n v="0.32"/>
    <x v="0"/>
    <n v="8"/>
    <x v="1"/>
  </r>
  <r>
    <x v="0"/>
    <s v="C270296662BE2828FCD"/>
    <x v="3"/>
    <x v="6"/>
    <n v="0.14000000000000001"/>
    <n v="0"/>
    <n v="0"/>
    <n v="0.2"/>
    <n v="0.06"/>
    <n v="0.14000000000000001"/>
    <x v="0"/>
    <n v="8"/>
    <x v="1"/>
  </r>
  <r>
    <x v="0"/>
    <s v="C2702966570D5A0E67C"/>
    <x v="5"/>
    <x v="6"/>
    <n v="3.57"/>
    <n v="0"/>
    <n v="0"/>
    <n v="5.0999999999999996"/>
    <n v="1.53"/>
    <n v="3.5699999999999994"/>
    <x v="0"/>
    <n v="8"/>
    <x v="1"/>
  </r>
  <r>
    <x v="0"/>
    <s v="C27029668D0F98276A5"/>
    <x v="8"/>
    <x v="6"/>
    <n v="0.13"/>
    <n v="0"/>
    <n v="0"/>
    <n v="0.19"/>
    <n v="0.06"/>
    <n v="0.13"/>
    <x v="0"/>
    <n v="8"/>
    <x v="1"/>
  </r>
  <r>
    <x v="0"/>
    <s v="C2702966486E414615E"/>
    <x v="7"/>
    <x v="6"/>
    <n v="0.32"/>
    <n v="0"/>
    <n v="0"/>
    <n v="0.46"/>
    <n v="0.14000000000000001"/>
    <n v="0.32"/>
    <x v="0"/>
    <n v="8"/>
    <x v="1"/>
  </r>
  <r>
    <x v="0"/>
    <s v="C2702966488A8122EB2"/>
    <x v="11"/>
    <x v="6"/>
    <n v="0.35"/>
    <n v="0"/>
    <n v="0"/>
    <n v="0.5"/>
    <n v="0.15"/>
    <n v="0.35"/>
    <x v="0"/>
    <n v="8"/>
    <x v="1"/>
  </r>
  <r>
    <x v="0"/>
    <s v="C2702966544BB1B833C"/>
    <x v="12"/>
    <x v="6"/>
    <n v="0.53"/>
    <n v="0"/>
    <n v="0"/>
    <n v="0.76"/>
    <n v="0.23"/>
    <n v="0.53"/>
    <x v="0"/>
    <n v="8"/>
    <x v="1"/>
  </r>
  <r>
    <x v="0"/>
    <s v="C2702966446DFF2269B"/>
    <x v="18"/>
    <x v="7"/>
    <n v="0.65"/>
    <n v="0"/>
    <n v="0"/>
    <n v="0.93"/>
    <n v="0.28000000000000003"/>
    <n v="0.65"/>
    <x v="0"/>
    <n v="8"/>
    <x v="1"/>
  </r>
  <r>
    <x v="0"/>
    <s v="C27029664898797764A"/>
    <x v="19"/>
    <x v="7"/>
    <n v="0.35"/>
    <n v="0"/>
    <n v="0"/>
    <n v="0.5"/>
    <n v="0.15"/>
    <n v="0.35"/>
    <x v="0"/>
    <n v="8"/>
    <x v="1"/>
  </r>
  <r>
    <x v="0"/>
    <s v="C27029664479E31CC5E"/>
    <x v="20"/>
    <x v="7"/>
    <n v="0.71"/>
    <n v="0"/>
    <n v="0"/>
    <n v="1.01"/>
    <n v="0.3"/>
    <n v="0.71"/>
    <x v="0"/>
    <n v="8"/>
    <x v="1"/>
  </r>
  <r>
    <x v="0"/>
    <s v="C270296644A639779E3"/>
    <x v="21"/>
    <x v="7"/>
    <n v="0.34"/>
    <n v="0"/>
    <n v="0"/>
    <n v="0.48"/>
    <n v="0.14000000000000001"/>
    <n v="0.33999999999999997"/>
    <x v="0"/>
    <n v="8"/>
    <x v="1"/>
  </r>
  <r>
    <x v="1"/>
    <m/>
    <x v="4"/>
    <x v="8"/>
    <n v="-2000"/>
    <n v="0"/>
    <m/>
    <m/>
    <m/>
    <n v="0"/>
    <x v="0"/>
    <n v="7"/>
    <x v="2"/>
  </r>
  <r>
    <x v="4"/>
    <m/>
    <x v="4"/>
    <x v="9"/>
    <n v="2000"/>
    <n v="0"/>
    <m/>
    <m/>
    <m/>
    <n v="0"/>
    <x v="0"/>
    <n v="7"/>
    <x v="2"/>
  </r>
  <r>
    <x v="2"/>
    <s v="C27029668D0F98276A5"/>
    <x v="8"/>
    <x v="10"/>
    <n v="-27"/>
    <n v="27"/>
    <m/>
    <m/>
    <m/>
    <n v="0"/>
    <x v="0"/>
    <n v="7"/>
    <x v="2"/>
  </r>
  <r>
    <x v="4"/>
    <m/>
    <x v="4"/>
    <x v="11"/>
    <n v="20"/>
    <n v="0"/>
    <m/>
    <m/>
    <m/>
    <n v="0"/>
    <x v="0"/>
    <n v="7"/>
    <x v="2"/>
  </r>
  <r>
    <x v="0"/>
    <s v="C2702966487C9A21B02"/>
    <x v="0"/>
    <x v="11"/>
    <n v="0.39"/>
    <n v="0"/>
    <n v="0"/>
    <n v="0.56000000000000005"/>
    <n v="0.17"/>
    <n v="0.39"/>
    <x v="0"/>
    <n v="7"/>
    <x v="2"/>
  </r>
  <r>
    <x v="0"/>
    <s v="C270296648607505A32"/>
    <x v="2"/>
    <x v="11"/>
    <n v="0.32"/>
    <n v="0"/>
    <n v="0"/>
    <n v="0.46"/>
    <n v="0.14000000000000001"/>
    <n v="0.32"/>
    <x v="0"/>
    <n v="7"/>
    <x v="2"/>
  </r>
  <r>
    <x v="0"/>
    <s v="C270296662BE2828FCD"/>
    <x v="3"/>
    <x v="11"/>
    <n v="0.11"/>
    <n v="0"/>
    <n v="0"/>
    <n v="0.16"/>
    <n v="0.05"/>
    <n v="0.11"/>
    <x v="0"/>
    <n v="7"/>
    <x v="2"/>
  </r>
  <r>
    <x v="0"/>
    <s v="C2702966570D5A0E67C"/>
    <x v="5"/>
    <x v="11"/>
    <n v="3.57"/>
    <n v="0"/>
    <n v="0"/>
    <n v="5.0999999999999996"/>
    <n v="1.53"/>
    <n v="3.5699999999999994"/>
    <x v="0"/>
    <n v="7"/>
    <x v="2"/>
  </r>
  <r>
    <x v="0"/>
    <s v="C2702966486E414615E"/>
    <x v="7"/>
    <x v="11"/>
    <n v="0.32"/>
    <n v="0"/>
    <n v="0"/>
    <n v="0.46"/>
    <n v="0.14000000000000001"/>
    <n v="0.32"/>
    <x v="0"/>
    <n v="7"/>
    <x v="2"/>
  </r>
  <r>
    <x v="0"/>
    <s v="C2702966488A8122EB2"/>
    <x v="11"/>
    <x v="11"/>
    <n v="0.35"/>
    <n v="0"/>
    <n v="0"/>
    <n v="0.5"/>
    <n v="0.15"/>
    <n v="0.35"/>
    <x v="0"/>
    <n v="7"/>
    <x v="2"/>
  </r>
  <r>
    <x v="0"/>
    <s v="C2702966544BB1B833C"/>
    <x v="12"/>
    <x v="11"/>
    <n v="0.53"/>
    <n v="0"/>
    <n v="0"/>
    <n v="0.76"/>
    <n v="0.23"/>
    <n v="0.53"/>
    <x v="0"/>
    <n v="7"/>
    <x v="2"/>
  </r>
  <r>
    <x v="0"/>
    <s v="C2702966446DFF2269B"/>
    <x v="18"/>
    <x v="12"/>
    <n v="0.65"/>
    <n v="0"/>
    <n v="0"/>
    <n v="0.93"/>
    <n v="0.28000000000000003"/>
    <n v="0.65"/>
    <x v="0"/>
    <n v="7"/>
    <x v="2"/>
  </r>
  <r>
    <x v="0"/>
    <s v="C27029664898797764A"/>
    <x v="19"/>
    <x v="12"/>
    <n v="0.35"/>
    <n v="0"/>
    <n v="0"/>
    <n v="0.5"/>
    <n v="0.15"/>
    <n v="0.35"/>
    <x v="0"/>
    <n v="7"/>
    <x v="2"/>
  </r>
  <r>
    <x v="0"/>
    <s v="C27029664479E31CC5E"/>
    <x v="20"/>
    <x v="12"/>
    <n v="0.71"/>
    <n v="0"/>
    <n v="0"/>
    <n v="1.01"/>
    <n v="0.3"/>
    <n v="0.71"/>
    <x v="0"/>
    <n v="7"/>
    <x v="2"/>
  </r>
  <r>
    <x v="0"/>
    <s v="C270296644A639779E3"/>
    <x v="21"/>
    <x v="12"/>
    <n v="0.34"/>
    <n v="0"/>
    <n v="0"/>
    <n v="0.48"/>
    <n v="0.14000000000000001"/>
    <n v="0.33999999999999997"/>
    <x v="0"/>
    <n v="7"/>
    <x v="2"/>
  </r>
  <r>
    <x v="2"/>
    <s v="C270296662BE2828FCD"/>
    <x v="3"/>
    <x v="13"/>
    <n v="-22"/>
    <n v="22"/>
    <m/>
    <m/>
    <m/>
    <n v="0"/>
    <x v="0"/>
    <n v="6"/>
    <x v="3"/>
  </r>
  <r>
    <x v="4"/>
    <m/>
    <x v="4"/>
    <x v="13"/>
    <n v="20"/>
    <n v="0"/>
    <m/>
    <m/>
    <m/>
    <n v="0"/>
    <x v="0"/>
    <n v="6"/>
    <x v="3"/>
  </r>
  <r>
    <x v="0"/>
    <s v="C2702966570D5A0E67C"/>
    <x v="5"/>
    <x v="13"/>
    <n v="0.34"/>
    <n v="0"/>
    <n v="0"/>
    <n v="0.49"/>
    <n v="0.15"/>
    <n v="0.33999999999999997"/>
    <x v="0"/>
    <n v="6"/>
    <x v="3"/>
  </r>
  <r>
    <x v="0"/>
    <s v="C2702966486E414615E"/>
    <x v="7"/>
    <x v="13"/>
    <n v="0.15"/>
    <n v="0"/>
    <n v="0"/>
    <n v="0.21"/>
    <n v="0.06"/>
    <n v="0.15"/>
    <x v="0"/>
    <n v="6"/>
    <x v="3"/>
  </r>
  <r>
    <x v="0"/>
    <s v="C2702966488A8122EB2"/>
    <x v="11"/>
    <x v="13"/>
    <n v="0.16"/>
    <n v="0"/>
    <n v="0"/>
    <n v="0.23"/>
    <n v="7.0000000000000007E-2"/>
    <n v="0.16"/>
    <x v="0"/>
    <n v="6"/>
    <x v="3"/>
  </r>
  <r>
    <x v="0"/>
    <s v="C2702966544BB1B833C"/>
    <x v="12"/>
    <x v="14"/>
    <n v="7.0000000000000007E-2"/>
    <n v="0"/>
    <n v="0"/>
    <n v="0.1"/>
    <n v="0.03"/>
    <n v="7.0000000000000007E-2"/>
    <x v="0"/>
    <n v="6"/>
    <x v="3"/>
  </r>
  <r>
    <x v="0"/>
    <s v="C2702966446DFF2269B"/>
    <x v="18"/>
    <x v="14"/>
    <n v="0.36"/>
    <n v="0"/>
    <n v="0"/>
    <n v="0.51"/>
    <n v="0.15"/>
    <n v="0.36"/>
    <x v="0"/>
    <n v="6"/>
    <x v="3"/>
  </r>
  <r>
    <x v="0"/>
    <s v="C27029664898797764A"/>
    <x v="19"/>
    <x v="14"/>
    <n v="0.16"/>
    <n v="0"/>
    <n v="0"/>
    <n v="0.23"/>
    <n v="7.0000000000000007E-2"/>
    <n v="0.16"/>
    <x v="0"/>
    <n v="6"/>
    <x v="3"/>
  </r>
  <r>
    <x v="0"/>
    <s v="C27029664479E31CC5E"/>
    <x v="20"/>
    <x v="14"/>
    <n v="0.38"/>
    <n v="0"/>
    <n v="0"/>
    <n v="0.55000000000000004"/>
    <n v="0.17"/>
    <n v="0.38"/>
    <x v="0"/>
    <n v="6"/>
    <x v="3"/>
  </r>
  <r>
    <x v="0"/>
    <s v="C270296644A639779E3"/>
    <x v="21"/>
    <x v="14"/>
    <n v="0.18"/>
    <n v="0"/>
    <n v="0"/>
    <n v="0.26"/>
    <n v="0.08"/>
    <n v="0.18"/>
    <x v="0"/>
    <n v="6"/>
    <x v="3"/>
  </r>
  <r>
    <x v="0"/>
    <s v="C2702966487C9A21B02"/>
    <x v="0"/>
    <x v="14"/>
    <n v="0.17"/>
    <n v="0"/>
    <n v="0"/>
    <n v="0.25"/>
    <n v="0.08"/>
    <n v="0.16999999999999998"/>
    <x v="0"/>
    <n v="6"/>
    <x v="3"/>
  </r>
  <r>
    <x v="0"/>
    <s v="C270296648607505A32"/>
    <x v="2"/>
    <x v="14"/>
    <n v="0.03"/>
    <n v="0"/>
    <n v="0"/>
    <n v="0.04"/>
    <n v="0.01"/>
    <n v="0.03"/>
    <x v="0"/>
    <n v="6"/>
    <x v="3"/>
  </r>
  <r>
    <x v="2"/>
    <s v="C2702966570D5A0E67C"/>
    <x v="5"/>
    <x v="15"/>
    <n v="-600"/>
    <n v="600"/>
    <m/>
    <m/>
    <m/>
    <n v="0"/>
    <x v="0"/>
    <n v="5"/>
    <x v="4"/>
  </r>
  <r>
    <x v="4"/>
    <m/>
    <x v="4"/>
    <x v="15"/>
    <n v="600"/>
    <n v="0"/>
    <m/>
    <m/>
    <m/>
    <n v="0"/>
    <x v="0"/>
    <n v="5"/>
    <x v="4"/>
  </r>
  <r>
    <x v="2"/>
    <s v="C2702966544BB1B833C"/>
    <x v="12"/>
    <x v="16"/>
    <n v="-70"/>
    <n v="70"/>
    <m/>
    <m/>
    <m/>
    <n v="0"/>
    <x v="0"/>
    <n v="5"/>
    <x v="4"/>
  </r>
  <r>
    <x v="4"/>
    <m/>
    <x v="4"/>
    <x v="16"/>
    <n v="70"/>
    <n v="0"/>
    <m/>
    <m/>
    <m/>
    <n v="0"/>
    <x v="0"/>
    <n v="5"/>
    <x v="4"/>
  </r>
  <r>
    <x v="2"/>
    <s v="C27029664898797764A"/>
    <x v="19"/>
    <x v="17"/>
    <n v="-50"/>
    <n v="50"/>
    <m/>
    <m/>
    <m/>
    <n v="0"/>
    <x v="0"/>
    <n v="5"/>
    <x v="4"/>
  </r>
  <r>
    <x v="2"/>
    <s v="C2702966488A8122EB2"/>
    <x v="11"/>
    <x v="17"/>
    <n v="-50"/>
    <n v="50"/>
    <m/>
    <m/>
    <m/>
    <n v="0"/>
    <x v="0"/>
    <n v="5"/>
    <x v="4"/>
  </r>
  <r>
    <x v="2"/>
    <s v="C2702966487C9A21B02"/>
    <x v="0"/>
    <x v="17"/>
    <n v="-50"/>
    <n v="50"/>
    <m/>
    <m/>
    <m/>
    <n v="0"/>
    <x v="0"/>
    <n v="5"/>
    <x v="4"/>
  </r>
  <r>
    <x v="2"/>
    <s v="C2702966486E414615E"/>
    <x v="7"/>
    <x v="17"/>
    <n v="-50"/>
    <n v="50"/>
    <m/>
    <m/>
    <m/>
    <n v="0"/>
    <x v="0"/>
    <n v="5"/>
    <x v="4"/>
  </r>
  <r>
    <x v="2"/>
    <s v="C270296648607505A32"/>
    <x v="2"/>
    <x v="17"/>
    <n v="-50"/>
    <n v="50"/>
    <m/>
    <m/>
    <m/>
    <n v="0"/>
    <x v="0"/>
    <n v="5"/>
    <x v="4"/>
  </r>
  <r>
    <x v="4"/>
    <m/>
    <x v="4"/>
    <x v="17"/>
    <n v="250"/>
    <n v="0"/>
    <m/>
    <m/>
    <m/>
    <n v="0"/>
    <x v="0"/>
    <n v="5"/>
    <x v="4"/>
  </r>
  <r>
    <x v="2"/>
    <s v="C270296644A639779E3"/>
    <x v="21"/>
    <x v="18"/>
    <n v="-50"/>
    <n v="50"/>
    <m/>
    <m/>
    <m/>
    <n v="0"/>
    <x v="0"/>
    <n v="5"/>
    <x v="4"/>
  </r>
  <r>
    <x v="5"/>
    <m/>
    <x v="4"/>
    <x v="18"/>
    <n v="50"/>
    <n v="0"/>
    <m/>
    <m/>
    <m/>
    <n v="0"/>
    <x v="0"/>
    <n v="5"/>
    <x v="4"/>
  </r>
  <r>
    <x v="2"/>
    <s v="C27029664479E31CC5E"/>
    <x v="20"/>
    <x v="18"/>
    <n v="-100"/>
    <n v="100"/>
    <m/>
    <m/>
    <m/>
    <n v="0"/>
    <x v="0"/>
    <n v="5"/>
    <x v="4"/>
  </r>
  <r>
    <x v="2"/>
    <s v="C2702966446DFF2269B"/>
    <x v="18"/>
    <x v="18"/>
    <n v="-100"/>
    <n v="100"/>
    <m/>
    <m/>
    <m/>
    <n v="0"/>
    <x v="0"/>
    <n v="5"/>
    <x v="4"/>
  </r>
  <r>
    <x v="4"/>
    <m/>
    <x v="4"/>
    <x v="19"/>
    <n v="200"/>
    <n v="0"/>
    <m/>
    <m/>
    <m/>
    <n v="0"/>
    <x v="0"/>
    <n v="5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4F8C20-5CB8-4C81-959B-E43DFCACF92E}" name="Tableau croisé dynamique3" cacheId="1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gridDropZones="1" multipleFieldFilters="0">
  <location ref="V3:Y32" firstHeaderRow="1" firstDataRow="2" firstDataCol="1"/>
  <pivotFields count="13">
    <pivotField compact="0" outline="0" showAll="0">
      <items count="7">
        <item x="5"/>
        <item x="4"/>
        <item x="2"/>
        <item x="3"/>
        <item x="0"/>
        <item x="1"/>
        <item t="default"/>
      </items>
    </pivotField>
    <pivotField compact="0" outline="0" showAll="0"/>
    <pivotField axis="axisRow" compact="0" outline="0" showAll="0">
      <items count="28">
        <item x="21"/>
        <item x="25"/>
        <item x="9"/>
        <item x="17"/>
        <item x="3"/>
        <item x="8"/>
        <item x="18"/>
        <item x="5"/>
        <item x="14"/>
        <item x="20"/>
        <item x="13"/>
        <item x="0"/>
        <item x="2"/>
        <item x="26"/>
        <item x="19"/>
        <item x="24"/>
        <item x="12"/>
        <item x="11"/>
        <item x="10"/>
        <item x="15"/>
        <item x="22"/>
        <item x="23"/>
        <item x="1"/>
        <item x="16"/>
        <item x="7"/>
        <item x="6"/>
        <item x="4"/>
        <item t="default"/>
      </items>
    </pivotField>
    <pivotField compact="0" numFmtId="14" outline="0" showAll="0">
      <items count="21"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compact="0" numFmtId="164" outline="0" showAll="0"/>
    <pivotField dataField="1" compact="0" numFmtId="164" outline="0" showAll="0"/>
    <pivotField dataField="1" compact="0" outline="0" showAll="0"/>
    <pivotField dataField="1" compact="0" outline="0" showAll="0"/>
    <pivotField compact="0" outline="0" showAll="0"/>
    <pivotField compact="0" numFmtId="164" outline="0" showAll="0"/>
    <pivotField compact="0" numFmtId="49" outline="0" showAll="0">
      <items count="2">
        <item x="0"/>
        <item t="default"/>
      </items>
    </pivotField>
    <pivotField compact="0" numFmtId="49" outline="0" showAll="0"/>
    <pivotField compact="0" outline="0" showAll="0">
      <items count="6">
        <item x="4"/>
        <item x="3"/>
        <item x="2"/>
        <item x="1"/>
        <item x="0"/>
        <item t="default"/>
      </items>
    </pivotField>
  </pivotFields>
  <rowFields count="1">
    <field x="2"/>
  </rowFields>
  <rowItems count="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Offres" fld="5" baseField="0" baseItem="0"/>
    <dataField name="Somme de Intérêts remboursés" fld="7" baseField="0" baseItem="0"/>
    <dataField name="Somme de Capital remboursé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A4F096C-7BAF-4B0A-8089-7F237A0587CA}" name="Tableau croisé dynamique1" cacheId="1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gridDropZones="1" multipleFieldFilters="0">
  <location ref="A3:B11" firstHeaderRow="2" firstDataRow="2" firstDataCol="1"/>
  <pivotFields count="13">
    <pivotField axis="axisRow" compact="0" outline="0" showAll="0">
      <items count="7">
        <item x="5"/>
        <item x="4"/>
        <item x="2"/>
        <item x="3"/>
        <item x="0"/>
        <item x="1"/>
        <item t="default"/>
      </items>
    </pivotField>
    <pivotField compact="0" outline="0" showAll="0"/>
    <pivotField compact="0" outline="0" showAll="0">
      <items count="28">
        <item x="21"/>
        <item x="25"/>
        <item x="9"/>
        <item x="17"/>
        <item x="3"/>
        <item x="8"/>
        <item x="18"/>
        <item x="5"/>
        <item x="14"/>
        <item x="20"/>
        <item x="13"/>
        <item x="0"/>
        <item x="2"/>
        <item x="26"/>
        <item x="19"/>
        <item x="24"/>
        <item x="12"/>
        <item x="11"/>
        <item x="10"/>
        <item x="15"/>
        <item x="22"/>
        <item x="23"/>
        <item x="1"/>
        <item x="16"/>
        <item x="7"/>
        <item x="6"/>
        <item x="4"/>
        <item t="default"/>
      </items>
    </pivotField>
    <pivotField compact="0" numFmtId="14" outline="0" showAll="0">
      <items count="21"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dataField="1" compact="0" numFmtId="164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numFmtId="49" outline="0" showAll="0">
      <items count="2">
        <item x="0"/>
        <item t="default"/>
      </items>
    </pivotField>
    <pivotField compact="0" numFmtId="49" outline="0" showAll="0"/>
    <pivotField compact="0" outline="0" showAll="0">
      <items count="6">
        <item x="4"/>
        <item x="3"/>
        <item x="2"/>
        <item x="1"/>
        <item x="0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7F265B-18E9-449E-A24D-C6AE349F4F38}" name="Tableau croisé dynamique2" cacheId="1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gridDropZones="1" multipleFieldFilters="0">
  <location ref="D3:J24" firstHeaderRow="2" firstDataRow="2" firstDataCol="1"/>
  <pivotFields count="13">
    <pivotField compact="0" outline="0" showAll="0"/>
    <pivotField compact="0" outline="0" showAll="0"/>
    <pivotField compact="0" outline="0" showAll="0">
      <items count="28">
        <item x="21"/>
        <item x="25"/>
        <item x="9"/>
        <item x="17"/>
        <item x="3"/>
        <item x="8"/>
        <item x="18"/>
        <item x="5"/>
        <item x="14"/>
        <item x="20"/>
        <item x="13"/>
        <item x="0"/>
        <item x="2"/>
        <item x="26"/>
        <item x="19"/>
        <item x="24"/>
        <item x="12"/>
        <item x="11"/>
        <item x="10"/>
        <item x="15"/>
        <item x="22"/>
        <item x="23"/>
        <item x="1"/>
        <item x="16"/>
        <item x="7"/>
        <item x="6"/>
        <item x="4"/>
        <item t="default"/>
      </items>
    </pivotField>
    <pivotField axis="axisRow" compact="0" numFmtId="14" outline="0" showAll="0">
      <items count="21"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compact="0" numFmtId="164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numFmtId="49" outline="0" showAll="0">
      <items count="2">
        <item x="0"/>
        <item t="default"/>
      </items>
    </pivotField>
    <pivotField compact="0" numFmtId="49" outline="0" showAll="0"/>
    <pivotField compact="0" outline="0" showAll="0">
      <items count="6">
        <item x="4"/>
        <item x="3"/>
        <item x="2"/>
        <item x="1"/>
        <item x="0"/>
        <item t="default"/>
      </items>
    </pivotField>
  </pivotFields>
  <rowFields count="1">
    <field x="3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53D7805E-99E5-4275-BA82-BEC876C65149}" sourceName="Année">
  <pivotTables>
    <pivotTable tabId="4" name="Tableau croisé dynamique2"/>
    <pivotTable tabId="4" name="Tableau croisé dynamique1"/>
    <pivotTable tabId="4" name="Tableau croisé dynamique3"/>
  </pivotTables>
  <data>
    <tabular pivotCacheId="1197130440">
      <items count="1"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lettre" xr10:uid="{579EF11B-9602-478A-A3C0-A05C5E53C41B}" sourceName="Mois lettre">
  <pivotTables>
    <pivotTable tabId="4" name="Tableau croisé dynamique2"/>
    <pivotTable tabId="4" name="Tableau croisé dynamique1"/>
    <pivotTable tabId="4" name="Tableau croisé dynamique3"/>
  </pivotTables>
  <data>
    <tabular pivotCacheId="1197130440">
      <items count="5">
        <i x="4" s="1"/>
        <i x="3" s="1"/>
        <i x="2" s="1"/>
        <i x="1" s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jet" xr10:uid="{7BA7EE90-C3A5-41F4-8D32-BDB0D6AFCFC9}" sourceName="Projet">
  <pivotTables>
    <pivotTable tabId="4" name="Tableau croisé dynamique2"/>
    <pivotTable tabId="4" name="Tableau croisé dynamique1"/>
    <pivotTable tabId="4" name="Tableau croisé dynamique3"/>
  </pivotTables>
  <data>
    <tabular pivotCacheId="1197130440" crossFilter="showItemsWithNoData">
      <items count="27">
        <i x="21" s="1"/>
        <i x="25" s="1"/>
        <i x="9" s="1"/>
        <i x="17" s="1"/>
        <i x="3" s="1"/>
        <i x="8" s="1"/>
        <i x="18" s="1"/>
        <i x="5" s="1"/>
        <i x="14" s="1"/>
        <i x="20" s="1"/>
        <i x="13" s="1"/>
        <i x="0" s="1"/>
        <i x="2" s="1"/>
        <i x="26" s="1"/>
        <i x="19" s="1"/>
        <i x="24" s="1"/>
        <i x="12" s="1"/>
        <i x="11" s="1"/>
        <i x="10" s="1"/>
        <i x="15" s="1"/>
        <i x="22" s="1"/>
        <i x="23" s="1"/>
        <i x="1" s="1"/>
        <i x="16" s="1"/>
        <i x="7" s="1"/>
        <i x="6" s="1"/>
        <i x="4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DEACBB60-3D10-4A44-B540-1F4FF5E40DAA}" cache="Segment_Année" caption="Année" columnCount="3" showCaption="0" style="SlicerStyleDark1 2" rowHeight="234950"/>
  <slicer name="Mois lettre" xr10:uid="{6008CBCA-917A-47C8-BD7E-705DBC87DC25}" cache="Segment_Mois_lettre" caption="Mois lettre" columnCount="3" showCaption="0" style="SlicerStyleDark1 2" rowHeight="234950"/>
  <slicer name="Projet" xr10:uid="{B2480F33-E02F-4CA5-A56F-1AAA752494FF}" cache="Segment_Projet" caption="Projet" showCaption="0" style="SlicerStyleDark1 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DD" displayName="BaseDD" ref="A1:M91" totalsRowShown="0" headerRowDxfId="10">
  <autoFilter ref="A1:M91" xr:uid="{00000000-0009-0000-0100-000001000000}"/>
  <tableColumns count="13">
    <tableColumn id="1" xr3:uid="{00000000-0010-0000-0000-000001000000}" name="Opération"/>
    <tableColumn id="2" xr3:uid="{00000000-0010-0000-0000-000002000000}" name="N°Contrat"/>
    <tableColumn id="3" xr3:uid="{00000000-0010-0000-0000-000003000000}" name="Projet"/>
    <tableColumn id="4" xr3:uid="{00000000-0010-0000-0000-000004000000}" name="Date" dataDxfId="9"/>
    <tableColumn id="5" xr3:uid="{00000000-0010-0000-0000-000005000000}" name="Montant" dataDxfId="8"/>
    <tableColumn id="14" xr3:uid="{3462AAE1-94F9-48C9-BD13-644563F08E0B}" name="Offres" dataDxfId="7">
      <calculatedColumnFormula>IF(BaseDD[[#This Row],[Opération]]="Offre acceptée",-IF(BaseDD[[#This Row],[Montant]]&gt;=0,0,BaseDD[[#This Row],[Montant]]),)</calculatedColumnFormula>
    </tableColumn>
    <tableColumn id="7" xr3:uid="{00000000-0010-0000-0000-000007000000}" name="Capital remboursé" dataDxfId="6"/>
    <tableColumn id="8" xr3:uid="{00000000-0010-0000-0000-000008000000}" name="Intérêts remboursés" dataDxfId="5"/>
    <tableColumn id="9" xr3:uid="{00000000-0010-0000-0000-000009000000}" name="Prélèvements fiscaux et sociaux" dataDxfId="4"/>
    <tableColumn id="10" xr3:uid="{00000000-0010-0000-0000-00000A000000}" name="Intérêts net" dataDxfId="3">
      <calculatedColumnFormula>SUM(H2-I2)</calculatedColumnFormula>
    </tableColumn>
    <tableColumn id="11" xr3:uid="{00000000-0010-0000-0000-00000B000000}" name="Année" dataDxfId="2">
      <calculatedColumnFormula>YEAR(BaseDD[[#This Row],[Date]])</calculatedColumnFormula>
    </tableColumn>
    <tableColumn id="12" xr3:uid="{00000000-0010-0000-0000-00000C000000}" name="Mois" dataDxfId="1">
      <calculatedColumnFormula>MONTH(BaseDD[[#This Row],[Date]])</calculatedColumnFormula>
    </tableColumn>
    <tableColumn id="13" xr3:uid="{00000000-0010-0000-0000-00000D000000}" name="Mois lettre" dataDxfId="0">
      <calculatedColumnFormula>PROPER(TEXT(BaseDD[[#This Row],[Date]],"mmm"))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14C56-74B7-498D-8CEA-2F075F83ECB5}">
  <dimension ref="A1"/>
  <sheetViews>
    <sheetView tabSelected="1" workbookViewId="0">
      <selection activeCell="I21" sqref="I21"/>
    </sheetView>
  </sheetViews>
  <sheetFormatPr baseColWidth="10" defaultRowHeight="14.4" x14ac:dyDescent="0.3"/>
  <cols>
    <col min="1" max="16384" width="11.5546875" style="10"/>
  </cols>
  <sheetData/>
  <pageMargins left="0.7" right="0.7" top="0.75" bottom="0.75" header="0.3" footer="0.3"/>
  <pageSetup paperSize="9" orientation="portrait" horizontalDpi="300" verticalDpi="300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91"/>
  <sheetViews>
    <sheetView showZeros="0" workbookViewId="0">
      <selection activeCell="C6" sqref="C6"/>
    </sheetView>
  </sheetViews>
  <sheetFormatPr baseColWidth="10" defaultRowHeight="14.4" x14ac:dyDescent="0.3"/>
  <cols>
    <col min="1" max="1" width="18.33203125" customWidth="1"/>
    <col min="2" max="2" width="13.21875" customWidth="1"/>
    <col min="3" max="3" width="24.5546875" customWidth="1"/>
    <col min="5" max="6" width="11.5546875" style="2"/>
    <col min="7" max="7" width="11.33203125" style="2" customWidth="1"/>
    <col min="8" max="8" width="11.6640625" style="2" customWidth="1"/>
    <col min="9" max="9" width="13.33203125" style="2" customWidth="1"/>
    <col min="10" max="10" width="12.5546875" style="3" customWidth="1"/>
    <col min="11" max="12" width="11.5546875" style="4"/>
    <col min="13" max="13" width="11.5546875" style="5"/>
  </cols>
  <sheetData>
    <row r="1" spans="1:13" x14ac:dyDescent="0.3">
      <c r="A1" t="s">
        <v>58</v>
      </c>
      <c r="B1" t="s">
        <v>59</v>
      </c>
      <c r="C1" t="s">
        <v>0</v>
      </c>
      <c r="D1" t="s">
        <v>1</v>
      </c>
      <c r="E1" s="2" t="s">
        <v>2</v>
      </c>
      <c r="F1" s="2" t="s">
        <v>81</v>
      </c>
      <c r="G1" s="2" t="s">
        <v>60</v>
      </c>
      <c r="H1" s="2" t="s">
        <v>61</v>
      </c>
      <c r="I1" s="2" t="s">
        <v>62</v>
      </c>
      <c r="J1" s="6" t="s">
        <v>63</v>
      </c>
      <c r="K1" s="7" t="s">
        <v>64</v>
      </c>
      <c r="L1" s="7" t="s">
        <v>65</v>
      </c>
      <c r="M1" s="6" t="s">
        <v>66</v>
      </c>
    </row>
    <row r="2" spans="1:13" x14ac:dyDescent="0.3">
      <c r="A2" t="s">
        <v>3</v>
      </c>
      <c r="B2" t="s">
        <v>4</v>
      </c>
      <c r="C2" t="s">
        <v>5</v>
      </c>
      <c r="D2" s="1">
        <v>45543</v>
      </c>
      <c r="E2" s="2">
        <v>0.39</v>
      </c>
      <c r="F2" s="2">
        <f>IF(BaseDD[[#This Row],[Opération]]="Offre acceptée",-IF(BaseDD[[#This Row],[Montant]]&gt;=0,0,BaseDD[[#This Row],[Montant]]),)</f>
        <v>0</v>
      </c>
      <c r="G2" s="2">
        <v>0</v>
      </c>
      <c r="H2" s="2">
        <v>0.56000000000000005</v>
      </c>
      <c r="I2" s="2">
        <v>0.17</v>
      </c>
      <c r="J2" s="3">
        <f>SUM(H2-I2)</f>
        <v>0.39</v>
      </c>
      <c r="K2" s="4">
        <f>YEAR(BaseDD[[#This Row],[Date]])</f>
        <v>2024</v>
      </c>
      <c r="L2" s="4">
        <f>MONTH(BaseDD[[#This Row],[Date]])</f>
        <v>9</v>
      </c>
      <c r="M2" s="3" t="str">
        <f>PROPER(TEXT(BaseDD[[#This Row],[Date]],"mmm"))</f>
        <v>Sept</v>
      </c>
    </row>
    <row r="3" spans="1:13" x14ac:dyDescent="0.3">
      <c r="A3" t="s">
        <v>3</v>
      </c>
      <c r="B3" t="s">
        <v>6</v>
      </c>
      <c r="C3" t="s">
        <v>7</v>
      </c>
      <c r="D3" s="1">
        <v>45542</v>
      </c>
      <c r="E3" s="2">
        <v>0.02</v>
      </c>
      <c r="F3" s="2">
        <f>IF(BaseDD[[#This Row],[Opération]]="Offre acceptée",-IF(BaseDD[[#This Row],[Montant]]&gt;=0,0,BaseDD[[#This Row],[Montant]]),)</f>
        <v>0</v>
      </c>
      <c r="G3" s="2">
        <v>0</v>
      </c>
      <c r="H3" s="2">
        <v>0.03</v>
      </c>
      <c r="I3" s="2">
        <v>0.01</v>
      </c>
      <c r="J3" s="3">
        <f t="shared" ref="J3:J66" si="0">SUM(H3-I3)</f>
        <v>1.9999999999999997E-2</v>
      </c>
      <c r="K3" s="4">
        <f>YEAR(BaseDD[[#This Row],[Date]])</f>
        <v>2024</v>
      </c>
      <c r="L3" s="4">
        <f>MONTH(BaseDD[[#This Row],[Date]])</f>
        <v>9</v>
      </c>
      <c r="M3" s="3" t="str">
        <f>PROPER(TEXT(BaseDD[[#This Row],[Date]],"mmm"))</f>
        <v>Sept</v>
      </c>
    </row>
    <row r="4" spans="1:13" x14ac:dyDescent="0.3">
      <c r="A4" t="s">
        <v>3</v>
      </c>
      <c r="B4" t="s">
        <v>8</v>
      </c>
      <c r="C4" t="s">
        <v>9</v>
      </c>
      <c r="D4" s="1">
        <v>45542</v>
      </c>
      <c r="E4" s="2">
        <v>0.32</v>
      </c>
      <c r="F4" s="2">
        <f>IF(BaseDD[[#This Row],[Opération]]="Offre acceptée",-IF(BaseDD[[#This Row],[Montant]]&gt;=0,0,BaseDD[[#This Row],[Montant]]),)</f>
        <v>0</v>
      </c>
      <c r="G4" s="2">
        <v>0</v>
      </c>
      <c r="H4" s="2">
        <v>0.46</v>
      </c>
      <c r="I4" s="2">
        <v>0.14000000000000001</v>
      </c>
      <c r="J4" s="3">
        <f t="shared" si="0"/>
        <v>0.32</v>
      </c>
      <c r="K4" s="4">
        <f>YEAR(BaseDD[[#This Row],[Date]])</f>
        <v>2024</v>
      </c>
      <c r="L4" s="4">
        <f>MONTH(BaseDD[[#This Row],[Date]])</f>
        <v>9</v>
      </c>
      <c r="M4" s="3" t="str">
        <f>PROPER(TEXT(BaseDD[[#This Row],[Date]],"mmm"))</f>
        <v>Sept</v>
      </c>
    </row>
    <row r="5" spans="1:13" x14ac:dyDescent="0.3">
      <c r="A5" t="s">
        <v>3</v>
      </c>
      <c r="B5" t="s">
        <v>10</v>
      </c>
      <c r="C5" t="s">
        <v>11</v>
      </c>
      <c r="D5" s="1">
        <v>45542</v>
      </c>
      <c r="E5" s="2">
        <v>0.14000000000000001</v>
      </c>
      <c r="F5" s="2">
        <f>IF(BaseDD[[#This Row],[Opération]]="Offre acceptée",-IF(BaseDD[[#This Row],[Montant]]&gt;=0,0,BaseDD[[#This Row],[Montant]]),)</f>
        <v>0</v>
      </c>
      <c r="G5" s="2">
        <v>0</v>
      </c>
      <c r="H5" s="2">
        <v>0.2</v>
      </c>
      <c r="I5" s="2">
        <v>0.06</v>
      </c>
      <c r="J5" s="3">
        <f t="shared" si="0"/>
        <v>0.14000000000000001</v>
      </c>
      <c r="K5" s="4">
        <f>YEAR(BaseDD[[#This Row],[Date]])</f>
        <v>2024</v>
      </c>
      <c r="L5" s="4">
        <f>MONTH(BaseDD[[#This Row],[Date]])</f>
        <v>9</v>
      </c>
      <c r="M5" s="3" t="str">
        <f>PROPER(TEXT(BaseDD[[#This Row],[Date]],"mmm"))</f>
        <v>Sept</v>
      </c>
    </row>
    <row r="6" spans="1:13" x14ac:dyDescent="0.3">
      <c r="A6" t="s">
        <v>12</v>
      </c>
      <c r="D6" s="1">
        <v>45542</v>
      </c>
      <c r="E6" s="2">
        <v>-600</v>
      </c>
      <c r="F6" s="2">
        <f>IF(BaseDD[[#This Row],[Opération]]="Offre acceptée",-IF(BaseDD[[#This Row],[Montant]]&gt;=0,0,BaseDD[[#This Row],[Montant]]),)</f>
        <v>0</v>
      </c>
      <c r="J6" s="3">
        <f t="shared" si="0"/>
        <v>0</v>
      </c>
      <c r="K6" s="4">
        <f>YEAR(BaseDD[[#This Row],[Date]])</f>
        <v>2024</v>
      </c>
      <c r="L6" s="4">
        <f>MONTH(BaseDD[[#This Row],[Date]])</f>
        <v>9</v>
      </c>
      <c r="M6" s="3" t="str">
        <f>PROPER(TEXT(BaseDD[[#This Row],[Date]],"mmm"))</f>
        <v>Sept</v>
      </c>
    </row>
    <row r="7" spans="1:13" x14ac:dyDescent="0.3">
      <c r="A7" t="s">
        <v>3</v>
      </c>
      <c r="B7" t="s">
        <v>13</v>
      </c>
      <c r="C7" t="s">
        <v>14</v>
      </c>
      <c r="D7" s="1">
        <v>45542</v>
      </c>
      <c r="E7" s="2">
        <v>606.79999999999995</v>
      </c>
      <c r="F7" s="2">
        <f>IF(BaseDD[[#This Row],[Opération]]="Offre acceptée",-IF(BaseDD[[#This Row],[Montant]]&gt;=0,0,BaseDD[[#This Row],[Montant]]),)</f>
        <v>0</v>
      </c>
      <c r="G7" s="2">
        <v>600</v>
      </c>
      <c r="H7" s="2">
        <v>9.7100000000000009</v>
      </c>
      <c r="I7" s="2">
        <v>2.91</v>
      </c>
      <c r="J7" s="3">
        <f t="shared" si="0"/>
        <v>6.8000000000000007</v>
      </c>
      <c r="K7" s="4">
        <f>YEAR(BaseDD[[#This Row],[Date]])</f>
        <v>2024</v>
      </c>
      <c r="L7" s="4">
        <f>MONTH(BaseDD[[#This Row],[Date]])</f>
        <v>9</v>
      </c>
      <c r="M7" s="3" t="str">
        <f>PROPER(TEXT(BaseDD[[#This Row],[Date]],"mmm"))</f>
        <v>Sept</v>
      </c>
    </row>
    <row r="8" spans="1:13" x14ac:dyDescent="0.3">
      <c r="A8" t="s">
        <v>67</v>
      </c>
      <c r="B8" t="s">
        <v>15</v>
      </c>
      <c r="C8" t="s">
        <v>16</v>
      </c>
      <c r="D8" s="1">
        <v>45542</v>
      </c>
      <c r="E8" s="2">
        <v>-20</v>
      </c>
      <c r="F8" s="2">
        <f>IF(BaseDD[[#This Row],[Opération]]="Offre acceptée",-IF(BaseDD[[#This Row],[Montant]]&gt;=0,0,BaseDD[[#This Row],[Montant]]),)</f>
        <v>20</v>
      </c>
      <c r="J8" s="3">
        <f t="shared" si="0"/>
        <v>0</v>
      </c>
      <c r="K8" s="4">
        <f>YEAR(BaseDD[[#This Row],[Date]])</f>
        <v>2024</v>
      </c>
      <c r="L8" s="4">
        <f>MONTH(BaseDD[[#This Row],[Date]])</f>
        <v>9</v>
      </c>
      <c r="M8" s="3" t="str">
        <f>PROPER(TEXT(BaseDD[[#This Row],[Date]],"mmm"))</f>
        <v>Sept</v>
      </c>
    </row>
    <row r="9" spans="1:13" x14ac:dyDescent="0.3">
      <c r="A9" t="s">
        <v>3</v>
      </c>
      <c r="B9" t="s">
        <v>17</v>
      </c>
      <c r="C9" t="s">
        <v>18</v>
      </c>
      <c r="D9" s="1">
        <v>45542</v>
      </c>
      <c r="E9" s="2">
        <v>0.32</v>
      </c>
      <c r="F9" s="2">
        <f>IF(BaseDD[[#This Row],[Opération]]="Offre acceptée",-IF(BaseDD[[#This Row],[Montant]]&gt;=0,0,BaseDD[[#This Row],[Montant]]),)</f>
        <v>0</v>
      </c>
      <c r="G9" s="2">
        <v>0</v>
      </c>
      <c r="H9" s="2">
        <v>0.46</v>
      </c>
      <c r="I9" s="2">
        <v>0.14000000000000001</v>
      </c>
      <c r="J9" s="3">
        <f t="shared" si="0"/>
        <v>0.32</v>
      </c>
      <c r="K9" s="4">
        <f>YEAR(BaseDD[[#This Row],[Date]])</f>
        <v>2024</v>
      </c>
      <c r="L9" s="4">
        <f>MONTH(BaseDD[[#This Row],[Date]])</f>
        <v>9</v>
      </c>
      <c r="M9" s="3" t="str">
        <f>PROPER(TEXT(BaseDD[[#This Row],[Date]],"mmm"))</f>
        <v>Sept</v>
      </c>
    </row>
    <row r="10" spans="1:13" x14ac:dyDescent="0.3">
      <c r="A10" t="s">
        <v>3</v>
      </c>
      <c r="B10" t="s">
        <v>19</v>
      </c>
      <c r="C10" t="s">
        <v>20</v>
      </c>
      <c r="D10" s="1">
        <v>45542</v>
      </c>
      <c r="E10" s="2">
        <v>0.17</v>
      </c>
      <c r="F10" s="2">
        <f>IF(BaseDD[[#This Row],[Opération]]="Offre acceptée",-IF(BaseDD[[#This Row],[Montant]]&gt;=0,0,BaseDD[[#This Row],[Montant]]),)</f>
        <v>0</v>
      </c>
      <c r="G10" s="2">
        <v>0</v>
      </c>
      <c r="H10" s="2">
        <v>0.25</v>
      </c>
      <c r="I10" s="2">
        <v>0.08</v>
      </c>
      <c r="J10" s="3">
        <f t="shared" si="0"/>
        <v>0.16999999999999998</v>
      </c>
      <c r="K10" s="4">
        <f>YEAR(BaseDD[[#This Row],[Date]])</f>
        <v>2024</v>
      </c>
      <c r="L10" s="4">
        <f>MONTH(BaseDD[[#This Row],[Date]])</f>
        <v>9</v>
      </c>
      <c r="M10" s="3" t="str">
        <f>PROPER(TEXT(BaseDD[[#This Row],[Date]],"mmm"))</f>
        <v>Sept</v>
      </c>
    </row>
    <row r="11" spans="1:13" x14ac:dyDescent="0.3">
      <c r="A11" t="s">
        <v>67</v>
      </c>
      <c r="B11" t="s">
        <v>21</v>
      </c>
      <c r="C11" t="s">
        <v>22</v>
      </c>
      <c r="D11" s="1">
        <v>45542</v>
      </c>
      <c r="E11" s="2">
        <v>-60</v>
      </c>
      <c r="F11" s="2">
        <f>IF(BaseDD[[#This Row],[Opération]]="Offre acceptée",-IF(BaseDD[[#This Row],[Montant]]&gt;=0,0,BaseDD[[#This Row],[Montant]]),)</f>
        <v>60</v>
      </c>
      <c r="J11" s="3">
        <f t="shared" si="0"/>
        <v>0</v>
      </c>
      <c r="K11" s="4">
        <f>YEAR(BaseDD[[#This Row],[Date]])</f>
        <v>2024</v>
      </c>
      <c r="L11" s="4">
        <f>MONTH(BaseDD[[#This Row],[Date]])</f>
        <v>9</v>
      </c>
      <c r="M11" s="3" t="str">
        <f>PROPER(TEXT(BaseDD[[#This Row],[Date]],"mmm"))</f>
        <v>Sept</v>
      </c>
    </row>
    <row r="12" spans="1:13" x14ac:dyDescent="0.3">
      <c r="A12" t="s">
        <v>3</v>
      </c>
      <c r="B12" t="s">
        <v>23</v>
      </c>
      <c r="C12" t="s">
        <v>24</v>
      </c>
      <c r="D12" s="1">
        <v>45542</v>
      </c>
      <c r="E12" s="2">
        <v>0.16</v>
      </c>
      <c r="F12" s="2">
        <f>IF(BaseDD[[#This Row],[Opération]]="Offre acceptée",-IF(BaseDD[[#This Row],[Montant]]&gt;=0,0,BaseDD[[#This Row],[Montant]]),)</f>
        <v>0</v>
      </c>
      <c r="G12" s="2">
        <v>0</v>
      </c>
      <c r="H12" s="2">
        <v>0.23</v>
      </c>
      <c r="I12" s="2">
        <v>7.0000000000000007E-2</v>
      </c>
      <c r="J12" s="3">
        <f t="shared" si="0"/>
        <v>0.16</v>
      </c>
      <c r="K12" s="4">
        <f>YEAR(BaseDD[[#This Row],[Date]])</f>
        <v>2024</v>
      </c>
      <c r="L12" s="4">
        <f>MONTH(BaseDD[[#This Row],[Date]])</f>
        <v>9</v>
      </c>
      <c r="M12" s="3" t="str">
        <f>PROPER(TEXT(BaseDD[[#This Row],[Date]],"mmm"))</f>
        <v>Sept</v>
      </c>
    </row>
    <row r="13" spans="1:13" x14ac:dyDescent="0.3">
      <c r="A13" t="s">
        <v>3</v>
      </c>
      <c r="B13" t="s">
        <v>25</v>
      </c>
      <c r="C13" t="s">
        <v>26</v>
      </c>
      <c r="D13" s="1">
        <v>45542</v>
      </c>
      <c r="E13" s="2">
        <v>0.35</v>
      </c>
      <c r="F13" s="2">
        <f>IF(BaseDD[[#This Row],[Opération]]="Offre acceptée",-IF(BaseDD[[#This Row],[Montant]]&gt;=0,0,BaseDD[[#This Row],[Montant]]),)</f>
        <v>0</v>
      </c>
      <c r="G13" s="2">
        <v>0</v>
      </c>
      <c r="H13" s="2">
        <v>0.5</v>
      </c>
      <c r="I13" s="2">
        <v>0.15</v>
      </c>
      <c r="J13" s="3">
        <f t="shared" si="0"/>
        <v>0.35</v>
      </c>
      <c r="K13" s="4">
        <f>YEAR(BaseDD[[#This Row],[Date]])</f>
        <v>2024</v>
      </c>
      <c r="L13" s="4">
        <f>MONTH(BaseDD[[#This Row],[Date]])</f>
        <v>9</v>
      </c>
      <c r="M13" s="3" t="str">
        <f>PROPER(TEXT(BaseDD[[#This Row],[Date]],"mmm"))</f>
        <v>Sept</v>
      </c>
    </row>
    <row r="14" spans="1:13" x14ac:dyDescent="0.3">
      <c r="A14" t="s">
        <v>3</v>
      </c>
      <c r="B14" t="s">
        <v>27</v>
      </c>
      <c r="C14" t="s">
        <v>28</v>
      </c>
      <c r="D14" s="1">
        <v>45542</v>
      </c>
      <c r="E14" s="2">
        <v>0.53</v>
      </c>
      <c r="F14" s="2">
        <f>IF(BaseDD[[#This Row],[Opération]]="Offre acceptée",-IF(BaseDD[[#This Row],[Montant]]&gt;=0,0,BaseDD[[#This Row],[Montant]]),)</f>
        <v>0</v>
      </c>
      <c r="G14" s="2">
        <v>0</v>
      </c>
      <c r="H14" s="2">
        <v>0.76</v>
      </c>
      <c r="I14" s="2">
        <v>0.23</v>
      </c>
      <c r="J14" s="3">
        <f t="shared" si="0"/>
        <v>0.53</v>
      </c>
      <c r="K14" s="4">
        <f>YEAR(BaseDD[[#This Row],[Date]])</f>
        <v>2024</v>
      </c>
      <c r="L14" s="4">
        <f>MONTH(BaseDD[[#This Row],[Date]])</f>
        <v>9</v>
      </c>
      <c r="M14" s="3" t="str">
        <f>PROPER(TEXT(BaseDD[[#This Row],[Date]],"mmm"))</f>
        <v>Sept</v>
      </c>
    </row>
    <row r="15" spans="1:13" x14ac:dyDescent="0.3">
      <c r="A15" t="s">
        <v>67</v>
      </c>
      <c r="B15" t="s">
        <v>29</v>
      </c>
      <c r="C15" t="s">
        <v>30</v>
      </c>
      <c r="D15" s="1">
        <v>45542</v>
      </c>
      <c r="E15" s="2">
        <v>-20</v>
      </c>
      <c r="F15" s="2">
        <f>IF(BaseDD[[#This Row],[Opération]]="Offre acceptée",-IF(BaseDD[[#This Row],[Montant]]&gt;=0,0,BaseDD[[#This Row],[Montant]]),)</f>
        <v>20</v>
      </c>
      <c r="J15" s="3">
        <f t="shared" si="0"/>
        <v>0</v>
      </c>
      <c r="K15" s="4">
        <f>YEAR(BaseDD[[#This Row],[Date]])</f>
        <v>2024</v>
      </c>
      <c r="L15" s="4">
        <f>MONTH(BaseDD[[#This Row],[Date]])</f>
        <v>9</v>
      </c>
      <c r="M15" s="3" t="str">
        <f>PROPER(TEXT(BaseDD[[#This Row],[Date]],"mmm"))</f>
        <v>Sept</v>
      </c>
    </row>
    <row r="16" spans="1:13" x14ac:dyDescent="0.3">
      <c r="A16" t="s">
        <v>67</v>
      </c>
      <c r="B16" t="s">
        <v>31</v>
      </c>
      <c r="C16" t="s">
        <v>32</v>
      </c>
      <c r="D16" s="1">
        <v>45542</v>
      </c>
      <c r="E16" s="2">
        <v>-20</v>
      </c>
      <c r="F16" s="2">
        <f>IF(BaseDD[[#This Row],[Opération]]="Offre acceptée",-IF(BaseDD[[#This Row],[Montant]]&gt;=0,0,BaseDD[[#This Row],[Montant]]),)</f>
        <v>20</v>
      </c>
      <c r="J16" s="3">
        <f t="shared" si="0"/>
        <v>0</v>
      </c>
      <c r="K16" s="4">
        <f>YEAR(BaseDD[[#This Row],[Date]])</f>
        <v>2024</v>
      </c>
      <c r="L16" s="4">
        <f>MONTH(BaseDD[[#This Row],[Date]])</f>
        <v>9</v>
      </c>
      <c r="M16" s="3" t="str">
        <f>PROPER(TEXT(BaseDD[[#This Row],[Date]],"mmm"))</f>
        <v>Sept</v>
      </c>
    </row>
    <row r="17" spans="1:13" x14ac:dyDescent="0.3">
      <c r="A17" t="s">
        <v>3</v>
      </c>
      <c r="B17" t="s">
        <v>33</v>
      </c>
      <c r="C17" t="s">
        <v>34</v>
      </c>
      <c r="D17" s="1">
        <v>45542</v>
      </c>
      <c r="E17" s="2">
        <v>0.01</v>
      </c>
      <c r="F17" s="2">
        <f>IF(BaseDD[[#This Row],[Opération]]="Offre acceptée",-IF(BaseDD[[#This Row],[Montant]]&gt;=0,0,BaseDD[[#This Row],[Montant]]),)</f>
        <v>0</v>
      </c>
      <c r="G17" s="2">
        <v>0</v>
      </c>
      <c r="H17" s="2">
        <v>0.01</v>
      </c>
      <c r="I17" s="2">
        <v>0</v>
      </c>
      <c r="J17" s="3">
        <f t="shared" si="0"/>
        <v>0.01</v>
      </c>
      <c r="K17" s="4">
        <f>YEAR(BaseDD[[#This Row],[Date]])</f>
        <v>2024</v>
      </c>
      <c r="L17" s="4">
        <f>MONTH(BaseDD[[#This Row],[Date]])</f>
        <v>9</v>
      </c>
      <c r="M17" s="3" t="str">
        <f>PROPER(TEXT(BaseDD[[#This Row],[Date]],"mmm"))</f>
        <v>Sept</v>
      </c>
    </row>
    <row r="18" spans="1:13" x14ac:dyDescent="0.3">
      <c r="A18" t="s">
        <v>67</v>
      </c>
      <c r="B18" t="s">
        <v>35</v>
      </c>
      <c r="C18" t="s">
        <v>36</v>
      </c>
      <c r="D18" s="1">
        <v>45542</v>
      </c>
      <c r="E18" s="2">
        <v>-20</v>
      </c>
      <c r="F18" s="2">
        <f>IF(BaseDD[[#This Row],[Opération]]="Offre acceptée",-IF(BaseDD[[#This Row],[Montant]]&gt;=0,0,BaseDD[[#This Row],[Montant]]),)</f>
        <v>20</v>
      </c>
      <c r="J18" s="3">
        <f t="shared" si="0"/>
        <v>0</v>
      </c>
      <c r="K18" s="4">
        <f>YEAR(BaseDD[[#This Row],[Date]])</f>
        <v>2024</v>
      </c>
      <c r="L18" s="4">
        <f>MONTH(BaseDD[[#This Row],[Date]])</f>
        <v>9</v>
      </c>
      <c r="M18" s="3" t="str">
        <f>PROPER(TEXT(BaseDD[[#This Row],[Date]],"mmm"))</f>
        <v>Sept</v>
      </c>
    </row>
    <row r="19" spans="1:13" x14ac:dyDescent="0.3">
      <c r="A19" t="s">
        <v>3</v>
      </c>
      <c r="B19" t="s">
        <v>37</v>
      </c>
      <c r="C19" t="s">
        <v>38</v>
      </c>
      <c r="D19" s="1">
        <v>45542</v>
      </c>
      <c r="E19" s="2">
        <v>0.01</v>
      </c>
      <c r="F19" s="2">
        <f>IF(BaseDD[[#This Row],[Opération]]="Offre acceptée",-IF(BaseDD[[#This Row],[Montant]]&gt;=0,0,BaseDD[[#This Row],[Montant]]),)</f>
        <v>0</v>
      </c>
      <c r="G19" s="2">
        <v>0</v>
      </c>
      <c r="H19" s="2">
        <v>0.01</v>
      </c>
      <c r="I19" s="2">
        <v>0</v>
      </c>
      <c r="J19" s="3">
        <f t="shared" si="0"/>
        <v>0.01</v>
      </c>
      <c r="K19" s="4">
        <f>YEAR(BaseDD[[#This Row],[Date]])</f>
        <v>2024</v>
      </c>
      <c r="L19" s="4">
        <f>MONTH(BaseDD[[#This Row],[Date]])</f>
        <v>9</v>
      </c>
      <c r="M19" s="3" t="str">
        <f>PROPER(TEXT(BaseDD[[#This Row],[Date]],"mmm"))</f>
        <v>Sept</v>
      </c>
    </row>
    <row r="20" spans="1:13" x14ac:dyDescent="0.3">
      <c r="A20" t="s">
        <v>3</v>
      </c>
      <c r="B20" t="s">
        <v>39</v>
      </c>
      <c r="C20" t="s">
        <v>40</v>
      </c>
      <c r="D20" s="1">
        <v>45541</v>
      </c>
      <c r="E20" s="2">
        <v>0.65</v>
      </c>
      <c r="F20" s="2">
        <f>IF(BaseDD[[#This Row],[Opération]]="Offre acceptée",-IF(BaseDD[[#This Row],[Montant]]&gt;=0,0,BaseDD[[#This Row],[Montant]]),)</f>
        <v>0</v>
      </c>
      <c r="G20" s="2">
        <v>0</v>
      </c>
      <c r="H20" s="2">
        <v>0.93</v>
      </c>
      <c r="I20" s="2">
        <v>0.28000000000000003</v>
      </c>
      <c r="J20" s="3">
        <f t="shared" si="0"/>
        <v>0.65</v>
      </c>
      <c r="K20" s="4">
        <f>YEAR(BaseDD[[#This Row],[Date]])</f>
        <v>2024</v>
      </c>
      <c r="L20" s="4">
        <f>MONTH(BaseDD[[#This Row],[Date]])</f>
        <v>9</v>
      </c>
      <c r="M20" s="3" t="str">
        <f>PROPER(TEXT(BaseDD[[#This Row],[Date]],"mmm"))</f>
        <v>Sept</v>
      </c>
    </row>
    <row r="21" spans="1:13" x14ac:dyDescent="0.3">
      <c r="A21" t="s">
        <v>3</v>
      </c>
      <c r="B21" t="s">
        <v>41</v>
      </c>
      <c r="C21" t="s">
        <v>42</v>
      </c>
      <c r="D21" s="1">
        <v>45541</v>
      </c>
      <c r="E21" s="2">
        <v>0.35</v>
      </c>
      <c r="F21" s="2">
        <f>IF(BaseDD[[#This Row],[Opération]]="Offre acceptée",-IF(BaseDD[[#This Row],[Montant]]&gt;=0,0,BaseDD[[#This Row],[Montant]]),)</f>
        <v>0</v>
      </c>
      <c r="G21" s="2">
        <v>0</v>
      </c>
      <c r="H21" s="2">
        <v>0.5</v>
      </c>
      <c r="I21" s="2">
        <v>0.15</v>
      </c>
      <c r="J21" s="3">
        <f t="shared" si="0"/>
        <v>0.35</v>
      </c>
      <c r="K21" s="4">
        <f>YEAR(BaseDD[[#This Row],[Date]])</f>
        <v>2024</v>
      </c>
      <c r="L21" s="4">
        <f>MONTH(BaseDD[[#This Row],[Date]])</f>
        <v>9</v>
      </c>
      <c r="M21" s="3" t="str">
        <f>PROPER(TEXT(BaseDD[[#This Row],[Date]],"mmm"))</f>
        <v>Sept</v>
      </c>
    </row>
    <row r="22" spans="1:13" x14ac:dyDescent="0.3">
      <c r="A22" t="s">
        <v>3</v>
      </c>
      <c r="B22" t="s">
        <v>43</v>
      </c>
      <c r="C22" t="s">
        <v>44</v>
      </c>
      <c r="D22" s="1">
        <v>45541</v>
      </c>
      <c r="E22" s="2">
        <v>0.71</v>
      </c>
      <c r="F22" s="2">
        <f>IF(BaseDD[[#This Row],[Opération]]="Offre acceptée",-IF(BaseDD[[#This Row],[Montant]]&gt;=0,0,BaseDD[[#This Row],[Montant]]),)</f>
        <v>0</v>
      </c>
      <c r="G22" s="2">
        <v>0</v>
      </c>
      <c r="H22" s="2">
        <v>1.01</v>
      </c>
      <c r="I22" s="2">
        <v>0.3</v>
      </c>
      <c r="J22" s="3">
        <f t="shared" si="0"/>
        <v>0.71</v>
      </c>
      <c r="K22" s="4">
        <f>YEAR(BaseDD[[#This Row],[Date]])</f>
        <v>2024</v>
      </c>
      <c r="L22" s="4">
        <f>MONTH(BaseDD[[#This Row],[Date]])</f>
        <v>9</v>
      </c>
      <c r="M22" s="3" t="str">
        <f>PROPER(TEXT(BaseDD[[#This Row],[Date]],"mmm"))</f>
        <v>Sept</v>
      </c>
    </row>
    <row r="23" spans="1:13" x14ac:dyDescent="0.3">
      <c r="A23" t="s">
        <v>3</v>
      </c>
      <c r="B23" t="s">
        <v>45</v>
      </c>
      <c r="C23" t="s">
        <v>46</v>
      </c>
      <c r="D23" s="1">
        <v>45541</v>
      </c>
      <c r="E23" s="2">
        <v>0.34</v>
      </c>
      <c r="F23" s="2">
        <f>IF(BaseDD[[#This Row],[Opération]]="Offre acceptée",-IF(BaseDD[[#This Row],[Montant]]&gt;=0,0,BaseDD[[#This Row],[Montant]]),)</f>
        <v>0</v>
      </c>
      <c r="G23" s="2">
        <v>0</v>
      </c>
      <c r="H23" s="2">
        <v>0.48</v>
      </c>
      <c r="I23" s="2">
        <v>0.14000000000000001</v>
      </c>
      <c r="J23" s="3">
        <f t="shared" si="0"/>
        <v>0.33999999999999997</v>
      </c>
      <c r="K23" s="4">
        <f>YEAR(BaseDD[[#This Row],[Date]])</f>
        <v>2024</v>
      </c>
      <c r="L23" s="4">
        <f>MONTH(BaseDD[[#This Row],[Date]])</f>
        <v>9</v>
      </c>
      <c r="M23" s="3" t="str">
        <f>PROPER(TEXT(BaseDD[[#This Row],[Date]],"mmm"))</f>
        <v>Sept</v>
      </c>
    </row>
    <row r="24" spans="1:13" x14ac:dyDescent="0.3">
      <c r="A24" t="s">
        <v>3</v>
      </c>
      <c r="B24" t="s">
        <v>47</v>
      </c>
      <c r="C24" t="s">
        <v>48</v>
      </c>
      <c r="D24" s="1">
        <v>45541</v>
      </c>
      <c r="E24" s="2">
        <v>0.01</v>
      </c>
      <c r="F24" s="2">
        <f>IF(BaseDD[[#This Row],[Opération]]="Offre acceptée",-IF(BaseDD[[#This Row],[Montant]]&gt;=0,0,BaseDD[[#This Row],[Montant]]),)</f>
        <v>0</v>
      </c>
      <c r="G24" s="2">
        <v>0</v>
      </c>
      <c r="H24" s="2">
        <v>0.01</v>
      </c>
      <c r="I24" s="2">
        <v>0</v>
      </c>
      <c r="J24" s="3">
        <f t="shared" si="0"/>
        <v>0.01</v>
      </c>
      <c r="K24" s="4">
        <f>YEAR(BaseDD[[#This Row],[Date]])</f>
        <v>2024</v>
      </c>
      <c r="L24" s="4">
        <f>MONTH(BaseDD[[#This Row],[Date]])</f>
        <v>9</v>
      </c>
      <c r="M24" s="3" t="str">
        <f>PROPER(TEXT(BaseDD[[#This Row],[Date]],"mmm"))</f>
        <v>Sept</v>
      </c>
    </row>
    <row r="25" spans="1:13" x14ac:dyDescent="0.3">
      <c r="A25" t="s">
        <v>3</v>
      </c>
      <c r="B25" t="s">
        <v>49</v>
      </c>
      <c r="C25" t="s">
        <v>50</v>
      </c>
      <c r="D25" s="1">
        <v>45541</v>
      </c>
      <c r="E25" s="2">
        <v>0.01</v>
      </c>
      <c r="F25" s="2">
        <f>IF(BaseDD[[#This Row],[Opération]]="Offre acceptée",-IF(BaseDD[[#This Row],[Montant]]&gt;=0,0,BaseDD[[#This Row],[Montant]]),)</f>
        <v>0</v>
      </c>
      <c r="G25" s="2">
        <v>0</v>
      </c>
      <c r="H25" s="2">
        <v>0.02</v>
      </c>
      <c r="I25" s="2">
        <v>0.01</v>
      </c>
      <c r="J25" s="3">
        <f t="shared" si="0"/>
        <v>0.01</v>
      </c>
      <c r="K25" s="4">
        <f>YEAR(BaseDD[[#This Row],[Date]])</f>
        <v>2024</v>
      </c>
      <c r="L25" s="4">
        <f>MONTH(BaseDD[[#This Row],[Date]])</f>
        <v>9</v>
      </c>
      <c r="M25" s="3" t="str">
        <f>PROPER(TEXT(BaseDD[[#This Row],[Date]],"mmm"))</f>
        <v>Sept</v>
      </c>
    </row>
    <row r="26" spans="1:13" x14ac:dyDescent="0.3">
      <c r="A26" t="s">
        <v>68</v>
      </c>
      <c r="B26" t="s">
        <v>51</v>
      </c>
      <c r="C26" t="s">
        <v>52</v>
      </c>
      <c r="D26" s="1">
        <v>45537</v>
      </c>
      <c r="E26" s="2">
        <v>30</v>
      </c>
      <c r="F26" s="2">
        <f>IF(BaseDD[[#This Row],[Opération]]="Offre acceptée",-IF(BaseDD[[#This Row],[Montant]]&gt;=0,0,BaseDD[[#This Row],[Montant]]),)</f>
        <v>0</v>
      </c>
      <c r="J26" s="3">
        <f t="shared" si="0"/>
        <v>0</v>
      </c>
      <c r="K26" s="4">
        <f>YEAR(BaseDD[[#This Row],[Date]])</f>
        <v>2024</v>
      </c>
      <c r="L26" s="4">
        <f>MONTH(BaseDD[[#This Row],[Date]])</f>
        <v>9</v>
      </c>
      <c r="M26" s="3" t="str">
        <f>PROPER(TEXT(BaseDD[[#This Row],[Date]],"mmm"))</f>
        <v>Sept</v>
      </c>
    </row>
    <row r="27" spans="1:13" x14ac:dyDescent="0.3">
      <c r="A27" t="s">
        <v>67</v>
      </c>
      <c r="B27" t="s">
        <v>53</v>
      </c>
      <c r="C27" t="s">
        <v>54</v>
      </c>
      <c r="D27" s="1">
        <v>45536</v>
      </c>
      <c r="E27" s="2">
        <v>-20</v>
      </c>
      <c r="F27" s="2">
        <f>IF(BaseDD[[#This Row],[Opération]]="Offre acceptée",-IF(BaseDD[[#This Row],[Montant]]&gt;=0,0,BaseDD[[#This Row],[Montant]]),)</f>
        <v>20</v>
      </c>
      <c r="J27" s="3">
        <f t="shared" si="0"/>
        <v>0</v>
      </c>
      <c r="K27" s="4">
        <f>YEAR(BaseDD[[#This Row],[Date]])</f>
        <v>2024</v>
      </c>
      <c r="L27" s="4">
        <f>MONTH(BaseDD[[#This Row],[Date]])</f>
        <v>9</v>
      </c>
      <c r="M27" s="3" t="str">
        <f>PROPER(TEXT(BaseDD[[#This Row],[Date]],"mmm"))</f>
        <v>Sept</v>
      </c>
    </row>
    <row r="28" spans="1:13" x14ac:dyDescent="0.3">
      <c r="A28" t="s">
        <v>67</v>
      </c>
      <c r="B28" t="s">
        <v>51</v>
      </c>
      <c r="C28" t="s">
        <v>52</v>
      </c>
      <c r="D28" s="1">
        <v>45535</v>
      </c>
      <c r="E28" s="2">
        <v>-30</v>
      </c>
      <c r="F28" s="2">
        <f>IF(BaseDD[[#This Row],[Opération]]="Offre acceptée",-IF(BaseDD[[#This Row],[Montant]]&gt;=0,0,BaseDD[[#This Row],[Montant]]),)</f>
        <v>30</v>
      </c>
      <c r="J28" s="3">
        <f t="shared" si="0"/>
        <v>0</v>
      </c>
      <c r="K28" s="4">
        <f>YEAR(BaseDD[[#This Row],[Date]])</f>
        <v>2024</v>
      </c>
      <c r="L28" s="4">
        <f>MONTH(BaseDD[[#This Row],[Date]])</f>
        <v>8</v>
      </c>
      <c r="M28" s="3" t="str">
        <f>PROPER(TEXT(BaseDD[[#This Row],[Date]],"mmm"))</f>
        <v>Août</v>
      </c>
    </row>
    <row r="29" spans="1:13" x14ac:dyDescent="0.3">
      <c r="A29" t="s">
        <v>67</v>
      </c>
      <c r="B29" t="s">
        <v>55</v>
      </c>
      <c r="C29" t="s">
        <v>56</v>
      </c>
      <c r="D29" s="1">
        <v>45535</v>
      </c>
      <c r="E29" s="2">
        <v>-40</v>
      </c>
      <c r="F29" s="2">
        <f>IF(BaseDD[[#This Row],[Opération]]="Offre acceptée",-IF(BaseDD[[#This Row],[Montant]]&gt;=0,0,BaseDD[[#This Row],[Montant]]),)</f>
        <v>40</v>
      </c>
      <c r="J29" s="3">
        <f t="shared" si="0"/>
        <v>0</v>
      </c>
      <c r="K29" s="4">
        <f>YEAR(BaseDD[[#This Row],[Date]])</f>
        <v>2024</v>
      </c>
      <c r="L29" s="4">
        <f>MONTH(BaseDD[[#This Row],[Date]])</f>
        <v>8</v>
      </c>
      <c r="M29" s="3" t="str">
        <f>PROPER(TEXT(BaseDD[[#This Row],[Date]],"mmm"))</f>
        <v>Août</v>
      </c>
    </row>
    <row r="30" spans="1:13" x14ac:dyDescent="0.3">
      <c r="A30" t="s">
        <v>67</v>
      </c>
      <c r="B30" t="s">
        <v>33</v>
      </c>
      <c r="C30" t="s">
        <v>34</v>
      </c>
      <c r="D30" s="1">
        <v>45535</v>
      </c>
      <c r="E30" s="2">
        <v>-20</v>
      </c>
      <c r="F30" s="2">
        <f>IF(BaseDD[[#This Row],[Opération]]="Offre acceptée",-IF(BaseDD[[#This Row],[Montant]]&gt;=0,0,BaseDD[[#This Row],[Montant]]),)</f>
        <v>20</v>
      </c>
      <c r="J30" s="3">
        <f t="shared" si="0"/>
        <v>0</v>
      </c>
      <c r="K30" s="4">
        <f>YEAR(BaseDD[[#This Row],[Date]])</f>
        <v>2024</v>
      </c>
      <c r="L30" s="4">
        <f>MONTH(BaseDD[[#This Row],[Date]])</f>
        <v>8</v>
      </c>
      <c r="M30" s="3" t="str">
        <f>PROPER(TEXT(BaseDD[[#This Row],[Date]],"mmm"))</f>
        <v>Août</v>
      </c>
    </row>
    <row r="31" spans="1:13" x14ac:dyDescent="0.3">
      <c r="A31" t="s">
        <v>67</v>
      </c>
      <c r="B31" t="s">
        <v>49</v>
      </c>
      <c r="C31" t="s">
        <v>50</v>
      </c>
      <c r="D31" s="1">
        <v>45535</v>
      </c>
      <c r="E31" s="2">
        <v>-50</v>
      </c>
      <c r="F31" s="2">
        <f>IF(BaseDD[[#This Row],[Opération]]="Offre acceptée",-IF(BaseDD[[#This Row],[Montant]]&gt;=0,0,BaseDD[[#This Row],[Montant]]),)</f>
        <v>50</v>
      </c>
      <c r="J31" s="3">
        <f t="shared" si="0"/>
        <v>0</v>
      </c>
      <c r="K31" s="4">
        <f>YEAR(BaseDD[[#This Row],[Date]])</f>
        <v>2024</v>
      </c>
      <c r="L31" s="4">
        <f>MONTH(BaseDD[[#This Row],[Date]])</f>
        <v>8</v>
      </c>
      <c r="M31" s="3" t="str">
        <f>PROPER(TEXT(BaseDD[[#This Row],[Date]],"mmm"))</f>
        <v>Août</v>
      </c>
    </row>
    <row r="32" spans="1:13" x14ac:dyDescent="0.3">
      <c r="A32" t="s">
        <v>67</v>
      </c>
      <c r="B32" t="s">
        <v>47</v>
      </c>
      <c r="C32" t="s">
        <v>48</v>
      </c>
      <c r="D32" s="1">
        <v>45535</v>
      </c>
      <c r="E32" s="2">
        <v>-20</v>
      </c>
      <c r="F32" s="2">
        <f>IF(BaseDD[[#This Row],[Opération]]="Offre acceptée",-IF(BaseDD[[#This Row],[Montant]]&gt;=0,0,BaseDD[[#This Row],[Montant]]),)</f>
        <v>20</v>
      </c>
      <c r="J32" s="3">
        <f t="shared" si="0"/>
        <v>0</v>
      </c>
      <c r="K32" s="4">
        <f>YEAR(BaseDD[[#This Row],[Date]])</f>
        <v>2024</v>
      </c>
      <c r="L32" s="4">
        <f>MONTH(BaseDD[[#This Row],[Date]])</f>
        <v>8</v>
      </c>
      <c r="M32" s="3" t="str">
        <f>PROPER(TEXT(BaseDD[[#This Row],[Date]],"mmm"))</f>
        <v>Août</v>
      </c>
    </row>
    <row r="33" spans="1:13" x14ac:dyDescent="0.3">
      <c r="A33" t="s">
        <v>67</v>
      </c>
      <c r="B33" t="s">
        <v>6</v>
      </c>
      <c r="C33" t="s">
        <v>7</v>
      </c>
      <c r="D33" s="1">
        <v>45535</v>
      </c>
      <c r="E33" s="2">
        <v>-100</v>
      </c>
      <c r="F33" s="2">
        <f>IF(BaseDD[[#This Row],[Opération]]="Offre acceptée",-IF(BaseDD[[#This Row],[Montant]]&gt;=0,0,BaseDD[[#This Row],[Montant]]),)</f>
        <v>100</v>
      </c>
      <c r="J33" s="3">
        <f t="shared" si="0"/>
        <v>0</v>
      </c>
      <c r="K33" s="4">
        <f>YEAR(BaseDD[[#This Row],[Date]])</f>
        <v>2024</v>
      </c>
      <c r="L33" s="4">
        <f>MONTH(BaseDD[[#This Row],[Date]])</f>
        <v>8</v>
      </c>
      <c r="M33" s="3" t="str">
        <f>PROPER(TEXT(BaseDD[[#This Row],[Date]],"mmm"))</f>
        <v>Août</v>
      </c>
    </row>
    <row r="34" spans="1:13" x14ac:dyDescent="0.3">
      <c r="A34" t="s">
        <v>67</v>
      </c>
      <c r="B34" t="s">
        <v>37</v>
      </c>
      <c r="C34" t="s">
        <v>38</v>
      </c>
      <c r="D34" s="1">
        <v>45535</v>
      </c>
      <c r="E34" s="2">
        <v>-20</v>
      </c>
      <c r="F34" s="2">
        <f>IF(BaseDD[[#This Row],[Opération]]="Offre acceptée",-IF(BaseDD[[#This Row],[Montant]]&gt;=0,0,BaseDD[[#This Row],[Montant]]),)</f>
        <v>20</v>
      </c>
      <c r="J34" s="3">
        <f t="shared" si="0"/>
        <v>0</v>
      </c>
      <c r="K34" s="4">
        <f>YEAR(BaseDD[[#This Row],[Date]])</f>
        <v>2024</v>
      </c>
      <c r="L34" s="4">
        <f>MONTH(BaseDD[[#This Row],[Date]])</f>
        <v>8</v>
      </c>
      <c r="M34" s="3" t="str">
        <f>PROPER(TEXT(BaseDD[[#This Row],[Date]],"mmm"))</f>
        <v>Août</v>
      </c>
    </row>
    <row r="35" spans="1:13" x14ac:dyDescent="0.3">
      <c r="A35" t="s">
        <v>69</v>
      </c>
      <c r="D35" s="1">
        <v>45535</v>
      </c>
      <c r="E35" s="2">
        <v>600</v>
      </c>
      <c r="F35" s="2">
        <f>IF(BaseDD[[#This Row],[Opération]]="Offre acceptée",-IF(BaseDD[[#This Row],[Montant]]&gt;=0,0,BaseDD[[#This Row],[Montant]]),)</f>
        <v>0</v>
      </c>
      <c r="J35" s="3">
        <f t="shared" si="0"/>
        <v>0</v>
      </c>
      <c r="K35" s="4">
        <f>YEAR(BaseDD[[#This Row],[Date]])</f>
        <v>2024</v>
      </c>
      <c r="L35" s="4">
        <f>MONTH(BaseDD[[#This Row],[Date]])</f>
        <v>8</v>
      </c>
      <c r="M35" s="3" t="str">
        <f>PROPER(TEXT(BaseDD[[#This Row],[Date]],"mmm"))</f>
        <v>Août</v>
      </c>
    </row>
    <row r="36" spans="1:13" x14ac:dyDescent="0.3">
      <c r="A36" t="s">
        <v>67</v>
      </c>
      <c r="B36" t="s">
        <v>23</v>
      </c>
      <c r="C36" t="s">
        <v>24</v>
      </c>
      <c r="D36" s="1">
        <v>45511</v>
      </c>
      <c r="E36" s="2">
        <v>-28</v>
      </c>
      <c r="F36" s="2">
        <f>IF(BaseDD[[#This Row],[Opération]]="Offre acceptée",-IF(BaseDD[[#This Row],[Montant]]&gt;=0,0,BaseDD[[#This Row],[Montant]]),)</f>
        <v>28</v>
      </c>
      <c r="J36" s="3">
        <f t="shared" si="0"/>
        <v>0</v>
      </c>
      <c r="K36" s="4">
        <f>YEAR(BaseDD[[#This Row],[Date]])</f>
        <v>2024</v>
      </c>
      <c r="L36" s="4">
        <f>MONTH(BaseDD[[#This Row],[Date]])</f>
        <v>8</v>
      </c>
      <c r="M36" s="3" t="str">
        <f>PROPER(TEXT(BaseDD[[#This Row],[Date]],"mmm"))</f>
        <v>Août</v>
      </c>
    </row>
    <row r="37" spans="1:13" x14ac:dyDescent="0.3">
      <c r="A37" t="s">
        <v>3</v>
      </c>
      <c r="B37" t="s">
        <v>4</v>
      </c>
      <c r="C37" t="s">
        <v>5</v>
      </c>
      <c r="D37" s="1">
        <v>45511</v>
      </c>
      <c r="E37" s="2">
        <v>0.39</v>
      </c>
      <c r="F37" s="2">
        <f>IF(BaseDD[[#This Row],[Opération]]="Offre acceptée",-IF(BaseDD[[#This Row],[Montant]]&gt;=0,0,BaseDD[[#This Row],[Montant]]),)</f>
        <v>0</v>
      </c>
      <c r="G37" s="2">
        <v>0</v>
      </c>
      <c r="H37" s="2">
        <v>0.56000000000000005</v>
      </c>
      <c r="I37" s="2">
        <v>0.17</v>
      </c>
      <c r="J37" s="3">
        <f t="shared" si="0"/>
        <v>0.39</v>
      </c>
      <c r="K37" s="4">
        <f>YEAR(BaseDD[[#This Row],[Date]])</f>
        <v>2024</v>
      </c>
      <c r="L37" s="4">
        <f>MONTH(BaseDD[[#This Row],[Date]])</f>
        <v>8</v>
      </c>
      <c r="M37" s="3" t="str">
        <f>PROPER(TEXT(BaseDD[[#This Row],[Date]],"mmm"))</f>
        <v>Août</v>
      </c>
    </row>
    <row r="38" spans="1:13" x14ac:dyDescent="0.3">
      <c r="A38" t="s">
        <v>69</v>
      </c>
      <c r="D38" s="1">
        <v>45511</v>
      </c>
      <c r="E38" s="2">
        <v>20</v>
      </c>
      <c r="F38" s="2">
        <f>IF(BaseDD[[#This Row],[Opération]]="Offre acceptée",-IF(BaseDD[[#This Row],[Montant]]&gt;=0,0,BaseDD[[#This Row],[Montant]]),)</f>
        <v>0</v>
      </c>
      <c r="J38" s="3">
        <f t="shared" si="0"/>
        <v>0</v>
      </c>
      <c r="K38" s="4">
        <f>YEAR(BaseDD[[#This Row],[Date]])</f>
        <v>2024</v>
      </c>
      <c r="L38" s="4">
        <f>MONTH(BaseDD[[#This Row],[Date]])</f>
        <v>8</v>
      </c>
      <c r="M38" s="3" t="str">
        <f>PROPER(TEXT(BaseDD[[#This Row],[Date]],"mmm"))</f>
        <v>Août</v>
      </c>
    </row>
    <row r="39" spans="1:13" x14ac:dyDescent="0.3">
      <c r="A39" t="s">
        <v>3</v>
      </c>
      <c r="B39" t="s">
        <v>8</v>
      </c>
      <c r="C39" t="s">
        <v>9</v>
      </c>
      <c r="D39" s="1">
        <v>45511</v>
      </c>
      <c r="E39" s="2">
        <v>0.32</v>
      </c>
      <c r="F39" s="2">
        <f>IF(BaseDD[[#This Row],[Opération]]="Offre acceptée",-IF(BaseDD[[#This Row],[Montant]]&gt;=0,0,BaseDD[[#This Row],[Montant]]),)</f>
        <v>0</v>
      </c>
      <c r="G39" s="2">
        <v>0</v>
      </c>
      <c r="H39" s="2">
        <v>0.46</v>
      </c>
      <c r="I39" s="2">
        <v>0.14000000000000001</v>
      </c>
      <c r="J39" s="3">
        <f t="shared" si="0"/>
        <v>0.32</v>
      </c>
      <c r="K39" s="4">
        <f>YEAR(BaseDD[[#This Row],[Date]])</f>
        <v>2024</v>
      </c>
      <c r="L39" s="4">
        <f>MONTH(BaseDD[[#This Row],[Date]])</f>
        <v>8</v>
      </c>
      <c r="M39" s="3" t="str">
        <f>PROPER(TEXT(BaseDD[[#This Row],[Date]],"mmm"))</f>
        <v>Août</v>
      </c>
    </row>
    <row r="40" spans="1:13" x14ac:dyDescent="0.3">
      <c r="A40" t="s">
        <v>3</v>
      </c>
      <c r="B40" t="s">
        <v>10</v>
      </c>
      <c r="C40" t="s">
        <v>11</v>
      </c>
      <c r="D40" s="1">
        <v>45511</v>
      </c>
      <c r="E40" s="2">
        <v>0.14000000000000001</v>
      </c>
      <c r="F40" s="2">
        <f>IF(BaseDD[[#This Row],[Opération]]="Offre acceptée",-IF(BaseDD[[#This Row],[Montant]]&gt;=0,0,BaseDD[[#This Row],[Montant]]),)</f>
        <v>0</v>
      </c>
      <c r="G40" s="2">
        <v>0</v>
      </c>
      <c r="H40" s="2">
        <v>0.2</v>
      </c>
      <c r="I40" s="2">
        <v>0.06</v>
      </c>
      <c r="J40" s="3">
        <f t="shared" si="0"/>
        <v>0.14000000000000001</v>
      </c>
      <c r="K40" s="4">
        <f>YEAR(BaseDD[[#This Row],[Date]])</f>
        <v>2024</v>
      </c>
      <c r="L40" s="4">
        <f>MONTH(BaseDD[[#This Row],[Date]])</f>
        <v>8</v>
      </c>
      <c r="M40" s="3" t="str">
        <f>PROPER(TEXT(BaseDD[[#This Row],[Date]],"mmm"))</f>
        <v>Août</v>
      </c>
    </row>
    <row r="41" spans="1:13" x14ac:dyDescent="0.3">
      <c r="A41" t="s">
        <v>3</v>
      </c>
      <c r="B41" t="s">
        <v>13</v>
      </c>
      <c r="C41" t="s">
        <v>14</v>
      </c>
      <c r="D41" s="1">
        <v>45511</v>
      </c>
      <c r="E41" s="2">
        <v>3.57</v>
      </c>
      <c r="F41" s="2">
        <f>IF(BaseDD[[#This Row],[Opération]]="Offre acceptée",-IF(BaseDD[[#This Row],[Montant]]&gt;=0,0,BaseDD[[#This Row],[Montant]]),)</f>
        <v>0</v>
      </c>
      <c r="G41" s="2">
        <v>0</v>
      </c>
      <c r="H41" s="2">
        <v>5.0999999999999996</v>
      </c>
      <c r="I41" s="2">
        <v>1.53</v>
      </c>
      <c r="J41" s="3">
        <f t="shared" si="0"/>
        <v>3.5699999999999994</v>
      </c>
      <c r="K41" s="4">
        <f>YEAR(BaseDD[[#This Row],[Date]])</f>
        <v>2024</v>
      </c>
      <c r="L41" s="4">
        <f>MONTH(BaseDD[[#This Row],[Date]])</f>
        <v>8</v>
      </c>
      <c r="M41" s="3" t="str">
        <f>PROPER(TEXT(BaseDD[[#This Row],[Date]],"mmm"))</f>
        <v>Août</v>
      </c>
    </row>
    <row r="42" spans="1:13" x14ac:dyDescent="0.3">
      <c r="A42" t="s">
        <v>3</v>
      </c>
      <c r="B42" t="s">
        <v>19</v>
      </c>
      <c r="C42" t="s">
        <v>20</v>
      </c>
      <c r="D42" s="1">
        <v>45511</v>
      </c>
      <c r="E42" s="2">
        <v>0.13</v>
      </c>
      <c r="F42" s="2">
        <f>IF(BaseDD[[#This Row],[Opération]]="Offre acceptée",-IF(BaseDD[[#This Row],[Montant]]&gt;=0,0,BaseDD[[#This Row],[Montant]]),)</f>
        <v>0</v>
      </c>
      <c r="G42" s="2">
        <v>0</v>
      </c>
      <c r="H42" s="2">
        <v>0.19</v>
      </c>
      <c r="I42" s="2">
        <v>0.06</v>
      </c>
      <c r="J42" s="3">
        <f t="shared" si="0"/>
        <v>0.13</v>
      </c>
      <c r="K42" s="4">
        <f>YEAR(BaseDD[[#This Row],[Date]])</f>
        <v>2024</v>
      </c>
      <c r="L42" s="4">
        <f>MONTH(BaseDD[[#This Row],[Date]])</f>
        <v>8</v>
      </c>
      <c r="M42" s="3" t="str">
        <f>PROPER(TEXT(BaseDD[[#This Row],[Date]],"mmm"))</f>
        <v>Août</v>
      </c>
    </row>
    <row r="43" spans="1:13" x14ac:dyDescent="0.3">
      <c r="A43" t="s">
        <v>3</v>
      </c>
      <c r="B43" t="s">
        <v>17</v>
      </c>
      <c r="C43" t="s">
        <v>18</v>
      </c>
      <c r="D43" s="1">
        <v>45511</v>
      </c>
      <c r="E43" s="2">
        <v>0.32</v>
      </c>
      <c r="F43" s="2">
        <f>IF(BaseDD[[#This Row],[Opération]]="Offre acceptée",-IF(BaseDD[[#This Row],[Montant]]&gt;=0,0,BaseDD[[#This Row],[Montant]]),)</f>
        <v>0</v>
      </c>
      <c r="G43" s="2">
        <v>0</v>
      </c>
      <c r="H43" s="2">
        <v>0.46</v>
      </c>
      <c r="I43" s="2">
        <v>0.14000000000000001</v>
      </c>
      <c r="J43" s="3">
        <f t="shared" si="0"/>
        <v>0.32</v>
      </c>
      <c r="K43" s="4">
        <f>YEAR(BaseDD[[#This Row],[Date]])</f>
        <v>2024</v>
      </c>
      <c r="L43" s="4">
        <f>MONTH(BaseDD[[#This Row],[Date]])</f>
        <v>8</v>
      </c>
      <c r="M43" s="3" t="str">
        <f>PROPER(TEXT(BaseDD[[#This Row],[Date]],"mmm"))</f>
        <v>Août</v>
      </c>
    </row>
    <row r="44" spans="1:13" x14ac:dyDescent="0.3">
      <c r="A44" t="s">
        <v>3</v>
      </c>
      <c r="B44" t="s">
        <v>25</v>
      </c>
      <c r="C44" t="s">
        <v>26</v>
      </c>
      <c r="D44" s="1">
        <v>45511</v>
      </c>
      <c r="E44" s="2">
        <v>0.35</v>
      </c>
      <c r="F44" s="2">
        <f>IF(BaseDD[[#This Row],[Opération]]="Offre acceptée",-IF(BaseDD[[#This Row],[Montant]]&gt;=0,0,BaseDD[[#This Row],[Montant]]),)</f>
        <v>0</v>
      </c>
      <c r="G44" s="2">
        <v>0</v>
      </c>
      <c r="H44" s="2">
        <v>0.5</v>
      </c>
      <c r="I44" s="2">
        <v>0.15</v>
      </c>
      <c r="J44" s="3">
        <f t="shared" si="0"/>
        <v>0.35</v>
      </c>
      <c r="K44" s="4">
        <f>YEAR(BaseDD[[#This Row],[Date]])</f>
        <v>2024</v>
      </c>
      <c r="L44" s="4">
        <f>MONTH(BaseDD[[#This Row],[Date]])</f>
        <v>8</v>
      </c>
      <c r="M44" s="3" t="str">
        <f>PROPER(TEXT(BaseDD[[#This Row],[Date]],"mmm"))</f>
        <v>Août</v>
      </c>
    </row>
    <row r="45" spans="1:13" x14ac:dyDescent="0.3">
      <c r="A45" t="s">
        <v>3</v>
      </c>
      <c r="B45" t="s">
        <v>27</v>
      </c>
      <c r="C45" t="s">
        <v>28</v>
      </c>
      <c r="D45" s="1">
        <v>45511</v>
      </c>
      <c r="E45" s="2">
        <v>0.53</v>
      </c>
      <c r="F45" s="2">
        <f>IF(BaseDD[[#This Row],[Opération]]="Offre acceptée",-IF(BaseDD[[#This Row],[Montant]]&gt;=0,0,BaseDD[[#This Row],[Montant]]),)</f>
        <v>0</v>
      </c>
      <c r="G45" s="2">
        <v>0</v>
      </c>
      <c r="H45" s="2">
        <v>0.76</v>
      </c>
      <c r="I45" s="2">
        <v>0.23</v>
      </c>
      <c r="J45" s="3">
        <f t="shared" si="0"/>
        <v>0.53</v>
      </c>
      <c r="K45" s="4">
        <f>YEAR(BaseDD[[#This Row],[Date]])</f>
        <v>2024</v>
      </c>
      <c r="L45" s="4">
        <f>MONTH(BaseDD[[#This Row],[Date]])</f>
        <v>8</v>
      </c>
      <c r="M45" s="3" t="str">
        <f>PROPER(TEXT(BaseDD[[#This Row],[Date]],"mmm"))</f>
        <v>Août</v>
      </c>
    </row>
    <row r="46" spans="1:13" x14ac:dyDescent="0.3">
      <c r="A46" t="s">
        <v>3</v>
      </c>
      <c r="B46" t="s">
        <v>39</v>
      </c>
      <c r="C46" t="s">
        <v>40</v>
      </c>
      <c r="D46" s="1">
        <v>45510</v>
      </c>
      <c r="E46" s="2">
        <v>0.65</v>
      </c>
      <c r="F46" s="2">
        <f>IF(BaseDD[[#This Row],[Opération]]="Offre acceptée",-IF(BaseDD[[#This Row],[Montant]]&gt;=0,0,BaseDD[[#This Row],[Montant]]),)</f>
        <v>0</v>
      </c>
      <c r="G46" s="2">
        <v>0</v>
      </c>
      <c r="H46" s="2">
        <v>0.93</v>
      </c>
      <c r="I46" s="2">
        <v>0.28000000000000003</v>
      </c>
      <c r="J46" s="3">
        <f t="shared" si="0"/>
        <v>0.65</v>
      </c>
      <c r="K46" s="4">
        <f>YEAR(BaseDD[[#This Row],[Date]])</f>
        <v>2024</v>
      </c>
      <c r="L46" s="4">
        <f>MONTH(BaseDD[[#This Row],[Date]])</f>
        <v>8</v>
      </c>
      <c r="M46" s="3" t="str">
        <f>PROPER(TEXT(BaseDD[[#This Row],[Date]],"mmm"))</f>
        <v>Août</v>
      </c>
    </row>
    <row r="47" spans="1:13" x14ac:dyDescent="0.3">
      <c r="A47" t="s">
        <v>3</v>
      </c>
      <c r="B47" t="s">
        <v>41</v>
      </c>
      <c r="C47" t="s">
        <v>42</v>
      </c>
      <c r="D47" s="1">
        <v>45510</v>
      </c>
      <c r="E47" s="2">
        <v>0.35</v>
      </c>
      <c r="F47" s="2">
        <f>IF(BaseDD[[#This Row],[Opération]]="Offre acceptée",-IF(BaseDD[[#This Row],[Montant]]&gt;=0,0,BaseDD[[#This Row],[Montant]]),)</f>
        <v>0</v>
      </c>
      <c r="G47" s="2">
        <v>0</v>
      </c>
      <c r="H47" s="2">
        <v>0.5</v>
      </c>
      <c r="I47" s="2">
        <v>0.15</v>
      </c>
      <c r="J47" s="3">
        <f t="shared" si="0"/>
        <v>0.35</v>
      </c>
      <c r="K47" s="4">
        <f>YEAR(BaseDD[[#This Row],[Date]])</f>
        <v>2024</v>
      </c>
      <c r="L47" s="4">
        <f>MONTH(BaseDD[[#This Row],[Date]])</f>
        <v>8</v>
      </c>
      <c r="M47" s="3" t="str">
        <f>PROPER(TEXT(BaseDD[[#This Row],[Date]],"mmm"))</f>
        <v>Août</v>
      </c>
    </row>
    <row r="48" spans="1:13" x14ac:dyDescent="0.3">
      <c r="A48" t="s">
        <v>3</v>
      </c>
      <c r="B48" t="s">
        <v>43</v>
      </c>
      <c r="C48" t="s">
        <v>44</v>
      </c>
      <c r="D48" s="1">
        <v>45510</v>
      </c>
      <c r="E48" s="2">
        <v>0.71</v>
      </c>
      <c r="F48" s="2">
        <f>IF(BaseDD[[#This Row],[Opération]]="Offre acceptée",-IF(BaseDD[[#This Row],[Montant]]&gt;=0,0,BaseDD[[#This Row],[Montant]]),)</f>
        <v>0</v>
      </c>
      <c r="G48" s="2">
        <v>0</v>
      </c>
      <c r="H48" s="2">
        <v>1.01</v>
      </c>
      <c r="I48" s="2">
        <v>0.3</v>
      </c>
      <c r="J48" s="3">
        <f t="shared" si="0"/>
        <v>0.71</v>
      </c>
      <c r="K48" s="4">
        <f>YEAR(BaseDD[[#This Row],[Date]])</f>
        <v>2024</v>
      </c>
      <c r="L48" s="4">
        <f>MONTH(BaseDD[[#This Row],[Date]])</f>
        <v>8</v>
      </c>
      <c r="M48" s="3" t="str">
        <f>PROPER(TEXT(BaseDD[[#This Row],[Date]],"mmm"))</f>
        <v>Août</v>
      </c>
    </row>
    <row r="49" spans="1:13" x14ac:dyDescent="0.3">
      <c r="A49" t="s">
        <v>3</v>
      </c>
      <c r="B49" t="s">
        <v>45</v>
      </c>
      <c r="C49" t="s">
        <v>46</v>
      </c>
      <c r="D49" s="1">
        <v>45510</v>
      </c>
      <c r="E49" s="2">
        <v>0.34</v>
      </c>
      <c r="F49" s="2">
        <f>IF(BaseDD[[#This Row],[Opération]]="Offre acceptée",-IF(BaseDD[[#This Row],[Montant]]&gt;=0,0,BaseDD[[#This Row],[Montant]]),)</f>
        <v>0</v>
      </c>
      <c r="G49" s="2">
        <v>0</v>
      </c>
      <c r="H49" s="2">
        <v>0.48</v>
      </c>
      <c r="I49" s="2">
        <v>0.14000000000000001</v>
      </c>
      <c r="J49" s="3">
        <f t="shared" si="0"/>
        <v>0.33999999999999997</v>
      </c>
      <c r="K49" s="4">
        <f>YEAR(BaseDD[[#This Row],[Date]])</f>
        <v>2024</v>
      </c>
      <c r="L49" s="4">
        <f>MONTH(BaseDD[[#This Row],[Date]])</f>
        <v>8</v>
      </c>
      <c r="M49" s="3" t="str">
        <f>PROPER(TEXT(BaseDD[[#This Row],[Date]],"mmm"))</f>
        <v>Août</v>
      </c>
    </row>
    <row r="50" spans="1:13" x14ac:dyDescent="0.3">
      <c r="A50" t="s">
        <v>12</v>
      </c>
      <c r="D50" s="1">
        <v>45487</v>
      </c>
      <c r="E50" s="2">
        <v>-2000</v>
      </c>
      <c r="F50" s="2">
        <f>IF(BaseDD[[#This Row],[Opération]]="Offre acceptée",-IF(BaseDD[[#This Row],[Montant]]&gt;=0,0,BaseDD[[#This Row],[Montant]]),)</f>
        <v>0</v>
      </c>
      <c r="J50" s="3">
        <f t="shared" si="0"/>
        <v>0</v>
      </c>
      <c r="K50" s="4">
        <f>YEAR(BaseDD[[#This Row],[Date]])</f>
        <v>2024</v>
      </c>
      <c r="L50" s="4">
        <f>MONTH(BaseDD[[#This Row],[Date]])</f>
        <v>7</v>
      </c>
      <c r="M50" s="3" t="str">
        <f>PROPER(TEXT(BaseDD[[#This Row],[Date]],"mmm"))</f>
        <v>Juil</v>
      </c>
    </row>
    <row r="51" spans="1:13" x14ac:dyDescent="0.3">
      <c r="A51" t="s">
        <v>69</v>
      </c>
      <c r="D51" s="1">
        <v>45486</v>
      </c>
      <c r="E51" s="2">
        <v>2000</v>
      </c>
      <c r="F51" s="2">
        <f>IF(BaseDD[[#This Row],[Opération]]="Offre acceptée",-IF(BaseDD[[#This Row],[Montant]]&gt;=0,0,BaseDD[[#This Row],[Montant]]),)</f>
        <v>0</v>
      </c>
      <c r="J51" s="3">
        <f t="shared" si="0"/>
        <v>0</v>
      </c>
      <c r="K51" s="4">
        <f>YEAR(BaseDD[[#This Row],[Date]])</f>
        <v>2024</v>
      </c>
      <c r="L51" s="4">
        <f>MONTH(BaseDD[[#This Row],[Date]])</f>
        <v>7</v>
      </c>
      <c r="M51" s="3" t="str">
        <f>PROPER(TEXT(BaseDD[[#This Row],[Date]],"mmm"))</f>
        <v>Juil</v>
      </c>
    </row>
    <row r="52" spans="1:13" x14ac:dyDescent="0.3">
      <c r="A52" t="s">
        <v>67</v>
      </c>
      <c r="B52" t="s">
        <v>19</v>
      </c>
      <c r="C52" t="s">
        <v>20</v>
      </c>
      <c r="D52" s="1">
        <v>45482</v>
      </c>
      <c r="E52" s="2">
        <v>-27</v>
      </c>
      <c r="F52" s="2">
        <f>IF(BaseDD[[#This Row],[Opération]]="Offre acceptée",-IF(BaseDD[[#This Row],[Montant]]&gt;=0,0,BaseDD[[#This Row],[Montant]]),)</f>
        <v>27</v>
      </c>
      <c r="J52" s="3">
        <f t="shared" si="0"/>
        <v>0</v>
      </c>
      <c r="K52" s="4">
        <f>YEAR(BaseDD[[#This Row],[Date]])</f>
        <v>2024</v>
      </c>
      <c r="L52" s="4">
        <f>MONTH(BaseDD[[#This Row],[Date]])</f>
        <v>7</v>
      </c>
      <c r="M52" s="3" t="str">
        <f>PROPER(TEXT(BaseDD[[#This Row],[Date]],"mmm"))</f>
        <v>Juil</v>
      </c>
    </row>
    <row r="53" spans="1:13" x14ac:dyDescent="0.3">
      <c r="A53" t="s">
        <v>69</v>
      </c>
      <c r="D53" s="1">
        <v>45480</v>
      </c>
      <c r="E53" s="2">
        <v>20</v>
      </c>
      <c r="F53" s="2">
        <f>IF(BaseDD[[#This Row],[Opération]]="Offre acceptée",-IF(BaseDD[[#This Row],[Montant]]&gt;=0,0,BaseDD[[#This Row],[Montant]]),)</f>
        <v>0</v>
      </c>
      <c r="J53" s="3">
        <f t="shared" si="0"/>
        <v>0</v>
      </c>
      <c r="K53" s="4">
        <f>YEAR(BaseDD[[#This Row],[Date]])</f>
        <v>2024</v>
      </c>
      <c r="L53" s="4">
        <f>MONTH(BaseDD[[#This Row],[Date]])</f>
        <v>7</v>
      </c>
      <c r="M53" s="3" t="str">
        <f>PROPER(TEXT(BaseDD[[#This Row],[Date]],"mmm"))</f>
        <v>Juil</v>
      </c>
    </row>
    <row r="54" spans="1:13" x14ac:dyDescent="0.3">
      <c r="A54" t="s">
        <v>3</v>
      </c>
      <c r="B54" t="s">
        <v>4</v>
      </c>
      <c r="C54" t="s">
        <v>5</v>
      </c>
      <c r="D54" s="1">
        <v>45480</v>
      </c>
      <c r="E54" s="2">
        <v>0.39</v>
      </c>
      <c r="F54" s="2">
        <f>IF(BaseDD[[#This Row],[Opération]]="Offre acceptée",-IF(BaseDD[[#This Row],[Montant]]&gt;=0,0,BaseDD[[#This Row],[Montant]]),)</f>
        <v>0</v>
      </c>
      <c r="G54" s="2">
        <v>0</v>
      </c>
      <c r="H54" s="2">
        <v>0.56000000000000005</v>
      </c>
      <c r="I54" s="2">
        <v>0.17</v>
      </c>
      <c r="J54" s="3">
        <f t="shared" si="0"/>
        <v>0.39</v>
      </c>
      <c r="K54" s="4">
        <f>YEAR(BaseDD[[#This Row],[Date]])</f>
        <v>2024</v>
      </c>
      <c r="L54" s="4">
        <f>MONTH(BaseDD[[#This Row],[Date]])</f>
        <v>7</v>
      </c>
      <c r="M54" s="3" t="str">
        <f>PROPER(TEXT(BaseDD[[#This Row],[Date]],"mmm"))</f>
        <v>Juil</v>
      </c>
    </row>
    <row r="55" spans="1:13" x14ac:dyDescent="0.3">
      <c r="A55" t="s">
        <v>3</v>
      </c>
      <c r="B55" t="s">
        <v>8</v>
      </c>
      <c r="C55" t="s">
        <v>9</v>
      </c>
      <c r="D55" s="1">
        <v>45480</v>
      </c>
      <c r="E55" s="2">
        <v>0.32</v>
      </c>
      <c r="F55" s="2">
        <f>IF(BaseDD[[#This Row],[Opération]]="Offre acceptée",-IF(BaseDD[[#This Row],[Montant]]&gt;=0,0,BaseDD[[#This Row],[Montant]]),)</f>
        <v>0</v>
      </c>
      <c r="G55" s="2">
        <v>0</v>
      </c>
      <c r="H55" s="2">
        <v>0.46</v>
      </c>
      <c r="I55" s="2">
        <v>0.14000000000000001</v>
      </c>
      <c r="J55" s="3">
        <f t="shared" si="0"/>
        <v>0.32</v>
      </c>
      <c r="K55" s="4">
        <f>YEAR(BaseDD[[#This Row],[Date]])</f>
        <v>2024</v>
      </c>
      <c r="L55" s="4">
        <f>MONTH(BaseDD[[#This Row],[Date]])</f>
        <v>7</v>
      </c>
      <c r="M55" s="3" t="str">
        <f>PROPER(TEXT(BaseDD[[#This Row],[Date]],"mmm"))</f>
        <v>Juil</v>
      </c>
    </row>
    <row r="56" spans="1:13" x14ac:dyDescent="0.3">
      <c r="A56" t="s">
        <v>3</v>
      </c>
      <c r="B56" t="s">
        <v>10</v>
      </c>
      <c r="C56" t="s">
        <v>11</v>
      </c>
      <c r="D56" s="1">
        <v>45480</v>
      </c>
      <c r="E56" s="2">
        <v>0.11</v>
      </c>
      <c r="F56" s="2">
        <f>IF(BaseDD[[#This Row],[Opération]]="Offre acceptée",-IF(BaseDD[[#This Row],[Montant]]&gt;=0,0,BaseDD[[#This Row],[Montant]]),)</f>
        <v>0</v>
      </c>
      <c r="G56" s="2">
        <v>0</v>
      </c>
      <c r="H56" s="2">
        <v>0.16</v>
      </c>
      <c r="I56" s="2">
        <v>0.05</v>
      </c>
      <c r="J56" s="3">
        <f t="shared" si="0"/>
        <v>0.11</v>
      </c>
      <c r="K56" s="4">
        <f>YEAR(BaseDD[[#This Row],[Date]])</f>
        <v>2024</v>
      </c>
      <c r="L56" s="4">
        <f>MONTH(BaseDD[[#This Row],[Date]])</f>
        <v>7</v>
      </c>
      <c r="M56" s="3" t="str">
        <f>PROPER(TEXT(BaseDD[[#This Row],[Date]],"mmm"))</f>
        <v>Juil</v>
      </c>
    </row>
    <row r="57" spans="1:13" x14ac:dyDescent="0.3">
      <c r="A57" t="s">
        <v>3</v>
      </c>
      <c r="B57" t="s">
        <v>13</v>
      </c>
      <c r="C57" t="s">
        <v>14</v>
      </c>
      <c r="D57" s="1">
        <v>45480</v>
      </c>
      <c r="E57" s="2">
        <v>3.57</v>
      </c>
      <c r="F57" s="2">
        <f>IF(BaseDD[[#This Row],[Opération]]="Offre acceptée",-IF(BaseDD[[#This Row],[Montant]]&gt;=0,0,BaseDD[[#This Row],[Montant]]),)</f>
        <v>0</v>
      </c>
      <c r="G57" s="2">
        <v>0</v>
      </c>
      <c r="H57" s="2">
        <v>5.0999999999999996</v>
      </c>
      <c r="I57" s="2">
        <v>1.53</v>
      </c>
      <c r="J57" s="3">
        <f t="shared" si="0"/>
        <v>3.5699999999999994</v>
      </c>
      <c r="K57" s="4">
        <f>YEAR(BaseDD[[#This Row],[Date]])</f>
        <v>2024</v>
      </c>
      <c r="L57" s="4">
        <f>MONTH(BaseDD[[#This Row],[Date]])</f>
        <v>7</v>
      </c>
      <c r="M57" s="3" t="str">
        <f>PROPER(TEXT(BaseDD[[#This Row],[Date]],"mmm"))</f>
        <v>Juil</v>
      </c>
    </row>
    <row r="58" spans="1:13" x14ac:dyDescent="0.3">
      <c r="A58" t="s">
        <v>3</v>
      </c>
      <c r="B58" t="s">
        <v>17</v>
      </c>
      <c r="C58" t="s">
        <v>18</v>
      </c>
      <c r="D58" s="1">
        <v>45480</v>
      </c>
      <c r="E58" s="2">
        <v>0.32</v>
      </c>
      <c r="F58" s="2">
        <f>IF(BaseDD[[#This Row],[Opération]]="Offre acceptée",-IF(BaseDD[[#This Row],[Montant]]&gt;=0,0,BaseDD[[#This Row],[Montant]]),)</f>
        <v>0</v>
      </c>
      <c r="G58" s="2">
        <v>0</v>
      </c>
      <c r="H58" s="2">
        <v>0.46</v>
      </c>
      <c r="I58" s="2">
        <v>0.14000000000000001</v>
      </c>
      <c r="J58" s="3">
        <f t="shared" si="0"/>
        <v>0.32</v>
      </c>
      <c r="K58" s="4">
        <f>YEAR(BaseDD[[#This Row],[Date]])</f>
        <v>2024</v>
      </c>
      <c r="L58" s="4">
        <f>MONTH(BaseDD[[#This Row],[Date]])</f>
        <v>7</v>
      </c>
      <c r="M58" s="3" t="str">
        <f>PROPER(TEXT(BaseDD[[#This Row],[Date]],"mmm"))</f>
        <v>Juil</v>
      </c>
    </row>
    <row r="59" spans="1:13" x14ac:dyDescent="0.3">
      <c r="A59" t="s">
        <v>3</v>
      </c>
      <c r="B59" t="s">
        <v>25</v>
      </c>
      <c r="C59" t="s">
        <v>26</v>
      </c>
      <c r="D59" s="1">
        <v>45480</v>
      </c>
      <c r="E59" s="2">
        <v>0.35</v>
      </c>
      <c r="F59" s="2">
        <f>IF(BaseDD[[#This Row],[Opération]]="Offre acceptée",-IF(BaseDD[[#This Row],[Montant]]&gt;=0,0,BaseDD[[#This Row],[Montant]]),)</f>
        <v>0</v>
      </c>
      <c r="G59" s="2">
        <v>0</v>
      </c>
      <c r="H59" s="2">
        <v>0.5</v>
      </c>
      <c r="I59" s="2">
        <v>0.15</v>
      </c>
      <c r="J59" s="3">
        <f t="shared" si="0"/>
        <v>0.35</v>
      </c>
      <c r="K59" s="4">
        <f>YEAR(BaseDD[[#This Row],[Date]])</f>
        <v>2024</v>
      </c>
      <c r="L59" s="4">
        <f>MONTH(BaseDD[[#This Row],[Date]])</f>
        <v>7</v>
      </c>
      <c r="M59" s="3" t="str">
        <f>PROPER(TEXT(BaseDD[[#This Row],[Date]],"mmm"))</f>
        <v>Juil</v>
      </c>
    </row>
    <row r="60" spans="1:13" x14ac:dyDescent="0.3">
      <c r="A60" t="s">
        <v>3</v>
      </c>
      <c r="B60" t="s">
        <v>27</v>
      </c>
      <c r="C60" t="s">
        <v>28</v>
      </c>
      <c r="D60" s="1">
        <v>45480</v>
      </c>
      <c r="E60" s="2">
        <v>0.53</v>
      </c>
      <c r="F60" s="2">
        <f>IF(BaseDD[[#This Row],[Opération]]="Offre acceptée",-IF(BaseDD[[#This Row],[Montant]]&gt;=0,0,BaseDD[[#This Row],[Montant]]),)</f>
        <v>0</v>
      </c>
      <c r="G60" s="2">
        <v>0</v>
      </c>
      <c r="H60" s="2">
        <v>0.76</v>
      </c>
      <c r="I60" s="2">
        <v>0.23</v>
      </c>
      <c r="J60" s="3">
        <f t="shared" si="0"/>
        <v>0.53</v>
      </c>
      <c r="K60" s="4">
        <f>YEAR(BaseDD[[#This Row],[Date]])</f>
        <v>2024</v>
      </c>
      <c r="L60" s="4">
        <f>MONTH(BaseDD[[#This Row],[Date]])</f>
        <v>7</v>
      </c>
      <c r="M60" s="3" t="str">
        <f>PROPER(TEXT(BaseDD[[#This Row],[Date]],"mmm"))</f>
        <v>Juil</v>
      </c>
    </row>
    <row r="61" spans="1:13" x14ac:dyDescent="0.3">
      <c r="A61" t="s">
        <v>3</v>
      </c>
      <c r="B61" t="s">
        <v>39</v>
      </c>
      <c r="C61" t="s">
        <v>40</v>
      </c>
      <c r="D61" s="1">
        <v>45479</v>
      </c>
      <c r="E61" s="2">
        <v>0.65</v>
      </c>
      <c r="F61" s="2">
        <f>IF(BaseDD[[#This Row],[Opération]]="Offre acceptée",-IF(BaseDD[[#This Row],[Montant]]&gt;=0,0,BaseDD[[#This Row],[Montant]]),)</f>
        <v>0</v>
      </c>
      <c r="G61" s="2">
        <v>0</v>
      </c>
      <c r="H61" s="2">
        <v>0.93</v>
      </c>
      <c r="I61" s="2">
        <v>0.28000000000000003</v>
      </c>
      <c r="J61" s="3">
        <f t="shared" si="0"/>
        <v>0.65</v>
      </c>
      <c r="K61" s="4">
        <f>YEAR(BaseDD[[#This Row],[Date]])</f>
        <v>2024</v>
      </c>
      <c r="L61" s="4">
        <f>MONTH(BaseDD[[#This Row],[Date]])</f>
        <v>7</v>
      </c>
      <c r="M61" s="3" t="str">
        <f>PROPER(TEXT(BaseDD[[#This Row],[Date]],"mmm"))</f>
        <v>Juil</v>
      </c>
    </row>
    <row r="62" spans="1:13" x14ac:dyDescent="0.3">
      <c r="A62" t="s">
        <v>3</v>
      </c>
      <c r="B62" t="s">
        <v>41</v>
      </c>
      <c r="C62" t="s">
        <v>42</v>
      </c>
      <c r="D62" s="1">
        <v>45479</v>
      </c>
      <c r="E62" s="2">
        <v>0.35</v>
      </c>
      <c r="F62" s="2">
        <f>IF(BaseDD[[#This Row],[Opération]]="Offre acceptée",-IF(BaseDD[[#This Row],[Montant]]&gt;=0,0,BaseDD[[#This Row],[Montant]]),)</f>
        <v>0</v>
      </c>
      <c r="G62" s="2">
        <v>0</v>
      </c>
      <c r="H62" s="2">
        <v>0.5</v>
      </c>
      <c r="I62" s="2">
        <v>0.15</v>
      </c>
      <c r="J62" s="3">
        <f t="shared" si="0"/>
        <v>0.35</v>
      </c>
      <c r="K62" s="4">
        <f>YEAR(BaseDD[[#This Row],[Date]])</f>
        <v>2024</v>
      </c>
      <c r="L62" s="4">
        <f>MONTH(BaseDD[[#This Row],[Date]])</f>
        <v>7</v>
      </c>
      <c r="M62" s="3" t="str">
        <f>PROPER(TEXT(BaseDD[[#This Row],[Date]],"mmm"))</f>
        <v>Juil</v>
      </c>
    </row>
    <row r="63" spans="1:13" x14ac:dyDescent="0.3">
      <c r="A63" t="s">
        <v>3</v>
      </c>
      <c r="B63" t="s">
        <v>43</v>
      </c>
      <c r="C63" t="s">
        <v>44</v>
      </c>
      <c r="D63" s="1">
        <v>45479</v>
      </c>
      <c r="E63" s="2">
        <v>0.71</v>
      </c>
      <c r="F63" s="2">
        <f>IF(BaseDD[[#This Row],[Opération]]="Offre acceptée",-IF(BaseDD[[#This Row],[Montant]]&gt;=0,0,BaseDD[[#This Row],[Montant]]),)</f>
        <v>0</v>
      </c>
      <c r="G63" s="2">
        <v>0</v>
      </c>
      <c r="H63" s="2">
        <v>1.01</v>
      </c>
      <c r="I63" s="2">
        <v>0.3</v>
      </c>
      <c r="J63" s="3">
        <f t="shared" si="0"/>
        <v>0.71</v>
      </c>
      <c r="K63" s="4">
        <f>YEAR(BaseDD[[#This Row],[Date]])</f>
        <v>2024</v>
      </c>
      <c r="L63" s="4">
        <f>MONTH(BaseDD[[#This Row],[Date]])</f>
        <v>7</v>
      </c>
      <c r="M63" s="3" t="str">
        <f>PROPER(TEXT(BaseDD[[#This Row],[Date]],"mmm"))</f>
        <v>Juil</v>
      </c>
    </row>
    <row r="64" spans="1:13" x14ac:dyDescent="0.3">
      <c r="A64" t="s">
        <v>3</v>
      </c>
      <c r="B64" t="s">
        <v>45</v>
      </c>
      <c r="C64" t="s">
        <v>46</v>
      </c>
      <c r="D64" s="1">
        <v>45479</v>
      </c>
      <c r="E64" s="2">
        <v>0.34</v>
      </c>
      <c r="F64" s="2">
        <f>IF(BaseDD[[#This Row],[Opération]]="Offre acceptée",-IF(BaseDD[[#This Row],[Montant]]&gt;=0,0,BaseDD[[#This Row],[Montant]]),)</f>
        <v>0</v>
      </c>
      <c r="G64" s="2">
        <v>0</v>
      </c>
      <c r="H64" s="2">
        <v>0.48</v>
      </c>
      <c r="I64" s="2">
        <v>0.14000000000000001</v>
      </c>
      <c r="J64" s="3">
        <f t="shared" si="0"/>
        <v>0.33999999999999997</v>
      </c>
      <c r="K64" s="4">
        <f>YEAR(BaseDD[[#This Row],[Date]])</f>
        <v>2024</v>
      </c>
      <c r="L64" s="4">
        <f>MONTH(BaseDD[[#This Row],[Date]])</f>
        <v>7</v>
      </c>
      <c r="M64" s="3" t="str">
        <f>PROPER(TEXT(BaseDD[[#This Row],[Date]],"mmm"))</f>
        <v>Juil</v>
      </c>
    </row>
    <row r="65" spans="1:13" x14ac:dyDescent="0.3">
      <c r="A65" t="s">
        <v>67</v>
      </c>
      <c r="B65" t="s">
        <v>10</v>
      </c>
      <c r="C65" t="s">
        <v>11</v>
      </c>
      <c r="D65" s="1">
        <v>45450</v>
      </c>
      <c r="E65" s="2">
        <v>-22</v>
      </c>
      <c r="F65" s="2">
        <f>IF(BaseDD[[#This Row],[Opération]]="Offre acceptée",-IF(BaseDD[[#This Row],[Montant]]&gt;=0,0,BaseDD[[#This Row],[Montant]]),)</f>
        <v>22</v>
      </c>
      <c r="J65" s="3">
        <f t="shared" si="0"/>
        <v>0</v>
      </c>
      <c r="K65" s="4">
        <f>YEAR(BaseDD[[#This Row],[Date]])</f>
        <v>2024</v>
      </c>
      <c r="L65" s="4">
        <f>MONTH(BaseDD[[#This Row],[Date]])</f>
        <v>6</v>
      </c>
      <c r="M65" s="3" t="str">
        <f>PROPER(TEXT(BaseDD[[#This Row],[Date]],"mmm"))</f>
        <v>Juin</v>
      </c>
    </row>
    <row r="66" spans="1:13" x14ac:dyDescent="0.3">
      <c r="A66" t="s">
        <v>69</v>
      </c>
      <c r="D66" s="1">
        <v>45450</v>
      </c>
      <c r="E66" s="2">
        <v>20</v>
      </c>
      <c r="F66" s="2">
        <f>IF(BaseDD[[#This Row],[Opération]]="Offre acceptée",-IF(BaseDD[[#This Row],[Montant]]&gt;=0,0,BaseDD[[#This Row],[Montant]]),)</f>
        <v>0</v>
      </c>
      <c r="J66" s="3">
        <f t="shared" si="0"/>
        <v>0</v>
      </c>
      <c r="K66" s="4">
        <f>YEAR(BaseDD[[#This Row],[Date]])</f>
        <v>2024</v>
      </c>
      <c r="L66" s="4">
        <f>MONTH(BaseDD[[#This Row],[Date]])</f>
        <v>6</v>
      </c>
      <c r="M66" s="3" t="str">
        <f>PROPER(TEXT(BaseDD[[#This Row],[Date]],"mmm"))</f>
        <v>Juin</v>
      </c>
    </row>
    <row r="67" spans="1:13" x14ac:dyDescent="0.3">
      <c r="A67" t="s">
        <v>3</v>
      </c>
      <c r="B67" t="s">
        <v>13</v>
      </c>
      <c r="C67" t="s">
        <v>14</v>
      </c>
      <c r="D67" s="1">
        <v>45450</v>
      </c>
      <c r="E67" s="2">
        <v>0.34</v>
      </c>
      <c r="F67" s="2">
        <f>IF(BaseDD[[#This Row],[Opération]]="Offre acceptée",-IF(BaseDD[[#This Row],[Montant]]&gt;=0,0,BaseDD[[#This Row],[Montant]]),)</f>
        <v>0</v>
      </c>
      <c r="G67" s="2">
        <v>0</v>
      </c>
      <c r="H67" s="2">
        <v>0.49</v>
      </c>
      <c r="I67" s="2">
        <v>0.15</v>
      </c>
      <c r="J67" s="3">
        <f t="shared" ref="J67:J91" si="1">SUM(H67-I67)</f>
        <v>0.33999999999999997</v>
      </c>
      <c r="K67" s="4">
        <f>YEAR(BaseDD[[#This Row],[Date]])</f>
        <v>2024</v>
      </c>
      <c r="L67" s="4">
        <f>MONTH(BaseDD[[#This Row],[Date]])</f>
        <v>6</v>
      </c>
      <c r="M67" s="3" t="str">
        <f>PROPER(TEXT(BaseDD[[#This Row],[Date]],"mmm"))</f>
        <v>Juin</v>
      </c>
    </row>
    <row r="68" spans="1:13" x14ac:dyDescent="0.3">
      <c r="A68" t="s">
        <v>3</v>
      </c>
      <c r="B68" t="s">
        <v>17</v>
      </c>
      <c r="C68" t="s">
        <v>18</v>
      </c>
      <c r="D68" s="1">
        <v>45450</v>
      </c>
      <c r="E68" s="2">
        <v>0.15</v>
      </c>
      <c r="F68" s="2">
        <f>IF(BaseDD[[#This Row],[Opération]]="Offre acceptée",-IF(BaseDD[[#This Row],[Montant]]&gt;=0,0,BaseDD[[#This Row],[Montant]]),)</f>
        <v>0</v>
      </c>
      <c r="G68" s="2">
        <v>0</v>
      </c>
      <c r="H68" s="2">
        <v>0.21</v>
      </c>
      <c r="I68" s="2">
        <v>0.06</v>
      </c>
      <c r="J68" s="3">
        <f t="shared" si="1"/>
        <v>0.15</v>
      </c>
      <c r="K68" s="4">
        <f>YEAR(BaseDD[[#This Row],[Date]])</f>
        <v>2024</v>
      </c>
      <c r="L68" s="4">
        <f>MONTH(BaseDD[[#This Row],[Date]])</f>
        <v>6</v>
      </c>
      <c r="M68" s="3" t="str">
        <f>PROPER(TEXT(BaseDD[[#This Row],[Date]],"mmm"))</f>
        <v>Juin</v>
      </c>
    </row>
    <row r="69" spans="1:13" x14ac:dyDescent="0.3">
      <c r="A69" t="s">
        <v>3</v>
      </c>
      <c r="B69" t="s">
        <v>25</v>
      </c>
      <c r="C69" t="s">
        <v>26</v>
      </c>
      <c r="D69" s="1">
        <v>45450</v>
      </c>
      <c r="E69" s="2">
        <v>0.16</v>
      </c>
      <c r="F69" s="2">
        <f>IF(BaseDD[[#This Row],[Opération]]="Offre acceptée",-IF(BaseDD[[#This Row],[Montant]]&gt;=0,0,BaseDD[[#This Row],[Montant]]),)</f>
        <v>0</v>
      </c>
      <c r="G69" s="2">
        <v>0</v>
      </c>
      <c r="H69" s="2">
        <v>0.23</v>
      </c>
      <c r="I69" s="2">
        <v>7.0000000000000007E-2</v>
      </c>
      <c r="J69" s="3">
        <f t="shared" si="1"/>
        <v>0.16</v>
      </c>
      <c r="K69" s="4">
        <f>YEAR(BaseDD[[#This Row],[Date]])</f>
        <v>2024</v>
      </c>
      <c r="L69" s="4">
        <f>MONTH(BaseDD[[#This Row],[Date]])</f>
        <v>6</v>
      </c>
      <c r="M69" s="3" t="str">
        <f>PROPER(TEXT(BaseDD[[#This Row],[Date]],"mmm"))</f>
        <v>Juin</v>
      </c>
    </row>
    <row r="70" spans="1:13" x14ac:dyDescent="0.3">
      <c r="A70" t="s">
        <v>3</v>
      </c>
      <c r="B70" t="s">
        <v>27</v>
      </c>
      <c r="C70" t="s">
        <v>28</v>
      </c>
      <c r="D70" s="1">
        <v>45449</v>
      </c>
      <c r="E70" s="2">
        <v>7.0000000000000007E-2</v>
      </c>
      <c r="F70" s="2">
        <f>IF(BaseDD[[#This Row],[Opération]]="Offre acceptée",-IF(BaseDD[[#This Row],[Montant]]&gt;=0,0,BaseDD[[#This Row],[Montant]]),)</f>
        <v>0</v>
      </c>
      <c r="G70" s="2">
        <v>0</v>
      </c>
      <c r="H70" s="2">
        <v>0.1</v>
      </c>
      <c r="I70" s="2">
        <v>0.03</v>
      </c>
      <c r="J70" s="3">
        <f t="shared" si="1"/>
        <v>7.0000000000000007E-2</v>
      </c>
      <c r="K70" s="4">
        <f>YEAR(BaseDD[[#This Row],[Date]])</f>
        <v>2024</v>
      </c>
      <c r="L70" s="4">
        <f>MONTH(BaseDD[[#This Row],[Date]])</f>
        <v>6</v>
      </c>
      <c r="M70" s="3" t="str">
        <f>PROPER(TEXT(BaseDD[[#This Row],[Date]],"mmm"))</f>
        <v>Juin</v>
      </c>
    </row>
    <row r="71" spans="1:13" x14ac:dyDescent="0.3">
      <c r="A71" t="s">
        <v>3</v>
      </c>
      <c r="B71" t="s">
        <v>39</v>
      </c>
      <c r="C71" t="s">
        <v>40</v>
      </c>
      <c r="D71" s="1">
        <v>45449</v>
      </c>
      <c r="E71" s="2">
        <v>0.36</v>
      </c>
      <c r="F71" s="2">
        <f>IF(BaseDD[[#This Row],[Opération]]="Offre acceptée",-IF(BaseDD[[#This Row],[Montant]]&gt;=0,0,BaseDD[[#This Row],[Montant]]),)</f>
        <v>0</v>
      </c>
      <c r="G71" s="2">
        <v>0</v>
      </c>
      <c r="H71" s="2">
        <v>0.51</v>
      </c>
      <c r="I71" s="2">
        <v>0.15</v>
      </c>
      <c r="J71" s="3">
        <f t="shared" si="1"/>
        <v>0.36</v>
      </c>
      <c r="K71" s="4">
        <f>YEAR(BaseDD[[#This Row],[Date]])</f>
        <v>2024</v>
      </c>
      <c r="L71" s="4">
        <f>MONTH(BaseDD[[#This Row],[Date]])</f>
        <v>6</v>
      </c>
      <c r="M71" s="3" t="str">
        <f>PROPER(TEXT(BaseDD[[#This Row],[Date]],"mmm"))</f>
        <v>Juin</v>
      </c>
    </row>
    <row r="72" spans="1:13" x14ac:dyDescent="0.3">
      <c r="A72" t="s">
        <v>3</v>
      </c>
      <c r="B72" t="s">
        <v>41</v>
      </c>
      <c r="C72" t="s">
        <v>42</v>
      </c>
      <c r="D72" s="1">
        <v>45449</v>
      </c>
      <c r="E72" s="2">
        <v>0.16</v>
      </c>
      <c r="F72" s="2">
        <f>IF(BaseDD[[#This Row],[Opération]]="Offre acceptée",-IF(BaseDD[[#This Row],[Montant]]&gt;=0,0,BaseDD[[#This Row],[Montant]]),)</f>
        <v>0</v>
      </c>
      <c r="G72" s="2">
        <v>0</v>
      </c>
      <c r="H72" s="2">
        <v>0.23</v>
      </c>
      <c r="I72" s="2">
        <v>7.0000000000000007E-2</v>
      </c>
      <c r="J72" s="3">
        <f t="shared" si="1"/>
        <v>0.16</v>
      </c>
      <c r="K72" s="4">
        <f>YEAR(BaseDD[[#This Row],[Date]])</f>
        <v>2024</v>
      </c>
      <c r="L72" s="4">
        <f>MONTH(BaseDD[[#This Row],[Date]])</f>
        <v>6</v>
      </c>
      <c r="M72" s="3" t="str">
        <f>PROPER(TEXT(BaseDD[[#This Row],[Date]],"mmm"))</f>
        <v>Juin</v>
      </c>
    </row>
    <row r="73" spans="1:13" x14ac:dyDescent="0.3">
      <c r="A73" t="s">
        <v>3</v>
      </c>
      <c r="B73" t="s">
        <v>43</v>
      </c>
      <c r="C73" t="s">
        <v>44</v>
      </c>
      <c r="D73" s="1">
        <v>45449</v>
      </c>
      <c r="E73" s="2">
        <v>0.38</v>
      </c>
      <c r="F73" s="2">
        <f>IF(BaseDD[[#This Row],[Opération]]="Offre acceptée",-IF(BaseDD[[#This Row],[Montant]]&gt;=0,0,BaseDD[[#This Row],[Montant]]),)</f>
        <v>0</v>
      </c>
      <c r="G73" s="2">
        <v>0</v>
      </c>
      <c r="H73" s="2">
        <v>0.55000000000000004</v>
      </c>
      <c r="I73" s="2">
        <v>0.17</v>
      </c>
      <c r="J73" s="3">
        <f t="shared" si="1"/>
        <v>0.38</v>
      </c>
      <c r="K73" s="4">
        <f>YEAR(BaseDD[[#This Row],[Date]])</f>
        <v>2024</v>
      </c>
      <c r="L73" s="4">
        <f>MONTH(BaseDD[[#This Row],[Date]])</f>
        <v>6</v>
      </c>
      <c r="M73" s="3" t="str">
        <f>PROPER(TEXT(BaseDD[[#This Row],[Date]],"mmm"))</f>
        <v>Juin</v>
      </c>
    </row>
    <row r="74" spans="1:13" x14ac:dyDescent="0.3">
      <c r="A74" t="s">
        <v>3</v>
      </c>
      <c r="B74" t="s">
        <v>45</v>
      </c>
      <c r="C74" t="s">
        <v>46</v>
      </c>
      <c r="D74" s="1">
        <v>45449</v>
      </c>
      <c r="E74" s="2">
        <v>0.18</v>
      </c>
      <c r="F74" s="2">
        <f>IF(BaseDD[[#This Row],[Opération]]="Offre acceptée",-IF(BaseDD[[#This Row],[Montant]]&gt;=0,0,BaseDD[[#This Row],[Montant]]),)</f>
        <v>0</v>
      </c>
      <c r="G74" s="2">
        <v>0</v>
      </c>
      <c r="H74" s="2">
        <v>0.26</v>
      </c>
      <c r="I74" s="2">
        <v>0.08</v>
      </c>
      <c r="J74" s="3">
        <f t="shared" si="1"/>
        <v>0.18</v>
      </c>
      <c r="K74" s="4">
        <f>YEAR(BaseDD[[#This Row],[Date]])</f>
        <v>2024</v>
      </c>
      <c r="L74" s="4">
        <f>MONTH(BaseDD[[#This Row],[Date]])</f>
        <v>6</v>
      </c>
      <c r="M74" s="3" t="str">
        <f>PROPER(TEXT(BaseDD[[#This Row],[Date]],"mmm"))</f>
        <v>Juin</v>
      </c>
    </row>
    <row r="75" spans="1:13" x14ac:dyDescent="0.3">
      <c r="A75" t="s">
        <v>3</v>
      </c>
      <c r="B75" t="s">
        <v>4</v>
      </c>
      <c r="C75" t="s">
        <v>5</v>
      </c>
      <c r="D75" s="1">
        <v>45449</v>
      </c>
      <c r="E75" s="2">
        <v>0.17</v>
      </c>
      <c r="F75" s="2">
        <f>IF(BaseDD[[#This Row],[Opération]]="Offre acceptée",-IF(BaseDD[[#This Row],[Montant]]&gt;=0,0,BaseDD[[#This Row],[Montant]]),)</f>
        <v>0</v>
      </c>
      <c r="G75" s="2">
        <v>0</v>
      </c>
      <c r="H75" s="2">
        <v>0.25</v>
      </c>
      <c r="I75" s="2">
        <v>0.08</v>
      </c>
      <c r="J75" s="3">
        <f t="shared" si="1"/>
        <v>0.16999999999999998</v>
      </c>
      <c r="K75" s="4">
        <f>YEAR(BaseDD[[#This Row],[Date]])</f>
        <v>2024</v>
      </c>
      <c r="L75" s="4">
        <f>MONTH(BaseDD[[#This Row],[Date]])</f>
        <v>6</v>
      </c>
      <c r="M75" s="3" t="str">
        <f>PROPER(TEXT(BaseDD[[#This Row],[Date]],"mmm"))</f>
        <v>Juin</v>
      </c>
    </row>
    <row r="76" spans="1:13" x14ac:dyDescent="0.3">
      <c r="A76" t="s">
        <v>3</v>
      </c>
      <c r="B76" t="s">
        <v>8</v>
      </c>
      <c r="C76" t="s">
        <v>9</v>
      </c>
      <c r="D76" s="1">
        <v>45449</v>
      </c>
      <c r="E76" s="2">
        <v>0.03</v>
      </c>
      <c r="F76" s="2">
        <f>IF(BaseDD[[#This Row],[Opération]]="Offre acceptée",-IF(BaseDD[[#This Row],[Montant]]&gt;=0,0,BaseDD[[#This Row],[Montant]]),)</f>
        <v>0</v>
      </c>
      <c r="G76" s="2">
        <v>0</v>
      </c>
      <c r="H76" s="2">
        <v>0.04</v>
      </c>
      <c r="I76" s="2">
        <v>0.01</v>
      </c>
      <c r="J76" s="3">
        <f t="shared" si="1"/>
        <v>0.03</v>
      </c>
      <c r="K76" s="4">
        <f>YEAR(BaseDD[[#This Row],[Date]])</f>
        <v>2024</v>
      </c>
      <c r="L76" s="4">
        <f>MONTH(BaseDD[[#This Row],[Date]])</f>
        <v>6</v>
      </c>
      <c r="M76" s="3" t="str">
        <f>PROPER(TEXT(BaseDD[[#This Row],[Date]],"mmm"))</f>
        <v>Juin</v>
      </c>
    </row>
    <row r="77" spans="1:13" x14ac:dyDescent="0.3">
      <c r="A77" t="s">
        <v>67</v>
      </c>
      <c r="B77" t="s">
        <v>13</v>
      </c>
      <c r="C77" t="s">
        <v>14</v>
      </c>
      <c r="D77" s="1">
        <v>45441</v>
      </c>
      <c r="E77" s="2">
        <v>-600</v>
      </c>
      <c r="F77" s="2">
        <f>IF(BaseDD[[#This Row],[Opération]]="Offre acceptée",-IF(BaseDD[[#This Row],[Montant]]&gt;=0,0,BaseDD[[#This Row],[Montant]]),)</f>
        <v>600</v>
      </c>
      <c r="J77" s="3">
        <f t="shared" si="1"/>
        <v>0</v>
      </c>
      <c r="K77" s="4">
        <f>YEAR(BaseDD[[#This Row],[Date]])</f>
        <v>2024</v>
      </c>
      <c r="L77" s="4">
        <f>MONTH(BaseDD[[#This Row],[Date]])</f>
        <v>5</v>
      </c>
      <c r="M77" s="3" t="str">
        <f>PROPER(TEXT(BaseDD[[#This Row],[Date]],"mmm"))</f>
        <v>Mai</v>
      </c>
    </row>
    <row r="78" spans="1:13" x14ac:dyDescent="0.3">
      <c r="A78" t="s">
        <v>69</v>
      </c>
      <c r="D78" s="1">
        <v>45441</v>
      </c>
      <c r="E78" s="2">
        <v>600</v>
      </c>
      <c r="F78" s="2">
        <f>IF(BaseDD[[#This Row],[Opération]]="Offre acceptée",-IF(BaseDD[[#This Row],[Montant]]&gt;=0,0,BaseDD[[#This Row],[Montant]]),)</f>
        <v>0</v>
      </c>
      <c r="J78" s="3">
        <f t="shared" si="1"/>
        <v>0</v>
      </c>
      <c r="K78" s="4">
        <f>YEAR(BaseDD[[#This Row],[Date]])</f>
        <v>2024</v>
      </c>
      <c r="L78" s="4">
        <f>MONTH(BaseDD[[#This Row],[Date]])</f>
        <v>5</v>
      </c>
      <c r="M78" s="3" t="str">
        <f>PROPER(TEXT(BaseDD[[#This Row],[Date]],"mmm"))</f>
        <v>Mai</v>
      </c>
    </row>
    <row r="79" spans="1:13" x14ac:dyDescent="0.3">
      <c r="A79" t="s">
        <v>67</v>
      </c>
      <c r="B79" t="s">
        <v>27</v>
      </c>
      <c r="C79" t="s">
        <v>28</v>
      </c>
      <c r="D79" s="1">
        <v>45439</v>
      </c>
      <c r="E79" s="2">
        <v>-70</v>
      </c>
      <c r="F79" s="2">
        <f>IF(BaseDD[[#This Row],[Opération]]="Offre acceptée",-IF(BaseDD[[#This Row],[Montant]]&gt;=0,0,BaseDD[[#This Row],[Montant]]),)</f>
        <v>70</v>
      </c>
      <c r="J79" s="3">
        <f t="shared" si="1"/>
        <v>0</v>
      </c>
      <c r="K79" s="4">
        <f>YEAR(BaseDD[[#This Row],[Date]])</f>
        <v>2024</v>
      </c>
      <c r="L79" s="4">
        <f>MONTH(BaseDD[[#This Row],[Date]])</f>
        <v>5</v>
      </c>
      <c r="M79" s="3" t="str">
        <f>PROPER(TEXT(BaseDD[[#This Row],[Date]],"mmm"))</f>
        <v>Mai</v>
      </c>
    </row>
    <row r="80" spans="1:13" x14ac:dyDescent="0.3">
      <c r="A80" t="s">
        <v>69</v>
      </c>
      <c r="D80" s="1">
        <v>45439</v>
      </c>
      <c r="E80" s="2">
        <v>70</v>
      </c>
      <c r="F80" s="2">
        <f>IF(BaseDD[[#This Row],[Opération]]="Offre acceptée",-IF(BaseDD[[#This Row],[Montant]]&gt;=0,0,BaseDD[[#This Row],[Montant]]),)</f>
        <v>0</v>
      </c>
      <c r="J80" s="3">
        <f t="shared" si="1"/>
        <v>0</v>
      </c>
      <c r="K80" s="4">
        <f>YEAR(BaseDD[[#This Row],[Date]])</f>
        <v>2024</v>
      </c>
      <c r="L80" s="4">
        <f>MONTH(BaseDD[[#This Row],[Date]])</f>
        <v>5</v>
      </c>
      <c r="M80" s="3" t="str">
        <f>PROPER(TEXT(BaseDD[[#This Row],[Date]],"mmm"))</f>
        <v>Mai</v>
      </c>
    </row>
    <row r="81" spans="1:13" x14ac:dyDescent="0.3">
      <c r="A81" t="s">
        <v>67</v>
      </c>
      <c r="B81" t="s">
        <v>41</v>
      </c>
      <c r="C81" t="s">
        <v>42</v>
      </c>
      <c r="D81" s="1">
        <v>45430</v>
      </c>
      <c r="E81" s="2">
        <v>-50</v>
      </c>
      <c r="F81" s="2">
        <f>IF(BaseDD[[#This Row],[Opération]]="Offre acceptée",-IF(BaseDD[[#This Row],[Montant]]&gt;=0,0,BaseDD[[#This Row],[Montant]]),)</f>
        <v>50</v>
      </c>
      <c r="J81" s="3">
        <f t="shared" si="1"/>
        <v>0</v>
      </c>
      <c r="K81" s="4">
        <f>YEAR(BaseDD[[#This Row],[Date]])</f>
        <v>2024</v>
      </c>
      <c r="L81" s="4">
        <f>MONTH(BaseDD[[#This Row],[Date]])</f>
        <v>5</v>
      </c>
      <c r="M81" s="3" t="str">
        <f>PROPER(TEXT(BaseDD[[#This Row],[Date]],"mmm"))</f>
        <v>Mai</v>
      </c>
    </row>
    <row r="82" spans="1:13" x14ac:dyDescent="0.3">
      <c r="A82" t="s">
        <v>67</v>
      </c>
      <c r="B82" t="s">
        <v>25</v>
      </c>
      <c r="C82" t="s">
        <v>26</v>
      </c>
      <c r="D82" s="1">
        <v>45430</v>
      </c>
      <c r="E82" s="2">
        <v>-50</v>
      </c>
      <c r="F82" s="2">
        <f>IF(BaseDD[[#This Row],[Opération]]="Offre acceptée",-IF(BaseDD[[#This Row],[Montant]]&gt;=0,0,BaseDD[[#This Row],[Montant]]),)</f>
        <v>50</v>
      </c>
      <c r="J82" s="3">
        <f t="shared" si="1"/>
        <v>0</v>
      </c>
      <c r="K82" s="4">
        <f>YEAR(BaseDD[[#This Row],[Date]])</f>
        <v>2024</v>
      </c>
      <c r="L82" s="4">
        <f>MONTH(BaseDD[[#This Row],[Date]])</f>
        <v>5</v>
      </c>
      <c r="M82" s="3" t="str">
        <f>PROPER(TEXT(BaseDD[[#This Row],[Date]],"mmm"))</f>
        <v>Mai</v>
      </c>
    </row>
    <row r="83" spans="1:13" x14ac:dyDescent="0.3">
      <c r="A83" t="s">
        <v>67</v>
      </c>
      <c r="B83" t="s">
        <v>4</v>
      </c>
      <c r="C83" t="s">
        <v>5</v>
      </c>
      <c r="D83" s="1">
        <v>45430</v>
      </c>
      <c r="E83" s="2">
        <v>-50</v>
      </c>
      <c r="F83" s="2">
        <f>IF(BaseDD[[#This Row],[Opération]]="Offre acceptée",-IF(BaseDD[[#This Row],[Montant]]&gt;=0,0,BaseDD[[#This Row],[Montant]]),)</f>
        <v>50</v>
      </c>
      <c r="J83" s="3">
        <f t="shared" si="1"/>
        <v>0</v>
      </c>
      <c r="K83" s="4">
        <f>YEAR(BaseDD[[#This Row],[Date]])</f>
        <v>2024</v>
      </c>
      <c r="L83" s="4">
        <f>MONTH(BaseDD[[#This Row],[Date]])</f>
        <v>5</v>
      </c>
      <c r="M83" s="3" t="str">
        <f>PROPER(TEXT(BaseDD[[#This Row],[Date]],"mmm"))</f>
        <v>Mai</v>
      </c>
    </row>
    <row r="84" spans="1:13" x14ac:dyDescent="0.3">
      <c r="A84" t="s">
        <v>67</v>
      </c>
      <c r="B84" t="s">
        <v>17</v>
      </c>
      <c r="C84" t="s">
        <v>18</v>
      </c>
      <c r="D84" s="1">
        <v>45430</v>
      </c>
      <c r="E84" s="2">
        <v>-50</v>
      </c>
      <c r="F84" s="2">
        <f>IF(BaseDD[[#This Row],[Opération]]="Offre acceptée",-IF(BaseDD[[#This Row],[Montant]]&gt;=0,0,BaseDD[[#This Row],[Montant]]),)</f>
        <v>50</v>
      </c>
      <c r="J84" s="3">
        <f t="shared" si="1"/>
        <v>0</v>
      </c>
      <c r="K84" s="4">
        <f>YEAR(BaseDD[[#This Row],[Date]])</f>
        <v>2024</v>
      </c>
      <c r="L84" s="4">
        <f>MONTH(BaseDD[[#This Row],[Date]])</f>
        <v>5</v>
      </c>
      <c r="M84" s="3" t="str">
        <f>PROPER(TEXT(BaseDD[[#This Row],[Date]],"mmm"))</f>
        <v>Mai</v>
      </c>
    </row>
    <row r="85" spans="1:13" x14ac:dyDescent="0.3">
      <c r="A85" t="s">
        <v>67</v>
      </c>
      <c r="B85" t="s">
        <v>8</v>
      </c>
      <c r="C85" t="s">
        <v>9</v>
      </c>
      <c r="D85" s="1">
        <v>45430</v>
      </c>
      <c r="E85" s="2">
        <v>-50</v>
      </c>
      <c r="F85" s="2">
        <f>IF(BaseDD[[#This Row],[Opération]]="Offre acceptée",-IF(BaseDD[[#This Row],[Montant]]&gt;=0,0,BaseDD[[#This Row],[Montant]]),)</f>
        <v>50</v>
      </c>
      <c r="J85" s="3">
        <f t="shared" si="1"/>
        <v>0</v>
      </c>
      <c r="K85" s="4">
        <f>YEAR(BaseDD[[#This Row],[Date]])</f>
        <v>2024</v>
      </c>
      <c r="L85" s="4">
        <f>MONTH(BaseDD[[#This Row],[Date]])</f>
        <v>5</v>
      </c>
      <c r="M85" s="3" t="str">
        <f>PROPER(TEXT(BaseDD[[#This Row],[Date]],"mmm"))</f>
        <v>Mai</v>
      </c>
    </row>
    <row r="86" spans="1:13" x14ac:dyDescent="0.3">
      <c r="A86" t="s">
        <v>69</v>
      </c>
      <c r="D86" s="1">
        <v>45430</v>
      </c>
      <c r="E86" s="2">
        <v>250</v>
      </c>
      <c r="F86" s="2">
        <f>IF(BaseDD[[#This Row],[Opération]]="Offre acceptée",-IF(BaseDD[[#This Row],[Montant]]&gt;=0,0,BaseDD[[#This Row],[Montant]]),)</f>
        <v>0</v>
      </c>
      <c r="J86" s="3">
        <f t="shared" si="1"/>
        <v>0</v>
      </c>
      <c r="K86" s="4">
        <f>YEAR(BaseDD[[#This Row],[Date]])</f>
        <v>2024</v>
      </c>
      <c r="L86" s="4">
        <f>MONTH(BaseDD[[#This Row],[Date]])</f>
        <v>5</v>
      </c>
      <c r="M86" s="3" t="str">
        <f>PROPER(TEXT(BaseDD[[#This Row],[Date]],"mmm"))</f>
        <v>Mai</v>
      </c>
    </row>
    <row r="87" spans="1:13" x14ac:dyDescent="0.3">
      <c r="A87" t="s">
        <v>67</v>
      </c>
      <c r="B87" t="s">
        <v>45</v>
      </c>
      <c r="C87" t="s">
        <v>46</v>
      </c>
      <c r="D87" s="1">
        <v>45427</v>
      </c>
      <c r="E87" s="2">
        <v>-50</v>
      </c>
      <c r="F87" s="2">
        <f>IF(BaseDD[[#This Row],[Opération]]="Offre acceptée",-IF(BaseDD[[#This Row],[Montant]]&gt;=0,0,BaseDD[[#This Row],[Montant]]),)</f>
        <v>50</v>
      </c>
      <c r="J87" s="3">
        <f t="shared" si="1"/>
        <v>0</v>
      </c>
      <c r="K87" s="4">
        <f>YEAR(BaseDD[[#This Row],[Date]])</f>
        <v>2024</v>
      </c>
      <c r="L87" s="4">
        <f>MONTH(BaseDD[[#This Row],[Date]])</f>
        <v>5</v>
      </c>
      <c r="M87" s="3" t="str">
        <f>PROPER(TEXT(BaseDD[[#This Row],[Date]],"mmm"))</f>
        <v>Mai</v>
      </c>
    </row>
    <row r="88" spans="1:13" x14ac:dyDescent="0.3">
      <c r="A88" t="s">
        <v>57</v>
      </c>
      <c r="D88" s="1">
        <v>45427</v>
      </c>
      <c r="E88" s="2">
        <v>50</v>
      </c>
      <c r="F88" s="2">
        <f>IF(BaseDD[[#This Row],[Opération]]="Offre acceptée",-IF(BaseDD[[#This Row],[Montant]]&gt;=0,0,BaseDD[[#This Row],[Montant]]),)</f>
        <v>0</v>
      </c>
      <c r="J88" s="3">
        <f t="shared" si="1"/>
        <v>0</v>
      </c>
      <c r="K88" s="4">
        <f>YEAR(BaseDD[[#This Row],[Date]])</f>
        <v>2024</v>
      </c>
      <c r="L88" s="4">
        <f>MONTH(BaseDD[[#This Row],[Date]])</f>
        <v>5</v>
      </c>
      <c r="M88" s="3" t="str">
        <f>PROPER(TEXT(BaseDD[[#This Row],[Date]],"mmm"))</f>
        <v>Mai</v>
      </c>
    </row>
    <row r="89" spans="1:13" x14ac:dyDescent="0.3">
      <c r="A89" t="s">
        <v>67</v>
      </c>
      <c r="B89" t="s">
        <v>43</v>
      </c>
      <c r="C89" t="s">
        <v>44</v>
      </c>
      <c r="D89" s="1">
        <v>45427</v>
      </c>
      <c r="E89" s="2">
        <v>-100</v>
      </c>
      <c r="F89" s="2">
        <f>IF(BaseDD[[#This Row],[Opération]]="Offre acceptée",-IF(BaseDD[[#This Row],[Montant]]&gt;=0,0,BaseDD[[#This Row],[Montant]]),)</f>
        <v>100</v>
      </c>
      <c r="J89" s="3">
        <f t="shared" si="1"/>
        <v>0</v>
      </c>
      <c r="K89" s="4">
        <f>YEAR(BaseDD[[#This Row],[Date]])</f>
        <v>2024</v>
      </c>
      <c r="L89" s="4">
        <f>MONTH(BaseDD[[#This Row],[Date]])</f>
        <v>5</v>
      </c>
      <c r="M89" s="3" t="str">
        <f>PROPER(TEXT(BaseDD[[#This Row],[Date]],"mmm"))</f>
        <v>Mai</v>
      </c>
    </row>
    <row r="90" spans="1:13" x14ac:dyDescent="0.3">
      <c r="A90" t="s">
        <v>67</v>
      </c>
      <c r="B90" t="s">
        <v>39</v>
      </c>
      <c r="C90" t="s">
        <v>40</v>
      </c>
      <c r="D90" s="1">
        <v>45427</v>
      </c>
      <c r="E90" s="2">
        <v>-100</v>
      </c>
      <c r="F90" s="2">
        <f>IF(BaseDD[[#This Row],[Opération]]="Offre acceptée",-IF(BaseDD[[#This Row],[Montant]]&gt;=0,0,BaseDD[[#This Row],[Montant]]),)</f>
        <v>100</v>
      </c>
      <c r="J90" s="3">
        <f t="shared" si="1"/>
        <v>0</v>
      </c>
      <c r="K90" s="4">
        <f>YEAR(BaseDD[[#This Row],[Date]])</f>
        <v>2024</v>
      </c>
      <c r="L90" s="4">
        <f>MONTH(BaseDD[[#This Row],[Date]])</f>
        <v>5</v>
      </c>
      <c r="M90" s="3" t="str">
        <f>PROPER(TEXT(BaseDD[[#This Row],[Date]],"mmm"))</f>
        <v>Mai</v>
      </c>
    </row>
    <row r="91" spans="1:13" x14ac:dyDescent="0.3">
      <c r="A91" t="s">
        <v>69</v>
      </c>
      <c r="D91" s="1">
        <v>45425</v>
      </c>
      <c r="E91" s="2">
        <v>200</v>
      </c>
      <c r="F91" s="2">
        <f>IF(BaseDD[[#This Row],[Opération]]="Offre acceptée",-IF(BaseDD[[#This Row],[Montant]]&gt;=0,0,BaseDD[[#This Row],[Montant]]),)</f>
        <v>0</v>
      </c>
      <c r="J91" s="3">
        <f t="shared" si="1"/>
        <v>0</v>
      </c>
      <c r="K91" s="4">
        <f>YEAR(BaseDD[[#This Row],[Date]])</f>
        <v>2024</v>
      </c>
      <c r="L91" s="4">
        <f>MONTH(BaseDD[[#This Row],[Date]])</f>
        <v>5</v>
      </c>
      <c r="M91" s="3" t="str">
        <f>PROPER(TEXT(BaseDD[[#This Row],[Date]],"mmm"))</f>
        <v>Mai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13875C-73F9-461A-8CFC-F77321E3F718}">
  <dimension ref="A1:Y32"/>
  <sheetViews>
    <sheetView workbookViewId="0">
      <selection activeCell="S10" sqref="S10"/>
    </sheetView>
  </sheetViews>
  <sheetFormatPr baseColWidth="10" defaultRowHeight="14.4" x14ac:dyDescent="0.3"/>
  <cols>
    <col min="1" max="1" width="15.33203125" customWidth="1"/>
    <col min="22" max="22" width="15.33203125" customWidth="1"/>
  </cols>
  <sheetData>
    <row r="1" spans="1:25" x14ac:dyDescent="0.3">
      <c r="P1" t="s">
        <v>64</v>
      </c>
      <c r="Q1">
        <f ca="1">YEAR(M5)</f>
        <v>2024</v>
      </c>
    </row>
    <row r="3" spans="1:25" x14ac:dyDescent="0.3">
      <c r="A3" s="8" t="s">
        <v>71</v>
      </c>
      <c r="N3" t="s">
        <v>75</v>
      </c>
      <c r="W3" s="8" t="s">
        <v>76</v>
      </c>
    </row>
    <row r="4" spans="1:25" x14ac:dyDescent="0.3">
      <c r="A4" s="8" t="s">
        <v>58</v>
      </c>
      <c r="B4" t="s">
        <v>72</v>
      </c>
      <c r="D4" s="8" t="s">
        <v>1</v>
      </c>
      <c r="L4" t="s">
        <v>73</v>
      </c>
      <c r="M4" s="1">
        <f>D5</f>
        <v>45425</v>
      </c>
      <c r="N4">
        <f>SUMIF(BaseDD[Date],"&lt;"&amp;TCD!M4,BaseDD[Montant])</f>
        <v>0</v>
      </c>
      <c r="P4" t="s">
        <v>78</v>
      </c>
      <c r="Q4" t="s">
        <v>79</v>
      </c>
      <c r="R4" t="s">
        <v>65</v>
      </c>
      <c r="S4" t="s">
        <v>63</v>
      </c>
      <c r="T4" t="s">
        <v>80</v>
      </c>
      <c r="V4" s="8" t="s">
        <v>0</v>
      </c>
      <c r="W4" t="s">
        <v>82</v>
      </c>
      <c r="X4" t="s">
        <v>84</v>
      </c>
      <c r="Y4" t="s">
        <v>77</v>
      </c>
    </row>
    <row r="5" spans="1:25" x14ac:dyDescent="0.3">
      <c r="A5" t="s">
        <v>57</v>
      </c>
      <c r="B5" s="9">
        <v>50</v>
      </c>
      <c r="D5" s="1">
        <v>45425</v>
      </c>
      <c r="L5" t="s">
        <v>74</v>
      </c>
      <c r="M5" s="1">
        <f ca="1">EOMONTH(OFFSET(D5,COUNTA(D:D)-2,0),0)</f>
        <v>45565</v>
      </c>
      <c r="N5">
        <f ca="1">SUMIF(BaseDD[Date],"&lt;="&amp;TCD!M5,BaseDD[Montant])</f>
        <v>201.7299999999999</v>
      </c>
      <c r="P5">
        <v>1</v>
      </c>
      <c r="Q5" s="1">
        <f ca="1">EOMONTH(DATE($Q$1,P5,1),0)</f>
        <v>45322</v>
      </c>
      <c r="R5" t="str">
        <f ca="1">PROPER(TEXT(Q5,"mmmm"))</f>
        <v>Janvier</v>
      </c>
      <c r="S5" t="e">
        <f ca="1">IF(IF(Q5&lt;=$M$5,SUMIF(BaseDD[Date],"&lt;="&amp;TCD!Q5,BaseDD[Intérêts net]),#N/A)=0,NA(),IF(Q5&lt;=$M$5,SUMIF(BaseDD[Date],"&lt;="&amp;TCD!Q5,BaseDD[Intérêts net]),#N/A))</f>
        <v>#N/A</v>
      </c>
      <c r="T5" t="e">
        <f ca="1">IF(IF(Q5&lt;=$M$5,SUMIF(BaseDD[Date],"&lt;="&amp;TCD!Q5,BaseDD[Offres]),#N/A)=0,NA(),IF(Q5&lt;=$M$5,SUMIF(BaseDD[Date],"&lt;="&amp;TCD!Q5,BaseDD[Offres]),#N/A))</f>
        <v>#N/A</v>
      </c>
      <c r="V5" t="s">
        <v>46</v>
      </c>
      <c r="W5" s="9">
        <v>50</v>
      </c>
      <c r="X5" s="9">
        <v>1.7</v>
      </c>
      <c r="Y5" s="9">
        <v>0</v>
      </c>
    </row>
    <row r="6" spans="1:25" x14ac:dyDescent="0.3">
      <c r="A6" t="s">
        <v>69</v>
      </c>
      <c r="B6" s="9">
        <v>3780</v>
      </c>
      <c r="D6" s="1">
        <v>45427</v>
      </c>
      <c r="N6">
        <f ca="1">SUM(N5-N4)</f>
        <v>201.7299999999999</v>
      </c>
      <c r="P6">
        <v>2</v>
      </c>
      <c r="Q6" s="1">
        <f t="shared" ref="Q6:Q16" ca="1" si="0">EOMONTH(DATE($Q$1,P6,1),0)</f>
        <v>45351</v>
      </c>
      <c r="R6" t="str">
        <f t="shared" ref="R6:R16" ca="1" si="1">PROPER(TEXT(Q6,"mmmm"))</f>
        <v>Février</v>
      </c>
      <c r="S6" t="e">
        <f ca="1">IF(IF(Q6&lt;=$M$5,SUMIF(BaseDD[Date],"&lt;="&amp;TCD!Q6,BaseDD[Intérêts net]),#N/A)=0,NA(),IF(Q6&lt;=$M$5,SUMIF(BaseDD[Date],"&lt;="&amp;TCD!Q6,BaseDD[Intérêts net]),#N/A))</f>
        <v>#N/A</v>
      </c>
      <c r="T6" t="e">
        <f ca="1">IF(IF(Q6&lt;=$M$5,SUMIF(BaseDD[Date],"&lt;="&amp;TCD!Q6,BaseDD[Offres]),#N/A)=0,NA(),IF(Q6&lt;=$M$5,SUMIF(BaseDD[Date],"&lt;="&amp;TCD!Q6,BaseDD[Offres]),#N/A))</f>
        <v>#N/A</v>
      </c>
      <c r="V6" t="s">
        <v>54</v>
      </c>
      <c r="W6" s="9">
        <v>20</v>
      </c>
      <c r="X6" s="9"/>
      <c r="Y6" s="9"/>
    </row>
    <row r="7" spans="1:25" x14ac:dyDescent="0.3">
      <c r="A7" t="s">
        <v>67</v>
      </c>
      <c r="B7" s="9">
        <v>-1687</v>
      </c>
      <c r="D7" s="1">
        <v>45430</v>
      </c>
      <c r="P7">
        <v>3</v>
      </c>
      <c r="Q7" s="1">
        <f t="shared" ca="1" si="0"/>
        <v>45382</v>
      </c>
      <c r="R7" t="str">
        <f t="shared" ca="1" si="1"/>
        <v>Mars</v>
      </c>
      <c r="S7" t="e">
        <f ca="1">IF(IF(Q7&lt;=$M$5,SUMIF(BaseDD[Date],"&lt;="&amp;TCD!Q7,BaseDD[Intérêts net]),#N/A)=0,NA(),IF(Q7&lt;=$M$5,SUMIF(BaseDD[Date],"&lt;="&amp;TCD!Q7,BaseDD[Intérêts net]),#N/A))</f>
        <v>#N/A</v>
      </c>
      <c r="T7" t="e">
        <f ca="1">IF(IF(Q7&lt;=$M$5,SUMIF(BaseDD[Date],"&lt;="&amp;TCD!Q7,BaseDD[Offres]),#N/A)=0,NA(),IF(Q7&lt;=$M$5,SUMIF(BaseDD[Date],"&lt;="&amp;TCD!Q7,BaseDD[Offres]),#N/A))</f>
        <v>#N/A</v>
      </c>
      <c r="V7" t="s">
        <v>22</v>
      </c>
      <c r="W7" s="9">
        <v>60</v>
      </c>
      <c r="X7" s="9"/>
      <c r="Y7" s="9"/>
    </row>
    <row r="8" spans="1:25" x14ac:dyDescent="0.3">
      <c r="A8" t="s">
        <v>68</v>
      </c>
      <c r="B8" s="9">
        <v>30</v>
      </c>
      <c r="D8" s="1">
        <v>45439</v>
      </c>
      <c r="P8">
        <v>4</v>
      </c>
      <c r="Q8" s="1">
        <f t="shared" ca="1" si="0"/>
        <v>45412</v>
      </c>
      <c r="R8" t="str">
        <f t="shared" ca="1" si="1"/>
        <v>Avril</v>
      </c>
      <c r="S8" t="e">
        <f ca="1">IF(IF(Q8&lt;=$M$5,SUMIF(BaseDD[Date],"&lt;="&amp;TCD!Q8,BaseDD[Intérêts net]),#N/A)=0,NA(),IF(Q8&lt;=$M$5,SUMIF(BaseDD[Date],"&lt;="&amp;TCD!Q8,BaseDD[Intérêts net]),#N/A))</f>
        <v>#N/A</v>
      </c>
      <c r="T8" t="e">
        <f ca="1">IF(IF(Q8&lt;=$M$5,SUMIF(BaseDD[Date],"&lt;="&amp;TCD!Q8,BaseDD[Offres]),#N/A)=0,NA(),IF(Q8&lt;=$M$5,SUMIF(BaseDD[Date],"&lt;="&amp;TCD!Q8,BaseDD[Offres]),#N/A))</f>
        <v>#N/A</v>
      </c>
      <c r="V8" t="s">
        <v>38</v>
      </c>
      <c r="W8" s="9">
        <v>20</v>
      </c>
      <c r="X8" s="9">
        <v>0.01</v>
      </c>
      <c r="Y8" s="9">
        <v>0</v>
      </c>
    </row>
    <row r="9" spans="1:25" x14ac:dyDescent="0.3">
      <c r="A9" t="s">
        <v>3</v>
      </c>
      <c r="B9" s="9">
        <v>628.73000000000025</v>
      </c>
      <c r="D9" s="1">
        <v>45441</v>
      </c>
      <c r="P9">
        <v>5</v>
      </c>
      <c r="Q9" s="1">
        <f t="shared" ca="1" si="0"/>
        <v>45443</v>
      </c>
      <c r="R9" t="str">
        <f t="shared" ca="1" si="1"/>
        <v>Mai</v>
      </c>
      <c r="S9" t="e">
        <f ca="1">IF(IF(Q9&lt;=$M$5,SUMIF(BaseDD[Date],"&lt;="&amp;TCD!Q9,BaseDD[Intérêts net]),#N/A)=0,NA(),IF(Q9&lt;=$M$5,SUMIF(BaseDD[Date],"&lt;="&amp;TCD!Q9,BaseDD[Intérêts net]),#N/A))</f>
        <v>#N/A</v>
      </c>
      <c r="T9">
        <f ca="1">IF(IF(Q9&lt;=$M$5,SUMIF(BaseDD[Date],"&lt;="&amp;TCD!Q9,BaseDD[Offres]),#N/A)=0,NA(),IF(Q9&lt;=$M$5,SUMIF(BaseDD[Date],"&lt;="&amp;TCD!Q9,BaseDD[Offres]),#N/A))</f>
        <v>1170</v>
      </c>
      <c r="V9" t="s">
        <v>11</v>
      </c>
      <c r="W9" s="9">
        <v>22</v>
      </c>
      <c r="X9" s="9">
        <v>0.56000000000000005</v>
      </c>
      <c r="Y9" s="9">
        <v>0</v>
      </c>
    </row>
    <row r="10" spans="1:25" x14ac:dyDescent="0.3">
      <c r="A10" t="s">
        <v>12</v>
      </c>
      <c r="B10" s="9">
        <v>-2600</v>
      </c>
      <c r="D10" s="1">
        <v>45449</v>
      </c>
      <c r="P10">
        <v>6</v>
      </c>
      <c r="Q10" s="1">
        <f t="shared" ca="1" si="0"/>
        <v>45473</v>
      </c>
      <c r="R10" t="str">
        <f t="shared" ca="1" si="1"/>
        <v>Juin</v>
      </c>
      <c r="S10">
        <f ca="1">IF(IF(Q10&lt;=$M$5,SUMIF(BaseDD[Date],"&lt;="&amp;TCD!Q10,BaseDD[Intérêts net]),#N/A)=0,NA(),IF(Q10&lt;=$M$5,SUMIF(BaseDD[Date],"&lt;="&amp;TCD!Q10,BaseDD[Intérêts net]),#N/A))</f>
        <v>2</v>
      </c>
      <c r="T10">
        <f ca="1">IF(IF(Q10&lt;=$M$5,SUMIF(BaseDD[Date],"&lt;="&amp;TCD!Q10,BaseDD[Offres]),#N/A)=0,NA(),IF(Q10&lt;=$M$5,SUMIF(BaseDD[Date],"&lt;="&amp;TCD!Q10,BaseDD[Offres]),#N/A))</f>
        <v>1192</v>
      </c>
      <c r="V10" t="s">
        <v>20</v>
      </c>
      <c r="W10" s="9">
        <v>27</v>
      </c>
      <c r="X10" s="9">
        <v>0.44</v>
      </c>
      <c r="Y10" s="9">
        <v>0</v>
      </c>
    </row>
    <row r="11" spans="1:25" x14ac:dyDescent="0.3">
      <c r="A11" t="s">
        <v>70</v>
      </c>
      <c r="B11" s="9">
        <v>201.73000000000047</v>
      </c>
      <c r="D11" s="1">
        <v>45450</v>
      </c>
      <c r="P11">
        <v>7</v>
      </c>
      <c r="Q11" s="1">
        <f t="shared" ca="1" si="0"/>
        <v>45504</v>
      </c>
      <c r="R11" t="str">
        <f t="shared" ca="1" si="1"/>
        <v>Juillet</v>
      </c>
      <c r="S11">
        <f ca="1">IF(IF(Q11&lt;=$M$5,SUMIF(BaseDD[Date],"&lt;="&amp;TCD!Q11,BaseDD[Intérêts net]),#N/A)=0,NA(),IF(Q11&lt;=$M$5,SUMIF(BaseDD[Date],"&lt;="&amp;TCD!Q11,BaseDD[Intérêts net]),#N/A))</f>
        <v>9.6399999999999988</v>
      </c>
      <c r="T11">
        <f ca="1">IF(IF(Q11&lt;=$M$5,SUMIF(BaseDD[Date],"&lt;="&amp;TCD!Q11,BaseDD[Offres]),#N/A)=0,NA(),IF(Q11&lt;=$M$5,SUMIF(BaseDD[Date],"&lt;="&amp;TCD!Q11,BaseDD[Offres]),#N/A))</f>
        <v>1219</v>
      </c>
      <c r="V11" t="s">
        <v>40</v>
      </c>
      <c r="W11" s="9">
        <v>100</v>
      </c>
      <c r="X11" s="9">
        <v>3.3</v>
      </c>
      <c r="Y11" s="9">
        <v>0</v>
      </c>
    </row>
    <row r="12" spans="1:25" x14ac:dyDescent="0.3">
      <c r="D12" s="1">
        <v>45479</v>
      </c>
      <c r="P12">
        <v>8</v>
      </c>
      <c r="Q12" s="1">
        <f t="shared" ca="1" si="0"/>
        <v>45535</v>
      </c>
      <c r="R12" t="str">
        <f t="shared" ca="1" si="1"/>
        <v>Août</v>
      </c>
      <c r="S12">
        <f ca="1">IF(IF(Q12&lt;=$M$5,SUMIF(BaseDD[Date],"&lt;="&amp;TCD!Q12,BaseDD[Intérêts net]),#N/A)=0,NA(),IF(Q12&lt;=$M$5,SUMIF(BaseDD[Date],"&lt;="&amp;TCD!Q12,BaseDD[Intérêts net]),#N/A))</f>
        <v>17.439999999999998</v>
      </c>
      <c r="T12">
        <f ca="1">IF(IF(Q12&lt;=$M$5,SUMIF(BaseDD[Date],"&lt;="&amp;TCD!Q12,BaseDD[Offres]),#N/A)=0,NA(),IF(Q12&lt;=$M$5,SUMIF(BaseDD[Date],"&lt;="&amp;TCD!Q12,BaseDD[Offres]),#N/A))</f>
        <v>1527</v>
      </c>
      <c r="V12" t="s">
        <v>14</v>
      </c>
      <c r="W12" s="9">
        <v>600</v>
      </c>
      <c r="X12" s="9">
        <v>20.399999999999999</v>
      </c>
      <c r="Y12" s="9">
        <v>600</v>
      </c>
    </row>
    <row r="13" spans="1:25" x14ac:dyDescent="0.3">
      <c r="D13" s="1">
        <v>45480</v>
      </c>
      <c r="P13">
        <v>9</v>
      </c>
      <c r="Q13" s="1">
        <f t="shared" ca="1" si="0"/>
        <v>45565</v>
      </c>
      <c r="R13" t="str">
        <f t="shared" ca="1" si="1"/>
        <v>Septembre</v>
      </c>
      <c r="S13">
        <f ca="1">IF(IF(Q13&lt;=$M$5,SUMIF(BaseDD[Date],"&lt;="&amp;TCD!Q13,BaseDD[Intérêts net]),#N/A)=0,NA(),IF(Q13&lt;=$M$5,SUMIF(BaseDD[Date],"&lt;="&amp;TCD!Q13,BaseDD[Intérêts net]),#N/A))</f>
        <v>28.730000000000008</v>
      </c>
      <c r="T13">
        <f ca="1">IF(IF(Q13&lt;=$M$5,SUMIF(BaseDD[Date],"&lt;="&amp;TCD!Q13,BaseDD[Offres]),#N/A)=0,NA(),IF(Q13&lt;=$M$5,SUMIF(BaseDD[Date],"&lt;="&amp;TCD!Q13,BaseDD[Offres]),#N/A))</f>
        <v>1687</v>
      </c>
      <c r="V13" t="s">
        <v>32</v>
      </c>
      <c r="W13" s="9">
        <v>20</v>
      </c>
      <c r="X13" s="9"/>
      <c r="Y13" s="9"/>
    </row>
    <row r="14" spans="1:25" x14ac:dyDescent="0.3">
      <c r="D14" s="1">
        <v>45482</v>
      </c>
      <c r="P14">
        <v>10</v>
      </c>
      <c r="Q14" s="1">
        <f t="shared" ca="1" si="0"/>
        <v>45596</v>
      </c>
      <c r="R14" t="str">
        <f t="shared" ca="1" si="1"/>
        <v>Octobre</v>
      </c>
      <c r="S14" t="e">
        <f ca="1">IF(IF(Q14&lt;=$M$5,SUMIF(BaseDD[Date],"&lt;="&amp;TCD!Q14,BaseDD[Intérêts net]),#N/A)=0,NA(),IF(Q14&lt;=$M$5,SUMIF(BaseDD[Date],"&lt;="&amp;TCD!Q14,BaseDD[Intérêts net]),#N/A))</f>
        <v>#N/A</v>
      </c>
      <c r="T14" t="e">
        <f ca="1">IF(IF(Q14&lt;=$M$5,SUMIF(BaseDD[Date],"&lt;="&amp;TCD!Q14,BaseDD[Offres]),#N/A)=0,NA(),IF(Q14&lt;=$M$5,SUMIF(BaseDD[Date],"&lt;="&amp;TCD!Q14,BaseDD[Offres]),#N/A))</f>
        <v>#N/A</v>
      </c>
      <c r="V14" t="s">
        <v>44</v>
      </c>
      <c r="W14" s="9">
        <v>100</v>
      </c>
      <c r="X14" s="9">
        <v>3.58</v>
      </c>
      <c r="Y14" s="9">
        <v>0</v>
      </c>
    </row>
    <row r="15" spans="1:25" x14ac:dyDescent="0.3">
      <c r="D15" s="1">
        <v>45486</v>
      </c>
      <c r="P15">
        <v>11</v>
      </c>
      <c r="Q15" s="1">
        <f t="shared" ca="1" si="0"/>
        <v>45626</v>
      </c>
      <c r="R15" t="str">
        <f t="shared" ca="1" si="1"/>
        <v>Novembre</v>
      </c>
      <c r="S15" t="e">
        <f ca="1">IF(IF(Q15&lt;=$M$5,SUMIF(BaseDD[Date],"&lt;="&amp;TCD!Q15,BaseDD[Intérêts net]),#N/A)=0,NA(),IF(Q15&lt;=$M$5,SUMIF(BaseDD[Date],"&lt;="&amp;TCD!Q15,BaseDD[Intérêts net]),#N/A))</f>
        <v>#N/A</v>
      </c>
      <c r="T15" t="e">
        <f ca="1">IF(IF(Q15&lt;=$M$5,SUMIF(BaseDD[Date],"&lt;="&amp;TCD!Q15,BaseDD[Offres]),#N/A)=0,NA(),IF(Q15&lt;=$M$5,SUMIF(BaseDD[Date],"&lt;="&amp;TCD!Q15,BaseDD[Offres]),#N/A))</f>
        <v>#N/A</v>
      </c>
      <c r="V15" t="s">
        <v>30</v>
      </c>
      <c r="W15" s="9">
        <v>20</v>
      </c>
      <c r="X15" s="9"/>
      <c r="Y15" s="9"/>
    </row>
    <row r="16" spans="1:25" x14ac:dyDescent="0.3">
      <c r="D16" s="1">
        <v>45487</v>
      </c>
      <c r="P16">
        <v>12</v>
      </c>
      <c r="Q16" s="1">
        <f t="shared" ca="1" si="0"/>
        <v>45657</v>
      </c>
      <c r="R16" t="str">
        <f t="shared" ca="1" si="1"/>
        <v>Décembre</v>
      </c>
      <c r="S16" t="e">
        <f ca="1">IF(IF(Q16&lt;=$M$5,SUMIF(BaseDD[Date],"&lt;="&amp;TCD!Q16,BaseDD[Intérêts net]),#N/A)=0,NA(),IF(Q16&lt;=$M$5,SUMIF(BaseDD[Date],"&lt;="&amp;TCD!Q16,BaseDD[Intérêts net]),#N/A))</f>
        <v>#N/A</v>
      </c>
      <c r="T16" t="e">
        <f ca="1">IF(IF(Q16&lt;=$M$5,SUMIF(BaseDD[Date],"&lt;="&amp;TCD!Q16,BaseDD[Offres]),#N/A)=0,NA(),IF(Q16&lt;=$M$5,SUMIF(BaseDD[Date],"&lt;="&amp;TCD!Q16,BaseDD[Offres]),#N/A))</f>
        <v>#N/A</v>
      </c>
      <c r="V16" t="s">
        <v>5</v>
      </c>
      <c r="W16" s="9">
        <v>50</v>
      </c>
      <c r="X16" s="9">
        <v>1.9300000000000002</v>
      </c>
      <c r="Y16" s="9">
        <v>0</v>
      </c>
    </row>
    <row r="17" spans="4:25" x14ac:dyDescent="0.3">
      <c r="D17" s="1">
        <v>45510</v>
      </c>
      <c r="V17" t="s">
        <v>9</v>
      </c>
      <c r="W17" s="9">
        <v>50</v>
      </c>
      <c r="X17" s="9">
        <v>1.4200000000000002</v>
      </c>
      <c r="Y17" s="9">
        <v>0</v>
      </c>
    </row>
    <row r="18" spans="4:25" x14ac:dyDescent="0.3">
      <c r="D18" s="1">
        <v>45511</v>
      </c>
      <c r="V18" t="s">
        <v>56</v>
      </c>
      <c r="W18" s="9">
        <v>40</v>
      </c>
      <c r="X18" s="9"/>
      <c r="Y18" s="9"/>
    </row>
    <row r="19" spans="4:25" x14ac:dyDescent="0.3">
      <c r="D19" s="1">
        <v>45535</v>
      </c>
      <c r="V19" t="s">
        <v>42</v>
      </c>
      <c r="W19" s="9">
        <v>50</v>
      </c>
      <c r="X19" s="9">
        <v>1.73</v>
      </c>
      <c r="Y19" s="9">
        <v>0</v>
      </c>
    </row>
    <row r="20" spans="4:25" x14ac:dyDescent="0.3">
      <c r="D20" s="1">
        <v>45536</v>
      </c>
      <c r="V20" t="s">
        <v>52</v>
      </c>
      <c r="W20" s="9">
        <v>30</v>
      </c>
      <c r="X20" s="9"/>
      <c r="Y20" s="9"/>
    </row>
    <row r="21" spans="4:25" x14ac:dyDescent="0.3">
      <c r="D21" s="1">
        <v>45537</v>
      </c>
      <c r="V21" t="s">
        <v>28</v>
      </c>
      <c r="W21" s="9">
        <v>70</v>
      </c>
      <c r="X21" s="9">
        <v>2.3800000000000003</v>
      </c>
      <c r="Y21" s="9">
        <v>0</v>
      </c>
    </row>
    <row r="22" spans="4:25" x14ac:dyDescent="0.3">
      <c r="D22" s="1">
        <v>45541</v>
      </c>
      <c r="V22" t="s">
        <v>26</v>
      </c>
      <c r="W22" s="9">
        <v>50</v>
      </c>
      <c r="X22" s="9">
        <v>1.73</v>
      </c>
      <c r="Y22" s="9">
        <v>0</v>
      </c>
    </row>
    <row r="23" spans="4:25" x14ac:dyDescent="0.3">
      <c r="D23" s="1">
        <v>45542</v>
      </c>
      <c r="V23" t="s">
        <v>24</v>
      </c>
      <c r="W23" s="9">
        <v>28</v>
      </c>
      <c r="X23" s="9">
        <v>0.23</v>
      </c>
      <c r="Y23" s="9">
        <v>0</v>
      </c>
    </row>
    <row r="24" spans="4:25" x14ac:dyDescent="0.3">
      <c r="D24" s="1">
        <v>45543</v>
      </c>
      <c r="V24" t="s">
        <v>34</v>
      </c>
      <c r="W24" s="9">
        <v>20</v>
      </c>
      <c r="X24" s="9">
        <v>0.01</v>
      </c>
      <c r="Y24" s="9">
        <v>0</v>
      </c>
    </row>
    <row r="25" spans="4:25" x14ac:dyDescent="0.3">
      <c r="V25" t="s">
        <v>48</v>
      </c>
      <c r="W25" s="9">
        <v>20</v>
      </c>
      <c r="X25" s="9">
        <v>0.01</v>
      </c>
      <c r="Y25" s="9">
        <v>0</v>
      </c>
    </row>
    <row r="26" spans="4:25" x14ac:dyDescent="0.3">
      <c r="V26" t="s">
        <v>50</v>
      </c>
      <c r="W26" s="9">
        <v>50</v>
      </c>
      <c r="X26" s="9">
        <v>0.02</v>
      </c>
      <c r="Y26" s="9">
        <v>0</v>
      </c>
    </row>
    <row r="27" spans="4:25" x14ac:dyDescent="0.3">
      <c r="V27" t="s">
        <v>7</v>
      </c>
      <c r="W27" s="9">
        <v>100</v>
      </c>
      <c r="X27" s="9">
        <v>0.03</v>
      </c>
      <c r="Y27" s="9">
        <v>0</v>
      </c>
    </row>
    <row r="28" spans="4:25" x14ac:dyDescent="0.3">
      <c r="V28" t="s">
        <v>36</v>
      </c>
      <c r="W28" s="9">
        <v>20</v>
      </c>
      <c r="X28" s="9"/>
      <c r="Y28" s="9"/>
    </row>
    <row r="29" spans="4:25" x14ac:dyDescent="0.3">
      <c r="V29" t="s">
        <v>18</v>
      </c>
      <c r="W29" s="9">
        <v>50</v>
      </c>
      <c r="X29" s="9">
        <v>1.59</v>
      </c>
      <c r="Y29" s="9">
        <v>0</v>
      </c>
    </row>
    <row r="30" spans="4:25" x14ac:dyDescent="0.3">
      <c r="V30" t="s">
        <v>16</v>
      </c>
      <c r="W30" s="9">
        <v>20</v>
      </c>
      <c r="X30" s="9"/>
      <c r="Y30" s="9"/>
    </row>
    <row r="31" spans="4:25" x14ac:dyDescent="0.3">
      <c r="V31" t="s">
        <v>83</v>
      </c>
      <c r="W31" s="9">
        <v>0</v>
      </c>
      <c r="X31" s="9"/>
      <c r="Y31" s="9"/>
    </row>
    <row r="32" spans="4:25" x14ac:dyDescent="0.3">
      <c r="V32" t="s">
        <v>70</v>
      </c>
      <c r="W32" s="9">
        <v>1687</v>
      </c>
      <c r="X32" s="9">
        <v>41.069999999999993</v>
      </c>
      <c r="Y32" s="9">
        <v>600</v>
      </c>
    </row>
  </sheetData>
  <pageMargins left="0.7" right="0.7" top="0.75" bottom="0.75" header="0.3" footer="0.3"/>
  <pageSetup paperSize="9" orientation="portrait" horizontalDpi="300" verticalDpi="30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BDD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Wilfried Fournival</dc:creator>
  <cp:lastModifiedBy>Wilfried Fournival</cp:lastModifiedBy>
  <dcterms:created xsi:type="dcterms:W3CDTF">2024-09-08T08:21:25Z</dcterms:created>
  <dcterms:modified xsi:type="dcterms:W3CDTF">2024-09-08T15:23:47Z</dcterms:modified>
</cp:coreProperties>
</file>