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B\Utilitaires\Excel\"/>
    </mc:Choice>
  </mc:AlternateContent>
  <bookViews>
    <workbookView xWindow="240" yWindow="90" windowWidth="11580" windowHeight="6795" tabRatio="731" activeTab="2"/>
  </bookViews>
  <sheets>
    <sheet name="Immob" sheetId="31" r:id="rId1"/>
    <sheet name="Amts dérogatoires" sheetId="16" r:id="rId2"/>
    <sheet name="Plan d'amortissement" sheetId="15" r:id="rId3"/>
    <sheet name="Immob 2011-2012" sheetId="39" r:id="rId4"/>
  </sheets>
  <functionGroups builtInGroupCount="18"/>
  <definedNames>
    <definedName name="_xlnm.Print_Titles" localSheetId="1">'Amts dérogatoires'!$32:$38</definedName>
    <definedName name="_xlnm.Print_Titles" localSheetId="0">Immob!$148:$154</definedName>
    <definedName name="_xlnm.Print_Titles" localSheetId="3">'Immob 2011-2012'!$148:$154</definedName>
    <definedName name="Nbre_Ligne_Entre_Compte">11</definedName>
    <definedName name="NomSociété">"Société Test"</definedName>
    <definedName name="_xlnm.Print_Area" localSheetId="1">'Amts dérogatoires'!$A$16:$R$60</definedName>
    <definedName name="_xlnm.Print_Area" localSheetId="0">Immob!$A$16:$M$449</definedName>
    <definedName name="_xlnm.Print_Area" localSheetId="3">'Immob 2011-2012'!$A$16:$M$455</definedName>
    <definedName name="Zone_Immob" localSheetId="0">Immob!$A$148:$M$445</definedName>
    <definedName name="Zone_Immob" localSheetId="3">'Immob 2011-2012'!$A$148:$M$451</definedName>
    <definedName name="Zone_Immob">Immob!$A$135:$L$387</definedName>
  </definedNames>
  <calcPr calcId="152511"/>
</workbook>
</file>

<file path=xl/calcChain.xml><?xml version="1.0" encoding="utf-8"?>
<calcChain xmlns="http://schemas.openxmlformats.org/spreadsheetml/2006/main">
  <c r="F4" i="16" l="1"/>
  <c r="A1" i="15"/>
  <c r="G4" i="39" l="1"/>
  <c r="G4" i="31"/>
  <c r="K454" i="39" l="1"/>
  <c r="K453" i="39"/>
  <c r="K455" i="39" s="1"/>
  <c r="M450" i="39"/>
  <c r="L450" i="39"/>
  <c r="K450" i="39"/>
  <c r="J450" i="39"/>
  <c r="G450" i="39"/>
  <c r="M449" i="39"/>
  <c r="L449" i="39"/>
  <c r="K449" i="39"/>
  <c r="J449" i="39"/>
  <c r="G449" i="39"/>
  <c r="J448" i="39"/>
  <c r="J451" i="39" s="1"/>
  <c r="G448" i="39"/>
  <c r="G451" i="39" s="1"/>
  <c r="M446" i="39"/>
  <c r="L446" i="39"/>
  <c r="K446" i="39"/>
  <c r="J446" i="39"/>
  <c r="G446" i="39"/>
  <c r="N441" i="39"/>
  <c r="M437" i="39"/>
  <c r="L437" i="39"/>
  <c r="K437" i="39"/>
  <c r="J437" i="39"/>
  <c r="J438" i="39" s="1"/>
  <c r="G437" i="39"/>
  <c r="M436" i="39"/>
  <c r="L436" i="39"/>
  <c r="K436" i="39"/>
  <c r="J436" i="39"/>
  <c r="G436" i="39"/>
  <c r="F57" i="39" s="1"/>
  <c r="J435" i="39"/>
  <c r="G435" i="39"/>
  <c r="G438" i="39" s="1"/>
  <c r="J433" i="39"/>
  <c r="G433" i="39"/>
  <c r="N415" i="39"/>
  <c r="J411" i="39"/>
  <c r="G411" i="39"/>
  <c r="J410" i="39"/>
  <c r="G410" i="39"/>
  <c r="J409" i="39"/>
  <c r="J407" i="39"/>
  <c r="G398" i="39"/>
  <c r="G397" i="39"/>
  <c r="G392" i="39"/>
  <c r="N384" i="39"/>
  <c r="M380" i="39"/>
  <c r="L380" i="39"/>
  <c r="K380" i="39"/>
  <c r="J380" i="39"/>
  <c r="G380" i="39"/>
  <c r="G55" i="39" s="1"/>
  <c r="J379" i="39"/>
  <c r="J381" i="39" s="1"/>
  <c r="G379" i="39"/>
  <c r="G378" i="39"/>
  <c r="J376" i="39"/>
  <c r="I55" i="39" s="1"/>
  <c r="G376" i="39"/>
  <c r="N366" i="39"/>
  <c r="M362" i="39"/>
  <c r="L362" i="39"/>
  <c r="K54" i="39" s="1"/>
  <c r="K362" i="39"/>
  <c r="J362" i="39"/>
  <c r="G362" i="39"/>
  <c r="G54" i="39" s="1"/>
  <c r="M361" i="39"/>
  <c r="L361" i="39"/>
  <c r="K361" i="39"/>
  <c r="J361" i="39"/>
  <c r="G361" i="39"/>
  <c r="J360" i="39"/>
  <c r="J363" i="39" s="1"/>
  <c r="G360" i="39"/>
  <c r="G363" i="39" s="1"/>
  <c r="J358" i="39"/>
  <c r="G358" i="39"/>
  <c r="N355" i="39"/>
  <c r="M351" i="39"/>
  <c r="L351" i="39"/>
  <c r="K53" i="39" s="1"/>
  <c r="K351" i="39"/>
  <c r="J351" i="39"/>
  <c r="G351" i="39"/>
  <c r="M350" i="39"/>
  <c r="L350" i="39"/>
  <c r="K350" i="39"/>
  <c r="J350" i="39"/>
  <c r="G350" i="39"/>
  <c r="J349" i="39"/>
  <c r="G349" i="39"/>
  <c r="E53" i="39" s="1"/>
  <c r="J347" i="39"/>
  <c r="G347" i="39"/>
  <c r="N326" i="39"/>
  <c r="M322" i="39"/>
  <c r="L322" i="39"/>
  <c r="K52" i="39" s="1"/>
  <c r="K322" i="39"/>
  <c r="J322" i="39"/>
  <c r="G322" i="39"/>
  <c r="G52" i="39" s="1"/>
  <c r="M321" i="39"/>
  <c r="L321" i="39"/>
  <c r="K321" i="39"/>
  <c r="J321" i="39"/>
  <c r="G321" i="39"/>
  <c r="F52" i="39" s="1"/>
  <c r="J320" i="39"/>
  <c r="G320" i="39"/>
  <c r="J318" i="39"/>
  <c r="G318" i="39"/>
  <c r="N241" i="39"/>
  <c r="M237" i="39"/>
  <c r="L237" i="39"/>
  <c r="K51" i="39" s="1"/>
  <c r="K237" i="39"/>
  <c r="J237" i="39"/>
  <c r="G237" i="39"/>
  <c r="M236" i="39"/>
  <c r="L236" i="39"/>
  <c r="K236" i="39"/>
  <c r="J236" i="39"/>
  <c r="G236" i="39"/>
  <c r="F51" i="39" s="1"/>
  <c r="J235" i="39"/>
  <c r="G235" i="39"/>
  <c r="J233" i="39"/>
  <c r="G233" i="39"/>
  <c r="N227" i="39"/>
  <c r="M223" i="39"/>
  <c r="L223" i="39"/>
  <c r="K50" i="39" s="1"/>
  <c r="K223" i="39"/>
  <c r="J223" i="39"/>
  <c r="G223" i="39"/>
  <c r="M222" i="39"/>
  <c r="L222" i="39"/>
  <c r="K222" i="39"/>
  <c r="J222" i="39"/>
  <c r="G222" i="39"/>
  <c r="J221" i="39"/>
  <c r="J224" i="39" s="1"/>
  <c r="G221" i="39"/>
  <c r="J219" i="39"/>
  <c r="I50" i="39" s="1"/>
  <c r="G219" i="39"/>
  <c r="N216" i="39"/>
  <c r="M212" i="39"/>
  <c r="L212" i="39"/>
  <c r="K212" i="39"/>
  <c r="J212" i="39"/>
  <c r="G212" i="39"/>
  <c r="M211" i="39"/>
  <c r="L211" i="39"/>
  <c r="K211" i="39"/>
  <c r="J211" i="39"/>
  <c r="G211" i="39"/>
  <c r="F49" i="39" s="1"/>
  <c r="G210" i="39"/>
  <c r="J208" i="39"/>
  <c r="I49" i="39" s="1"/>
  <c r="G208" i="39"/>
  <c r="N199" i="39"/>
  <c r="M195" i="39"/>
  <c r="L195" i="39"/>
  <c r="K195" i="39"/>
  <c r="J195" i="39"/>
  <c r="G195" i="39"/>
  <c r="G48" i="39" s="1"/>
  <c r="M194" i="39"/>
  <c r="L194" i="39"/>
  <c r="K194" i="39"/>
  <c r="J194" i="39"/>
  <c r="G194" i="39"/>
  <c r="J193" i="39"/>
  <c r="G193" i="39"/>
  <c r="G196" i="39" s="1"/>
  <c r="J191" i="39"/>
  <c r="G191" i="39"/>
  <c r="N188" i="39"/>
  <c r="J184" i="39"/>
  <c r="G184" i="39"/>
  <c r="J183" i="39"/>
  <c r="G183" i="39"/>
  <c r="F43" i="39" s="1"/>
  <c r="F45" i="39" s="1"/>
  <c r="J182" i="39"/>
  <c r="G182" i="39"/>
  <c r="E43" i="39" s="1"/>
  <c r="E45" i="39" s="1"/>
  <c r="J180" i="39"/>
  <c r="G180" i="39"/>
  <c r="A158" i="39"/>
  <c r="A159" i="39" s="1"/>
  <c r="A160" i="39" s="1"/>
  <c r="A161" i="39" s="1"/>
  <c r="A162" i="39" s="1"/>
  <c r="A163" i="39" s="1"/>
  <c r="A164" i="39" s="1"/>
  <c r="A165" i="39" s="1"/>
  <c r="A166" i="39" s="1"/>
  <c r="A167" i="39" s="1"/>
  <c r="A168" i="39" s="1"/>
  <c r="A169" i="39" s="1"/>
  <c r="A170" i="39" s="1"/>
  <c r="A171" i="39" s="1"/>
  <c r="A172" i="39" s="1"/>
  <c r="A173" i="39" s="1"/>
  <c r="A174" i="39" s="1"/>
  <c r="A175" i="39" s="1"/>
  <c r="A176" i="39" s="1"/>
  <c r="A177" i="39" s="1"/>
  <c r="A178" i="39" s="1"/>
  <c r="A189" i="39" s="1"/>
  <c r="A200" i="39" s="1"/>
  <c r="A201" i="39" s="1"/>
  <c r="A202" i="39" s="1"/>
  <c r="A203" i="39" s="1"/>
  <c r="A204" i="39" s="1"/>
  <c r="A205" i="39" s="1"/>
  <c r="A206" i="39" s="1"/>
  <c r="A217" i="39" s="1"/>
  <c r="A228" i="39" s="1"/>
  <c r="A229" i="39" s="1"/>
  <c r="A230" i="39" s="1"/>
  <c r="A231" i="39" s="1"/>
  <c r="A242" i="39" s="1"/>
  <c r="A243" i="39" s="1"/>
  <c r="A244" i="39" s="1"/>
  <c r="A245" i="39" s="1"/>
  <c r="A246" i="39" s="1"/>
  <c r="A247" i="39" s="1"/>
  <c r="A248" i="39" s="1"/>
  <c r="A249" i="39" s="1"/>
  <c r="A250" i="39" s="1"/>
  <c r="A251" i="39" s="1"/>
  <c r="A252" i="39" s="1"/>
  <c r="A253" i="39" s="1"/>
  <c r="A254" i="39" s="1"/>
  <c r="A255" i="39" s="1"/>
  <c r="A256" i="39" s="1"/>
  <c r="A257" i="39" s="1"/>
  <c r="A258" i="39" s="1"/>
  <c r="A259" i="39" s="1"/>
  <c r="A260" i="39" s="1"/>
  <c r="A261" i="39" s="1"/>
  <c r="A262" i="39" s="1"/>
  <c r="A263" i="39" s="1"/>
  <c r="A264" i="39" s="1"/>
  <c r="A265" i="39" s="1"/>
  <c r="A266" i="39" s="1"/>
  <c r="A267" i="39" s="1"/>
  <c r="A268" i="39" s="1"/>
  <c r="A269" i="39" s="1"/>
  <c r="A270" i="39" s="1"/>
  <c r="A271" i="39" s="1"/>
  <c r="A272" i="39" s="1"/>
  <c r="A273" i="39" s="1"/>
  <c r="A274" i="39" s="1"/>
  <c r="A275" i="39" s="1"/>
  <c r="A276" i="39" s="1"/>
  <c r="A277" i="39" s="1"/>
  <c r="A278" i="39" s="1"/>
  <c r="A279" i="39" s="1"/>
  <c r="A280" i="39" s="1"/>
  <c r="A281" i="39" s="1"/>
  <c r="A282" i="39" s="1"/>
  <c r="A283" i="39" s="1"/>
  <c r="A284" i="39" s="1"/>
  <c r="A285" i="39" s="1"/>
  <c r="A286" i="39" s="1"/>
  <c r="A287" i="39" s="1"/>
  <c r="A288" i="39" s="1"/>
  <c r="A289" i="39" s="1"/>
  <c r="A290" i="39" s="1"/>
  <c r="A291" i="39" s="1"/>
  <c r="A292" i="39" s="1"/>
  <c r="A293" i="39" s="1"/>
  <c r="A294" i="39" s="1"/>
  <c r="A295" i="39" s="1"/>
  <c r="A296" i="39" s="1"/>
  <c r="A297" i="39" s="1"/>
  <c r="A298" i="39" s="1"/>
  <c r="A299" i="39" s="1"/>
  <c r="A300" i="39" s="1"/>
  <c r="N156" i="39"/>
  <c r="L153" i="39"/>
  <c r="J153" i="39"/>
  <c r="A149" i="39"/>
  <c r="K134" i="39"/>
  <c r="M125" i="39"/>
  <c r="L125" i="39"/>
  <c r="K125" i="39"/>
  <c r="J125" i="39"/>
  <c r="I125" i="39"/>
  <c r="H125" i="39"/>
  <c r="D117" i="39"/>
  <c r="E115" i="39"/>
  <c r="E117" i="39" s="1"/>
  <c r="F115" i="39" s="1"/>
  <c r="F117" i="39" s="1"/>
  <c r="G115" i="39" s="1"/>
  <c r="G117" i="39" s="1"/>
  <c r="H115" i="39" s="1"/>
  <c r="H117" i="39" s="1"/>
  <c r="I115" i="39" s="1"/>
  <c r="I117" i="39" s="1"/>
  <c r="J115" i="39" s="1"/>
  <c r="J117" i="39" s="1"/>
  <c r="K115" i="39" s="1"/>
  <c r="K117" i="39" s="1"/>
  <c r="L115" i="39" s="1"/>
  <c r="L117" i="39" s="1"/>
  <c r="M115" i="39" s="1"/>
  <c r="M117" i="39" s="1"/>
  <c r="D115" i="39"/>
  <c r="A109" i="39"/>
  <c r="J90" i="39"/>
  <c r="J88" i="39"/>
  <c r="J87" i="39"/>
  <c r="J86" i="39"/>
  <c r="J84" i="39"/>
  <c r="J83" i="39"/>
  <c r="J82" i="39"/>
  <c r="J78" i="39"/>
  <c r="J79" i="39" s="1"/>
  <c r="B68" i="39"/>
  <c r="G62" i="39"/>
  <c r="H62" i="39" s="1"/>
  <c r="M62" i="39" s="1"/>
  <c r="F62" i="39"/>
  <c r="E62" i="39"/>
  <c r="H61" i="39"/>
  <c r="M61" i="39" s="1"/>
  <c r="K57" i="39"/>
  <c r="I57" i="39"/>
  <c r="G57" i="39"/>
  <c r="E57" i="39"/>
  <c r="I56" i="39"/>
  <c r="G56" i="39"/>
  <c r="F56" i="39"/>
  <c r="K55" i="39"/>
  <c r="F55" i="39"/>
  <c r="E55" i="39"/>
  <c r="I54" i="39"/>
  <c r="F54" i="39"/>
  <c r="E54" i="39"/>
  <c r="I53" i="39"/>
  <c r="G53" i="39"/>
  <c r="F53" i="39"/>
  <c r="I52" i="39"/>
  <c r="E52" i="39"/>
  <c r="I51" i="39"/>
  <c r="G51" i="39"/>
  <c r="E51" i="39"/>
  <c r="H51" i="39" s="1"/>
  <c r="G50" i="39"/>
  <c r="F50" i="39"/>
  <c r="K49" i="39"/>
  <c r="G49" i="39"/>
  <c r="E49" i="39"/>
  <c r="L48" i="39"/>
  <c r="F48" i="39"/>
  <c r="E48" i="39"/>
  <c r="H48" i="39" s="1"/>
  <c r="M48" i="39" s="1"/>
  <c r="H44" i="39"/>
  <c r="M44" i="39" s="1"/>
  <c r="I43" i="39"/>
  <c r="I45" i="39" s="1"/>
  <c r="G43" i="39"/>
  <c r="G45" i="39" s="1"/>
  <c r="K39" i="39"/>
  <c r="I39" i="39"/>
  <c r="H39" i="39"/>
  <c r="L39" i="39" s="1"/>
  <c r="E39" i="39"/>
  <c r="A33" i="39"/>
  <c r="A26" i="39"/>
  <c r="A23" i="39"/>
  <c r="A20" i="39"/>
  <c r="D7" i="39"/>
  <c r="K310" i="31"/>
  <c r="K443" i="39"/>
  <c r="K371" i="39"/>
  <c r="N394" i="39"/>
  <c r="K304" i="39"/>
  <c r="K272" i="39"/>
  <c r="K305" i="39"/>
  <c r="K281" i="39"/>
  <c r="K421" i="39"/>
  <c r="K242" i="39"/>
  <c r="K229" i="39"/>
  <c r="K253" i="39"/>
  <c r="K157" i="39"/>
  <c r="N452" i="39"/>
  <c r="K398" i="39"/>
  <c r="K340" i="39"/>
  <c r="K335" i="39"/>
  <c r="K270" i="39"/>
  <c r="K368" i="39"/>
  <c r="K256" i="39"/>
  <c r="K177" i="39"/>
  <c r="N165" i="39"/>
  <c r="K307" i="39"/>
  <c r="K254" i="39"/>
  <c r="K158" i="39"/>
  <c r="K259" i="39"/>
  <c r="N442" i="39"/>
  <c r="N395" i="39"/>
  <c r="K282" i="39"/>
  <c r="K303" i="39"/>
  <c r="K252" i="39"/>
  <c r="K419" i="39"/>
  <c r="K310" i="39"/>
  <c r="K330" i="39"/>
  <c r="K230" i="39"/>
  <c r="K203" i="39"/>
  <c r="K430" i="39"/>
  <c r="K395" i="39"/>
  <c r="K338" i="39"/>
  <c r="K389" i="39"/>
  <c r="K284" i="39"/>
  <c r="K374" i="39"/>
  <c r="K265" i="39"/>
  <c r="N164" i="39"/>
  <c r="K315" i="39"/>
  <c r="K417" i="39"/>
  <c r="K314" i="39"/>
  <c r="K313" i="39"/>
  <c r="K162" i="39"/>
  <c r="K169" i="39"/>
  <c r="K171" i="39"/>
  <c r="I63" i="39"/>
  <c r="G58" i="39"/>
  <c r="I58" i="39"/>
  <c r="K426" i="39"/>
  <c r="K431" i="39"/>
  <c r="K334" i="39"/>
  <c r="K343" i="39"/>
  <c r="K288" i="39"/>
  <c r="N445" i="39"/>
  <c r="K337" i="39"/>
  <c r="K176" i="39"/>
  <c r="K258" i="39"/>
  <c r="K287" i="39"/>
  <c r="K390" i="39"/>
  <c r="K167" i="39"/>
  <c r="K201" i="39"/>
  <c r="N450" i="39"/>
  <c r="K391" i="39"/>
  <c r="K385" i="39"/>
  <c r="K294" i="39"/>
  <c r="K327" i="39"/>
  <c r="K174" i="39"/>
  <c r="N166" i="39"/>
  <c r="K249" i="39"/>
  <c r="R317" i="39"/>
  <c r="K164" i="39"/>
  <c r="K189" i="39"/>
  <c r="K175" i="39"/>
  <c r="K428" i="39"/>
  <c r="K373" i="39"/>
  <c r="K306" i="39"/>
  <c r="K356" i="39"/>
  <c r="K170" i="39"/>
  <c r="K299" i="39"/>
  <c r="K424" i="39"/>
  <c r="K262" i="39"/>
  <c r="K166" i="39"/>
  <c r="K161" i="39"/>
  <c r="K340" i="31"/>
  <c r="N444" i="39"/>
  <c r="K388" i="39"/>
  <c r="K397" i="39"/>
  <c r="K300" i="39"/>
  <c r="K268" i="39"/>
  <c r="K341" i="39"/>
  <c r="K263" i="39"/>
  <c r="K331" i="39"/>
  <c r="N446" i="39"/>
  <c r="K425" i="39"/>
  <c r="K274" i="39"/>
  <c r="K291" i="39"/>
  <c r="N170" i="39"/>
  <c r="K231" i="39"/>
  <c r="K285" i="39"/>
  <c r="K63" i="39"/>
  <c r="G63" i="39"/>
  <c r="H63" i="39"/>
  <c r="K418" i="39"/>
  <c r="K394" i="39"/>
  <c r="K405" i="39"/>
  <c r="K312" i="39"/>
  <c r="K280" i="39"/>
  <c r="K333" i="39"/>
  <c r="K295" i="39"/>
  <c r="K168" i="39"/>
  <c r="K250" i="39"/>
  <c r="N163" i="39"/>
  <c r="K283" i="39"/>
  <c r="K269" i="39"/>
  <c r="K399" i="31"/>
  <c r="K416" i="39"/>
  <c r="K369" i="39"/>
  <c r="K392" i="39"/>
  <c r="K278" i="39"/>
  <c r="K386" i="39"/>
  <c r="K329" i="39"/>
  <c r="K159" i="39"/>
  <c r="K163" i="39"/>
  <c r="K289" i="39"/>
  <c r="K309" i="39"/>
  <c r="K173" i="39"/>
  <c r="K160" i="39"/>
  <c r="K420" i="39"/>
  <c r="K336" i="39"/>
  <c r="K290" i="39"/>
  <c r="N448" i="39"/>
  <c r="K293" i="39"/>
  <c r="K275" i="39"/>
  <c r="K399" i="39"/>
  <c r="K297" i="39"/>
  <c r="K271" i="39"/>
  <c r="K267" i="39"/>
  <c r="N449" i="39"/>
  <c r="K404" i="39"/>
  <c r="K367" i="39"/>
  <c r="K372" i="39"/>
  <c r="K292" i="39"/>
  <c r="N451" i="39"/>
  <c r="K311" i="39"/>
  <c r="K246" i="39"/>
  <c r="K245" i="39"/>
  <c r="K402" i="39"/>
  <c r="K429" i="39"/>
  <c r="K342" i="39"/>
  <c r="K403" i="39"/>
  <c r="K165" i="39"/>
  <c r="K427" i="39"/>
  <c r="K273" i="39"/>
  <c r="K200" i="39"/>
  <c r="K393" i="39"/>
  <c r="K244" i="39"/>
  <c r="K277" i="39"/>
  <c r="N443" i="39"/>
  <c r="K172" i="39"/>
  <c r="K298" i="39"/>
  <c r="K260" i="39"/>
  <c r="K205" i="39"/>
  <c r="E63" i="39"/>
  <c r="K204" i="39"/>
  <c r="K248" i="39"/>
  <c r="K370" i="39"/>
  <c r="K396" i="39"/>
  <c r="K301" i="39"/>
  <c r="N167" i="39"/>
  <c r="F58" i="39"/>
  <c r="K444" i="39"/>
  <c r="K296" i="39"/>
  <c r="K279" i="39"/>
  <c r="K251" i="39"/>
  <c r="K302" i="39"/>
  <c r="K345" i="39"/>
  <c r="K261" i="39"/>
  <c r="K266" i="39"/>
  <c r="K286" i="39"/>
  <c r="K422" i="39"/>
  <c r="K276" i="39"/>
  <c r="K243" i="39"/>
  <c r="K339" i="39"/>
  <c r="K328" i="39"/>
  <c r="L63" i="39"/>
  <c r="M63" i="39"/>
  <c r="K400" i="39"/>
  <c r="K264" i="39"/>
  <c r="N168" i="39"/>
  <c r="K442" i="39"/>
  <c r="K387" i="39"/>
  <c r="K247" i="39"/>
  <c r="K309" i="31"/>
  <c r="K206" i="39"/>
  <c r="K202" i="39"/>
  <c r="K423" i="39"/>
  <c r="K316" i="39"/>
  <c r="K344" i="39"/>
  <c r="K178" i="39"/>
  <c r="K255" i="39"/>
  <c r="F63" i="39"/>
  <c r="J63" i="39"/>
  <c r="K401" i="39"/>
  <c r="K217" i="39"/>
  <c r="K332" i="39"/>
  <c r="K228" i="39"/>
  <c r="K257" i="39"/>
  <c r="K308" i="39"/>
  <c r="N447" i="39"/>
  <c r="N159" i="39"/>
  <c r="H49" i="39" l="1"/>
  <c r="H54" i="39"/>
  <c r="H57" i="39"/>
  <c r="G352" i="39"/>
  <c r="H53" i="39"/>
  <c r="J213" i="39"/>
  <c r="G213" i="39"/>
  <c r="J238" i="39"/>
  <c r="H52" i="39"/>
  <c r="J412" i="39"/>
  <c r="H55" i="39"/>
  <c r="J196" i="39"/>
  <c r="L399" i="31"/>
  <c r="L340" i="31"/>
  <c r="L345" i="31" s="1"/>
  <c r="L310" i="31"/>
  <c r="L309" i="31"/>
  <c r="L315" i="31" s="1"/>
  <c r="L201" i="39"/>
  <c r="L205" i="39"/>
  <c r="L243" i="39"/>
  <c r="L247" i="39"/>
  <c r="L251" i="39"/>
  <c r="L255" i="39"/>
  <c r="L259" i="39"/>
  <c r="L396" i="39"/>
  <c r="K180" i="39"/>
  <c r="J43" i="39" s="1"/>
  <c r="J45" i="39" s="1"/>
  <c r="L157" i="39"/>
  <c r="K182" i="39"/>
  <c r="I78" i="39"/>
  <c r="L160" i="39"/>
  <c r="L269" i="39"/>
  <c r="L285" i="39"/>
  <c r="L315" i="39"/>
  <c r="L163" i="39"/>
  <c r="L167" i="39"/>
  <c r="L171" i="39"/>
  <c r="L175" i="39"/>
  <c r="L203" i="39"/>
  <c r="K219" i="39"/>
  <c r="J50" i="39" s="1"/>
  <c r="L50" i="39" s="1"/>
  <c r="K221" i="39"/>
  <c r="K224" i="39" s="1"/>
  <c r="L217" i="39"/>
  <c r="I83" i="39"/>
  <c r="H83" i="39" s="1"/>
  <c r="L231" i="39"/>
  <c r="L245" i="39"/>
  <c r="L249" i="39"/>
  <c r="L253" i="39"/>
  <c r="L257" i="39"/>
  <c r="L261" i="39"/>
  <c r="L267" i="39"/>
  <c r="L283" i="39"/>
  <c r="L328" i="39"/>
  <c r="L331" i="39"/>
  <c r="L345" i="39"/>
  <c r="I99" i="39"/>
  <c r="L390" i="39"/>
  <c r="L419" i="39"/>
  <c r="L158" i="39"/>
  <c r="L161" i="39"/>
  <c r="L165" i="39"/>
  <c r="L169" i="39"/>
  <c r="L173" i="39"/>
  <c r="L177" i="39"/>
  <c r="L229" i="39"/>
  <c r="L275" i="39"/>
  <c r="L301" i="39"/>
  <c r="K184" i="39"/>
  <c r="L159" i="39"/>
  <c r="K193" i="39"/>
  <c r="K196" i="39" s="1"/>
  <c r="K191" i="39"/>
  <c r="L189" i="39"/>
  <c r="L277" i="39"/>
  <c r="L287" i="39"/>
  <c r="L299" i="39"/>
  <c r="K233" i="39"/>
  <c r="J51" i="39" s="1"/>
  <c r="L228" i="39"/>
  <c r="K235" i="39"/>
  <c r="K238" i="39" s="1"/>
  <c r="I84" i="39"/>
  <c r="H84" i="39" s="1"/>
  <c r="L230" i="39"/>
  <c r="K318" i="39"/>
  <c r="J52" i="39" s="1"/>
  <c r="L52" i="39" s="1"/>
  <c r="M52" i="39" s="1"/>
  <c r="K320" i="39"/>
  <c r="K323" i="39" s="1"/>
  <c r="L242" i="39"/>
  <c r="I85" i="39"/>
  <c r="L244" i="39"/>
  <c r="L246" i="39"/>
  <c r="L248" i="39"/>
  <c r="L250" i="39"/>
  <c r="L252" i="39"/>
  <c r="L254" i="39"/>
  <c r="L256" i="39"/>
  <c r="L258" i="39"/>
  <c r="L260" i="39"/>
  <c r="L263" i="39"/>
  <c r="L271" i="39"/>
  <c r="L279" i="39"/>
  <c r="L293" i="39"/>
  <c r="L309" i="39"/>
  <c r="L329" i="39"/>
  <c r="L421" i="39"/>
  <c r="L162" i="39"/>
  <c r="L164" i="39"/>
  <c r="L166" i="39"/>
  <c r="L168" i="39"/>
  <c r="L170" i="39"/>
  <c r="I101" i="39"/>
  <c r="L172" i="39"/>
  <c r="L174" i="39"/>
  <c r="K183" i="39"/>
  <c r="L176" i="39"/>
  <c r="L178" i="39"/>
  <c r="K208" i="39"/>
  <c r="J49" i="39" s="1"/>
  <c r="L200" i="39"/>
  <c r="I82" i="39"/>
  <c r="K210" i="39"/>
  <c r="K213" i="39" s="1"/>
  <c r="L202" i="39"/>
  <c r="L204" i="39"/>
  <c r="L206" i="39"/>
  <c r="L265" i="39"/>
  <c r="L273" i="39"/>
  <c r="L281" i="39"/>
  <c r="L291" i="39"/>
  <c r="L307" i="39"/>
  <c r="L368" i="39"/>
  <c r="L295" i="39"/>
  <c r="L303" i="39"/>
  <c r="L311" i="39"/>
  <c r="L330" i="39"/>
  <c r="L337" i="39"/>
  <c r="L339" i="39"/>
  <c r="L341" i="39"/>
  <c r="L386" i="39"/>
  <c r="I89" i="39"/>
  <c r="L403" i="39"/>
  <c r="L289" i="39"/>
  <c r="L297" i="39"/>
  <c r="L305" i="39"/>
  <c r="L313" i="39"/>
  <c r="L316" i="39"/>
  <c r="J85" i="39"/>
  <c r="L327" i="39"/>
  <c r="K347" i="39"/>
  <c r="J53" i="39" s="1"/>
  <c r="L53" i="39" s="1"/>
  <c r="M53" i="39" s="1"/>
  <c r="K349" i="39"/>
  <c r="K352" i="39" s="1"/>
  <c r="I86" i="39"/>
  <c r="H86" i="39" s="1"/>
  <c r="L333" i="39"/>
  <c r="K360" i="39"/>
  <c r="K363" i="39" s="1"/>
  <c r="L356" i="39"/>
  <c r="K358" i="39"/>
  <c r="J54" i="39" s="1"/>
  <c r="L54" i="39" s="1"/>
  <c r="I87" i="39"/>
  <c r="H87" i="39" s="1"/>
  <c r="L374" i="39"/>
  <c r="L387" i="39"/>
  <c r="L262" i="39"/>
  <c r="L264" i="39"/>
  <c r="L266" i="39"/>
  <c r="L268" i="39"/>
  <c r="L270" i="39"/>
  <c r="L272" i="39"/>
  <c r="L274" i="39"/>
  <c r="L276" i="39"/>
  <c r="I100" i="39"/>
  <c r="L278" i="39"/>
  <c r="L280" i="39"/>
  <c r="L282" i="39"/>
  <c r="L284" i="39"/>
  <c r="L286" i="39"/>
  <c r="L288" i="39"/>
  <c r="L290" i="39"/>
  <c r="L292" i="39"/>
  <c r="L294" i="39"/>
  <c r="L296" i="39"/>
  <c r="L298" i="39"/>
  <c r="L300" i="39"/>
  <c r="L302" i="39"/>
  <c r="L304" i="39"/>
  <c r="L306" i="39"/>
  <c r="L308" i="39"/>
  <c r="L310" i="39"/>
  <c r="L312" i="39"/>
  <c r="L314" i="39"/>
  <c r="L335" i="39"/>
  <c r="L343" i="39"/>
  <c r="L370" i="39"/>
  <c r="L389" i="39"/>
  <c r="L392" i="39"/>
  <c r="L401" i="39"/>
  <c r="L429" i="39"/>
  <c r="K379" i="39"/>
  <c r="L372" i="39"/>
  <c r="K409" i="39"/>
  <c r="L385" i="39"/>
  <c r="K407" i="39"/>
  <c r="J56" i="39" s="1"/>
  <c r="J89" i="39"/>
  <c r="L397" i="39"/>
  <c r="L399" i="39"/>
  <c r="L405" i="39"/>
  <c r="L425" i="39"/>
  <c r="L332" i="39"/>
  <c r="L334" i="39"/>
  <c r="L336" i="39"/>
  <c r="L338" i="39"/>
  <c r="L340" i="39"/>
  <c r="L342" i="39"/>
  <c r="L344" i="39"/>
  <c r="K378" i="39"/>
  <c r="L367" i="39"/>
  <c r="K376" i="39"/>
  <c r="J55" i="39" s="1"/>
  <c r="L55" i="39" s="1"/>
  <c r="M55" i="39" s="1"/>
  <c r="I88" i="39"/>
  <c r="H88" i="39" s="1"/>
  <c r="L369" i="39"/>
  <c r="L371" i="39"/>
  <c r="L373" i="39"/>
  <c r="L388" i="39"/>
  <c r="L391" i="39"/>
  <c r="K411" i="39"/>
  <c r="L394" i="39"/>
  <c r="L417" i="39"/>
  <c r="L423" i="39"/>
  <c r="L427" i="39"/>
  <c r="L431" i="39"/>
  <c r="L393" i="39"/>
  <c r="L395" i="39"/>
  <c r="L398" i="39"/>
  <c r="L400" i="39"/>
  <c r="L402" i="39"/>
  <c r="K410" i="39"/>
  <c r="L404" i="39"/>
  <c r="K435" i="39"/>
  <c r="K438" i="39" s="1"/>
  <c r="K433" i="39"/>
  <c r="J57" i="39" s="1"/>
  <c r="L57" i="39" s="1"/>
  <c r="M57" i="39" s="1"/>
  <c r="L416" i="39"/>
  <c r="I90" i="39"/>
  <c r="H90" i="39" s="1"/>
  <c r="L443" i="39"/>
  <c r="L418" i="39"/>
  <c r="L420" i="39"/>
  <c r="L422" i="39"/>
  <c r="L424" i="39"/>
  <c r="L426" i="39"/>
  <c r="L428" i="39"/>
  <c r="L430" i="39"/>
  <c r="K448" i="39"/>
  <c r="K451" i="39" s="1"/>
  <c r="L442" i="39"/>
  <c r="L444" i="39"/>
  <c r="L51" i="39"/>
  <c r="M51" i="39" s="1"/>
  <c r="F65" i="39"/>
  <c r="G65" i="39"/>
  <c r="J91" i="39"/>
  <c r="J93" i="39" s="1"/>
  <c r="I65" i="39"/>
  <c r="A301" i="39"/>
  <c r="A302" i="39" s="1"/>
  <c r="A303" i="39" s="1"/>
  <c r="A304" i="39" s="1"/>
  <c r="A305" i="39" s="1"/>
  <c r="A306" i="39" s="1"/>
  <c r="A307" i="39" s="1"/>
  <c r="A308" i="39" s="1"/>
  <c r="A309" i="39" s="1"/>
  <c r="A310" i="39" s="1"/>
  <c r="A311" i="39"/>
  <c r="A312" i="39" s="1"/>
  <c r="A313" i="39" s="1"/>
  <c r="A314" i="39" s="1"/>
  <c r="A315" i="39" s="1"/>
  <c r="A316" i="39" s="1"/>
  <c r="A327" i="39" s="1"/>
  <c r="A328" i="39" s="1"/>
  <c r="A329" i="39" s="1"/>
  <c r="A330" i="39" s="1"/>
  <c r="A331" i="39" s="1"/>
  <c r="A332" i="39" s="1"/>
  <c r="A333" i="39" s="1"/>
  <c r="A334" i="39" s="1"/>
  <c r="A335" i="39" s="1"/>
  <c r="A336" i="39" s="1"/>
  <c r="A337" i="39" s="1"/>
  <c r="A338" i="39" s="1"/>
  <c r="A339" i="39" s="1"/>
  <c r="A340" i="39" s="1"/>
  <c r="A341" i="39" s="1"/>
  <c r="A342" i="39" s="1"/>
  <c r="A343" i="39" s="1"/>
  <c r="A344" i="39" s="1"/>
  <c r="A345" i="39" s="1"/>
  <c r="A356" i="39" s="1"/>
  <c r="A367" i="39" s="1"/>
  <c r="A368" i="39" s="1"/>
  <c r="A369" i="39" s="1"/>
  <c r="A370" i="39" s="1"/>
  <c r="A371" i="39" s="1"/>
  <c r="A372" i="39" s="1"/>
  <c r="A373" i="39" s="1"/>
  <c r="A374" i="39" s="1"/>
  <c r="A385" i="39" s="1"/>
  <c r="A386" i="39" s="1"/>
  <c r="A387" i="39" s="1"/>
  <c r="A388" i="39" s="1"/>
  <c r="A389" i="39" s="1"/>
  <c r="A390" i="39" s="1"/>
  <c r="A391" i="39" s="1"/>
  <c r="A392" i="39" s="1"/>
  <c r="A393" i="39" s="1"/>
  <c r="A394" i="39" s="1"/>
  <c r="A395" i="39" s="1"/>
  <c r="A396" i="39" s="1"/>
  <c r="A397" i="39" s="1"/>
  <c r="A398" i="39" s="1"/>
  <c r="A399" i="39" s="1"/>
  <c r="A400" i="39" s="1"/>
  <c r="A401" i="39" s="1"/>
  <c r="A402" i="39" s="1"/>
  <c r="A403" i="39" s="1"/>
  <c r="A404" i="39" s="1"/>
  <c r="A405" i="39" s="1"/>
  <c r="A416" i="39" s="1"/>
  <c r="A417" i="39" s="1"/>
  <c r="A418" i="39" s="1"/>
  <c r="A419" i="39" s="1"/>
  <c r="A420" i="39" s="1"/>
  <c r="A421" i="39" s="1"/>
  <c r="A422" i="39" s="1"/>
  <c r="A423" i="39" s="1"/>
  <c r="A424" i="39" s="1"/>
  <c r="A425" i="39" s="1"/>
  <c r="A426" i="39" s="1"/>
  <c r="A427" i="39" s="1"/>
  <c r="A428" i="39" s="1"/>
  <c r="A429" i="39" s="1"/>
  <c r="A430" i="39" s="1"/>
  <c r="A431" i="39" s="1"/>
  <c r="A442" i="39" s="1"/>
  <c r="A443" i="39" s="1"/>
  <c r="A444" i="39" s="1"/>
  <c r="M392" i="39"/>
  <c r="G407" i="39"/>
  <c r="G409" i="39"/>
  <c r="G185" i="39"/>
  <c r="G238" i="39"/>
  <c r="J185" i="39"/>
  <c r="G224" i="39"/>
  <c r="H43" i="39"/>
  <c r="E50" i="39"/>
  <c r="G323" i="39"/>
  <c r="J323" i="39"/>
  <c r="J352" i="39"/>
  <c r="G381" i="39"/>
  <c r="A158" i="31"/>
  <c r="D115" i="31"/>
  <c r="D117" i="31" s="1"/>
  <c r="E115" i="31" s="1"/>
  <c r="E117" i="31" s="1"/>
  <c r="F115" i="31" s="1"/>
  <c r="F117" i="31" s="1"/>
  <c r="G115" i="31" s="1"/>
  <c r="G117" i="31" s="1"/>
  <c r="H115" i="31" s="1"/>
  <c r="H117" i="31" s="1"/>
  <c r="I115" i="31" s="1"/>
  <c r="I117" i="31" s="1"/>
  <c r="J115" i="31" s="1"/>
  <c r="J117" i="31" s="1"/>
  <c r="K115" i="31" s="1"/>
  <c r="K117" i="31" s="1"/>
  <c r="L115" i="31" s="1"/>
  <c r="L117" i="31" s="1"/>
  <c r="M115" i="31" s="1"/>
  <c r="M117" i="31" s="1"/>
  <c r="J88" i="31"/>
  <c r="L375" i="31"/>
  <c r="K55" i="31" s="1"/>
  <c r="J371" i="31"/>
  <c r="I55" i="31" s="1"/>
  <c r="G373" i="31"/>
  <c r="G374" i="31"/>
  <c r="F55" i="31" s="1"/>
  <c r="G375" i="31"/>
  <c r="G55" i="31" s="1"/>
  <c r="M375" i="31"/>
  <c r="K375" i="31"/>
  <c r="J374" i="31"/>
  <c r="J375" i="31"/>
  <c r="G371" i="31"/>
  <c r="N361" i="31"/>
  <c r="B68" i="31"/>
  <c r="G387" i="31"/>
  <c r="G391" i="31"/>
  <c r="G390" i="31"/>
  <c r="J78" i="31"/>
  <c r="J79" i="31" s="1"/>
  <c r="J82" i="31"/>
  <c r="J83" i="31"/>
  <c r="J84" i="31"/>
  <c r="J86" i="31"/>
  <c r="J87" i="31"/>
  <c r="J90" i="31"/>
  <c r="A109" i="31"/>
  <c r="K134" i="31"/>
  <c r="J125" i="31"/>
  <c r="K125" i="31"/>
  <c r="L125" i="31"/>
  <c r="M125" i="31"/>
  <c r="I125" i="31"/>
  <c r="L440" i="31"/>
  <c r="L443" i="31"/>
  <c r="L444" i="31"/>
  <c r="J401" i="31"/>
  <c r="I56" i="31" s="1"/>
  <c r="D7" i="31"/>
  <c r="A20" i="31"/>
  <c r="A23" i="31"/>
  <c r="A26" i="31"/>
  <c r="A33" i="31"/>
  <c r="E39" i="31"/>
  <c r="I39" i="31" s="1"/>
  <c r="H39" i="31"/>
  <c r="L39" i="31" s="1"/>
  <c r="K39" i="31"/>
  <c r="G174" i="31"/>
  <c r="G175" i="31"/>
  <c r="F43" i="31" s="1"/>
  <c r="F45" i="31" s="1"/>
  <c r="G176" i="31"/>
  <c r="G43" i="31" s="1"/>
  <c r="G45" i="31" s="1"/>
  <c r="J172" i="31"/>
  <c r="I43" i="31" s="1"/>
  <c r="H44" i="31"/>
  <c r="M44" i="31" s="1"/>
  <c r="G185" i="31"/>
  <c r="G186" i="31"/>
  <c r="F48" i="31" s="1"/>
  <c r="G187" i="31"/>
  <c r="G48" i="31" s="1"/>
  <c r="L48" i="31"/>
  <c r="G202" i="31"/>
  <c r="G203" i="31"/>
  <c r="F49" i="31" s="1"/>
  <c r="G204" i="31"/>
  <c r="G49" i="31" s="1"/>
  <c r="J200" i="31"/>
  <c r="I49" i="31" s="1"/>
  <c r="L204" i="31"/>
  <c r="K49" i="31" s="1"/>
  <c r="G213" i="31"/>
  <c r="G214" i="31"/>
  <c r="F50" i="31" s="1"/>
  <c r="G215" i="31"/>
  <c r="G50" i="31" s="1"/>
  <c r="J211" i="31"/>
  <c r="I50" i="31" s="1"/>
  <c r="L215" i="31"/>
  <c r="K50" i="31" s="1"/>
  <c r="G227" i="31"/>
  <c r="E51" i="31" s="1"/>
  <c r="G228" i="31"/>
  <c r="F51" i="31" s="1"/>
  <c r="G229" i="31"/>
  <c r="G51" i="31" s="1"/>
  <c r="J225" i="31"/>
  <c r="I51" i="31" s="1"/>
  <c r="L229" i="31"/>
  <c r="K51" i="31" s="1"/>
  <c r="G314" i="31"/>
  <c r="G315" i="31"/>
  <c r="F52" i="31" s="1"/>
  <c r="G316" i="31"/>
  <c r="G52" i="31" s="1"/>
  <c r="J312" i="31"/>
  <c r="I52" i="31" s="1"/>
  <c r="L316" i="31"/>
  <c r="K52" i="31" s="1"/>
  <c r="G344" i="31"/>
  <c r="E53" i="31" s="1"/>
  <c r="G345" i="31"/>
  <c r="G346" i="31"/>
  <c r="G53" i="31" s="1"/>
  <c r="J342" i="31"/>
  <c r="I53" i="31" s="1"/>
  <c r="L346" i="31"/>
  <c r="K53" i="31" s="1"/>
  <c r="G355" i="31"/>
  <c r="E54" i="31" s="1"/>
  <c r="G356" i="31"/>
  <c r="F54" i="31" s="1"/>
  <c r="G357" i="31"/>
  <c r="G54" i="31" s="1"/>
  <c r="J353" i="31"/>
  <c r="I54" i="31" s="1"/>
  <c r="L357" i="31"/>
  <c r="K54" i="31" s="1"/>
  <c r="G404" i="31"/>
  <c r="F56" i="31" s="1"/>
  <c r="G405" i="31"/>
  <c r="G56" i="31" s="1"/>
  <c r="G429" i="31"/>
  <c r="E57" i="31" s="1"/>
  <c r="G430" i="31"/>
  <c r="G431" i="31"/>
  <c r="G57" i="31" s="1"/>
  <c r="J427" i="31"/>
  <c r="I57" i="31" s="1"/>
  <c r="L431" i="31"/>
  <c r="K57" i="31" s="1"/>
  <c r="H61" i="31"/>
  <c r="M61" i="31" s="1"/>
  <c r="G442" i="31"/>
  <c r="E62" i="31" s="1"/>
  <c r="G443" i="31"/>
  <c r="G444" i="31"/>
  <c r="G62" i="31" s="1"/>
  <c r="H125" i="31"/>
  <c r="A149" i="31"/>
  <c r="J153" i="31"/>
  <c r="L153" i="31"/>
  <c r="N156" i="31"/>
  <c r="G172" i="31"/>
  <c r="J174" i="31"/>
  <c r="J175" i="31"/>
  <c r="J176" i="31"/>
  <c r="N180" i="31"/>
  <c r="G183" i="31"/>
  <c r="J183" i="31"/>
  <c r="J185" i="31"/>
  <c r="J186" i="31"/>
  <c r="K186" i="31"/>
  <c r="L186" i="31"/>
  <c r="M186" i="31"/>
  <c r="J187" i="31"/>
  <c r="K187" i="31"/>
  <c r="L187" i="31"/>
  <c r="M187" i="31"/>
  <c r="N191" i="31"/>
  <c r="G200" i="31"/>
  <c r="J203" i="31"/>
  <c r="K203" i="31"/>
  <c r="L203" i="31"/>
  <c r="M203" i="31"/>
  <c r="J204" i="31"/>
  <c r="K204" i="31"/>
  <c r="M204" i="31"/>
  <c r="N208" i="31"/>
  <c r="G211" i="31"/>
  <c r="J213" i="31"/>
  <c r="J214" i="31"/>
  <c r="K214" i="31"/>
  <c r="L214" i="31"/>
  <c r="M214" i="31"/>
  <c r="J215" i="31"/>
  <c r="K215" i="31"/>
  <c r="M215" i="31"/>
  <c r="N219" i="31"/>
  <c r="G225" i="31"/>
  <c r="J227" i="31"/>
  <c r="J228" i="31"/>
  <c r="K228" i="31"/>
  <c r="L228" i="31"/>
  <c r="M228" i="31"/>
  <c r="J229" i="31"/>
  <c r="K229" i="31"/>
  <c r="M229" i="31"/>
  <c r="N233" i="31"/>
  <c r="G312" i="31"/>
  <c r="J314" i="31"/>
  <c r="J315" i="31"/>
  <c r="K315" i="31"/>
  <c r="J316" i="31"/>
  <c r="K316" i="31"/>
  <c r="M316" i="31"/>
  <c r="N320" i="31"/>
  <c r="G342" i="31"/>
  <c r="J344" i="31"/>
  <c r="J345" i="31"/>
  <c r="K345" i="31"/>
  <c r="J346" i="31"/>
  <c r="K346" i="31"/>
  <c r="M346" i="31"/>
  <c r="N350" i="31"/>
  <c r="G353" i="31"/>
  <c r="J355" i="31"/>
  <c r="J356" i="31"/>
  <c r="K356" i="31"/>
  <c r="L356" i="31"/>
  <c r="M356" i="31"/>
  <c r="J357" i="31"/>
  <c r="K357" i="31"/>
  <c r="M357" i="31"/>
  <c r="N379" i="31"/>
  <c r="J403" i="31"/>
  <c r="J404" i="31"/>
  <c r="J405" i="31"/>
  <c r="N409" i="31"/>
  <c r="G427" i="31"/>
  <c r="J429" i="31"/>
  <c r="J430" i="31"/>
  <c r="K430" i="31"/>
  <c r="L430" i="31"/>
  <c r="M430" i="31"/>
  <c r="J431" i="31"/>
  <c r="K431" i="31"/>
  <c r="M431" i="31"/>
  <c r="N435" i="31"/>
  <c r="G440" i="31"/>
  <c r="J440" i="31"/>
  <c r="K440" i="31"/>
  <c r="M440" i="31"/>
  <c r="J442" i="31"/>
  <c r="J443" i="31"/>
  <c r="K443" i="31"/>
  <c r="M443" i="31"/>
  <c r="J444" i="31"/>
  <c r="K444" i="31"/>
  <c r="M444" i="31"/>
  <c r="K447" i="31"/>
  <c r="K448" i="31"/>
  <c r="A23" i="16"/>
  <c r="A26" i="16"/>
  <c r="C7" i="16"/>
  <c r="K36" i="16"/>
  <c r="L49" i="16"/>
  <c r="K49" i="16"/>
  <c r="L55" i="16"/>
  <c r="G55" i="16"/>
  <c r="A33" i="16"/>
  <c r="F49" i="16"/>
  <c r="A35" i="15"/>
  <c r="N309" i="31"/>
  <c r="N265" i="39"/>
  <c r="N392" i="39"/>
  <c r="N340" i="31"/>
  <c r="N172" i="39"/>
  <c r="N310" i="39"/>
  <c r="K221" i="31"/>
  <c r="N310" i="31"/>
  <c r="N335" i="39"/>
  <c r="K196" i="31"/>
  <c r="K421" i="31"/>
  <c r="N261" i="39"/>
  <c r="K368" i="31"/>
  <c r="N160" i="39"/>
  <c r="N338" i="39"/>
  <c r="K422" i="31"/>
  <c r="K322" i="31"/>
  <c r="N419" i="39"/>
  <c r="N444" i="31"/>
  <c r="N258" i="39"/>
  <c r="N312" i="39"/>
  <c r="M47" i="16"/>
  <c r="N391" i="39"/>
  <c r="K244" i="31"/>
  <c r="N157" i="39"/>
  <c r="N274" i="39"/>
  <c r="M46" i="16"/>
  <c r="N302" i="39"/>
  <c r="K195" i="31"/>
  <c r="N445" i="31"/>
  <c r="N297" i="39"/>
  <c r="K166" i="31"/>
  <c r="K380" i="31"/>
  <c r="K334" i="31"/>
  <c r="K413" i="31"/>
  <c r="N276" i="39"/>
  <c r="N284" i="39"/>
  <c r="K298" i="31"/>
  <c r="N288" i="39"/>
  <c r="K306" i="31"/>
  <c r="K242" i="31"/>
  <c r="N243" i="39"/>
  <c r="N420" i="39"/>
  <c r="K301" i="31"/>
  <c r="K289" i="31"/>
  <c r="K326" i="31"/>
  <c r="N389" i="39"/>
  <c r="N309" i="39"/>
  <c r="N267" i="39"/>
  <c r="K414" i="31"/>
  <c r="K253" i="31"/>
  <c r="N242" i="39"/>
  <c r="K392" i="31"/>
  <c r="N401" i="39"/>
  <c r="K336" i="31"/>
  <c r="K282" i="31"/>
  <c r="N342" i="39"/>
  <c r="N442" i="31"/>
  <c r="K277" i="31"/>
  <c r="K391" i="31"/>
  <c r="K424" i="31"/>
  <c r="O445" i="39"/>
  <c r="N443" i="31"/>
  <c r="O452" i="39"/>
  <c r="N217" i="39"/>
  <c r="K419" i="31"/>
  <c r="K386" i="31"/>
  <c r="K278" i="31"/>
  <c r="N333" i="39"/>
  <c r="K389" i="31"/>
  <c r="K420" i="31"/>
  <c r="K369" i="31"/>
  <c r="K266" i="31"/>
  <c r="K269" i="31"/>
  <c r="N428" i="39"/>
  <c r="K321" i="31"/>
  <c r="K367" i="31"/>
  <c r="N246" i="39"/>
  <c r="N345" i="39"/>
  <c r="K220" i="31"/>
  <c r="N252" i="39"/>
  <c r="K332" i="31"/>
  <c r="K396" i="31"/>
  <c r="K297" i="31"/>
  <c r="N173" i="39"/>
  <c r="N404" i="39"/>
  <c r="K261" i="31"/>
  <c r="K181" i="31"/>
  <c r="K279" i="31"/>
  <c r="K241" i="31"/>
  <c r="N374" i="39"/>
  <c r="K300" i="31"/>
  <c r="K63" i="31"/>
  <c r="G63" i="31"/>
  <c r="N203" i="39"/>
  <c r="N289" i="39"/>
  <c r="N369" i="39"/>
  <c r="N251" i="39"/>
  <c r="N311" i="39"/>
  <c r="N425" i="39"/>
  <c r="N44" i="16"/>
  <c r="N161" i="39"/>
  <c r="N416" i="39"/>
  <c r="K273" i="31"/>
  <c r="N275" i="39"/>
  <c r="K305" i="31"/>
  <c r="K395" i="31"/>
  <c r="K330" i="31"/>
  <c r="N205" i="39"/>
  <c r="N332" i="39"/>
  <c r="K248" i="31"/>
  <c r="N390" i="39"/>
  <c r="N43" i="16"/>
  <c r="K276" i="31"/>
  <c r="N296" i="39"/>
  <c r="K338" i="31"/>
  <c r="N429" i="39"/>
  <c r="N337" i="39"/>
  <c r="K222" i="31"/>
  <c r="N293" i="39"/>
  <c r="K295" i="31"/>
  <c r="N388" i="39"/>
  <c r="N301" i="39"/>
  <c r="O446" i="39"/>
  <c r="K255" i="31"/>
  <c r="N256" i="39"/>
  <c r="K194" i="31"/>
  <c r="N204" i="39"/>
  <c r="N202" i="39"/>
  <c r="K234" i="31"/>
  <c r="N245" i="39"/>
  <c r="N343" i="39"/>
  <c r="K170" i="31"/>
  <c r="N257" i="39"/>
  <c r="N437" i="31"/>
  <c r="K393" i="31"/>
  <c r="N287" i="39"/>
  <c r="N422" i="39"/>
  <c r="N371" i="39"/>
  <c r="K197" i="31"/>
  <c r="N300" i="39"/>
  <c r="K325" i="31"/>
  <c r="K258" i="31"/>
  <c r="K333" i="31"/>
  <c r="N201" i="39"/>
  <c r="K249" i="31"/>
  <c r="N331" i="39"/>
  <c r="O450" i="39"/>
  <c r="N177" i="39"/>
  <c r="N264" i="39"/>
  <c r="N424" i="39"/>
  <c r="N283" i="39"/>
  <c r="N356" i="39"/>
  <c r="N423" i="39"/>
  <c r="N47" i="16"/>
  <c r="N178" i="39"/>
  <c r="K438" i="31"/>
  <c r="K296" i="31"/>
  <c r="K415" i="31"/>
  <c r="N295" i="39"/>
  <c r="K437" i="31"/>
  <c r="N341" i="39"/>
  <c r="K398" i="31"/>
  <c r="K252" i="31"/>
  <c r="K323" i="31"/>
  <c r="N290" i="39"/>
  <c r="N231" i="39"/>
  <c r="N386" i="39"/>
  <c r="N427" i="39"/>
  <c r="N253" i="39"/>
  <c r="K270" i="31"/>
  <c r="N281" i="39"/>
  <c r="N279" i="39"/>
  <c r="N367" i="39"/>
  <c r="N399" i="31"/>
  <c r="K339" i="31"/>
  <c r="N169" i="39"/>
  <c r="N230" i="39"/>
  <c r="N397" i="39"/>
  <c r="N438" i="31"/>
  <c r="K283" i="31"/>
  <c r="K260" i="31"/>
  <c r="N260" i="39"/>
  <c r="N400" i="39"/>
  <c r="N272" i="39"/>
  <c r="N269" i="39"/>
  <c r="N46" i="16"/>
  <c r="K363" i="31"/>
  <c r="K418" i="31"/>
  <c r="O447" i="39"/>
  <c r="K168" i="31"/>
  <c r="K157" i="31"/>
  <c r="N206" i="39"/>
  <c r="K251" i="31"/>
  <c r="K268" i="31"/>
  <c r="K412" i="31"/>
  <c r="N446" i="31"/>
  <c r="N372" i="39"/>
  <c r="N285" i="39"/>
  <c r="K307" i="31"/>
  <c r="N277" i="39"/>
  <c r="K267" i="31"/>
  <c r="K425" i="31"/>
  <c r="N305" i="39"/>
  <c r="N270" i="39"/>
  <c r="K281" i="31"/>
  <c r="K286" i="31"/>
  <c r="K164" i="31"/>
  <c r="K263" i="31"/>
  <c r="N393" i="39"/>
  <c r="K239" i="31"/>
  <c r="K416" i="31"/>
  <c r="K262" i="31"/>
  <c r="M44" i="16"/>
  <c r="N255" i="39"/>
  <c r="K299" i="31"/>
  <c r="N292" i="39"/>
  <c r="N176" i="39"/>
  <c r="S317" i="39"/>
  <c r="K275" i="31"/>
  <c r="N304" i="39"/>
  <c r="N228" i="39"/>
  <c r="K294" i="31"/>
  <c r="K274" i="31"/>
  <c r="K351" i="31"/>
  <c r="K272" i="31"/>
  <c r="N250" i="39"/>
  <c r="K293" i="31"/>
  <c r="K303" i="31"/>
  <c r="K410" i="31"/>
  <c r="N344" i="39"/>
  <c r="K423" i="31"/>
  <c r="K381" i="31"/>
  <c r="K160" i="31"/>
  <c r="N399" i="39"/>
  <c r="K240" i="31"/>
  <c r="N313" i="39"/>
  <c r="N417" i="39"/>
  <c r="N175" i="39"/>
  <c r="G58" i="31"/>
  <c r="J63" i="31"/>
  <c r="K304" i="31"/>
  <c r="K193" i="31"/>
  <c r="N259" i="39"/>
  <c r="K238" i="31"/>
  <c r="N229" i="39"/>
  <c r="K265" i="31"/>
  <c r="N329" i="39"/>
  <c r="N398" i="39"/>
  <c r="N327" i="39"/>
  <c r="K308" i="31"/>
  <c r="K291" i="31"/>
  <c r="K288" i="31"/>
  <c r="N385" i="39"/>
  <c r="K236" i="31"/>
  <c r="K209" i="31"/>
  <c r="K394" i="31"/>
  <c r="N247" i="39"/>
  <c r="K169" i="31"/>
  <c r="N158" i="39"/>
  <c r="N200" i="39"/>
  <c r="N373" i="39"/>
  <c r="K337" i="31"/>
  <c r="N328" i="39"/>
  <c r="N308" i="39"/>
  <c r="N405" i="39"/>
  <c r="K192" i="31"/>
  <c r="N298" i="39"/>
  <c r="K382" i="31"/>
  <c r="K383" i="31"/>
  <c r="N162" i="39"/>
  <c r="K163" i="31"/>
  <c r="K302" i="31"/>
  <c r="L63" i="31"/>
  <c r="K243" i="31"/>
  <c r="K264" i="31"/>
  <c r="K327" i="31"/>
  <c r="K246" i="31"/>
  <c r="N266" i="39"/>
  <c r="K271" i="31"/>
  <c r="N436" i="31"/>
  <c r="K364" i="31"/>
  <c r="N45" i="16"/>
  <c r="K362" i="31"/>
  <c r="N254" i="39"/>
  <c r="N402" i="39"/>
  <c r="N340" i="39"/>
  <c r="N273" i="39"/>
  <c r="N299" i="39"/>
  <c r="N271" i="39"/>
  <c r="N278" i="39"/>
  <c r="K411" i="31"/>
  <c r="K165" i="31"/>
  <c r="N171" i="39"/>
  <c r="N426" i="39"/>
  <c r="N368" i="39"/>
  <c r="N314" i="39"/>
  <c r="K256" i="31"/>
  <c r="K280" i="31"/>
  <c r="K254" i="31"/>
  <c r="N403" i="39"/>
  <c r="K284" i="31"/>
  <c r="N330" i="39"/>
  <c r="N244" i="39"/>
  <c r="K223" i="31"/>
  <c r="N303" i="39"/>
  <c r="N336" i="39"/>
  <c r="K257" i="31"/>
  <c r="N307" i="39"/>
  <c r="K384" i="31"/>
  <c r="K335" i="31"/>
  <c r="K331" i="31"/>
  <c r="K329" i="31"/>
  <c r="N291" i="39"/>
  <c r="N441" i="31"/>
  <c r="K387" i="31"/>
  <c r="N339" i="39"/>
  <c r="N263" i="39"/>
  <c r="K397" i="31"/>
  <c r="K290" i="31"/>
  <c r="K287" i="31"/>
  <c r="J58" i="39"/>
  <c r="E63" i="31"/>
  <c r="N294" i="39"/>
  <c r="O449" i="39"/>
  <c r="K245" i="31"/>
  <c r="N286" i="39"/>
  <c r="N334" i="39"/>
  <c r="N316" i="39"/>
  <c r="N418" i="39"/>
  <c r="N174" i="39"/>
  <c r="K365" i="31"/>
  <c r="N421" i="39"/>
  <c r="N306" i="39"/>
  <c r="K235" i="31"/>
  <c r="M45" i="16"/>
  <c r="K285" i="31"/>
  <c r="N282" i="39"/>
  <c r="K237" i="31"/>
  <c r="K158" i="31"/>
  <c r="R311" i="31"/>
  <c r="K366" i="31"/>
  <c r="K247" i="31"/>
  <c r="K385" i="31"/>
  <c r="M43" i="16"/>
  <c r="N249" i="39"/>
  <c r="N268" i="39"/>
  <c r="K388" i="31"/>
  <c r="K417" i="31"/>
  <c r="K292" i="31"/>
  <c r="K436" i="31"/>
  <c r="N396" i="39"/>
  <c r="K324" i="31"/>
  <c r="N440" i="31"/>
  <c r="K162" i="31"/>
  <c r="I63" i="31"/>
  <c r="N248" i="39"/>
  <c r="N387" i="39"/>
  <c r="N370" i="39"/>
  <c r="N280" i="39"/>
  <c r="N431" i="39"/>
  <c r="K328" i="31"/>
  <c r="N439" i="31"/>
  <c r="K259" i="31"/>
  <c r="N315" i="39"/>
  <c r="N430" i="39"/>
  <c r="K250" i="31"/>
  <c r="K161" i="31"/>
  <c r="K159" i="31"/>
  <c r="K198" i="31"/>
  <c r="K167" i="31"/>
  <c r="K390" i="31"/>
  <c r="N262" i="39"/>
  <c r="I58" i="31"/>
  <c r="M54" i="39" l="1"/>
  <c r="A20" i="16"/>
  <c r="H89" i="39"/>
  <c r="M399" i="31"/>
  <c r="M340" i="31"/>
  <c r="M345" i="31" s="1"/>
  <c r="M309" i="31"/>
  <c r="M310" i="31"/>
  <c r="A159" i="31"/>
  <c r="A160" i="31" s="1"/>
  <c r="A161" i="31" s="1"/>
  <c r="J188" i="31"/>
  <c r="K449" i="31"/>
  <c r="J347" i="31"/>
  <c r="J358" i="31"/>
  <c r="J230" i="31"/>
  <c r="J205" i="31"/>
  <c r="J216" i="31"/>
  <c r="D134" i="39"/>
  <c r="N219" i="39"/>
  <c r="D122" i="39" s="1"/>
  <c r="N347" i="39"/>
  <c r="D125" i="39" s="1"/>
  <c r="N233" i="39"/>
  <c r="D123" i="39" s="1"/>
  <c r="N376" i="39"/>
  <c r="D127" i="39" s="1"/>
  <c r="N180" i="39"/>
  <c r="D120" i="39" s="1"/>
  <c r="N407" i="39"/>
  <c r="D128" i="39" s="1"/>
  <c r="N208" i="39"/>
  <c r="D121" i="39" s="1"/>
  <c r="D136" i="39"/>
  <c r="N433" i="39"/>
  <c r="D129" i="39" s="1"/>
  <c r="D135" i="39"/>
  <c r="N358" i="39"/>
  <c r="D126" i="39" s="1"/>
  <c r="N318" i="39"/>
  <c r="D124" i="39" s="1"/>
  <c r="M299" i="39"/>
  <c r="M301" i="39"/>
  <c r="M173" i="39"/>
  <c r="M158" i="39"/>
  <c r="M345" i="39"/>
  <c r="M267" i="39"/>
  <c r="M249" i="39"/>
  <c r="L221" i="39"/>
  <c r="L224" i="39" s="1"/>
  <c r="M217" i="39"/>
  <c r="L219" i="39"/>
  <c r="M175" i="39"/>
  <c r="M315" i="39"/>
  <c r="M396" i="39"/>
  <c r="M374" i="39"/>
  <c r="M164" i="39"/>
  <c r="M309" i="39"/>
  <c r="M263" i="39"/>
  <c r="M254" i="39"/>
  <c r="M246" i="39"/>
  <c r="M402" i="39"/>
  <c r="M393" i="39"/>
  <c r="M417" i="39"/>
  <c r="M388" i="39"/>
  <c r="M344" i="39"/>
  <c r="M336" i="39"/>
  <c r="M405" i="39"/>
  <c r="M389" i="39"/>
  <c r="I79" i="39"/>
  <c r="H78" i="39"/>
  <c r="H79" i="39" s="1"/>
  <c r="M247" i="39"/>
  <c r="M313" i="39"/>
  <c r="M403" i="39"/>
  <c r="M339" i="39"/>
  <c r="M303" i="39"/>
  <c r="M291" i="39"/>
  <c r="M206" i="39"/>
  <c r="H82" i="39"/>
  <c r="I91" i="39"/>
  <c r="L183" i="39"/>
  <c r="M176" i="39"/>
  <c r="M430" i="39"/>
  <c r="M422" i="39"/>
  <c r="M308" i="39"/>
  <c r="M300" i="39"/>
  <c r="M292" i="39"/>
  <c r="M284" i="39"/>
  <c r="M270" i="39"/>
  <c r="M262" i="39"/>
  <c r="M444" i="39"/>
  <c r="M428" i="39"/>
  <c r="M420" i="39"/>
  <c r="M443" i="39"/>
  <c r="M400" i="39"/>
  <c r="M394" i="39"/>
  <c r="L411" i="39"/>
  <c r="K56" i="39" s="1"/>
  <c r="M373" i="39"/>
  <c r="M342" i="39"/>
  <c r="M399" i="39"/>
  <c r="M429" i="39"/>
  <c r="M306" i="39"/>
  <c r="M298" i="39"/>
  <c r="M282" i="39"/>
  <c r="M276" i="39"/>
  <c r="M268" i="39"/>
  <c r="M333" i="39"/>
  <c r="L349" i="39"/>
  <c r="L352" i="39" s="1"/>
  <c r="L347" i="39"/>
  <c r="M327" i="39"/>
  <c r="M305" i="39"/>
  <c r="M170" i="39"/>
  <c r="M162" i="39"/>
  <c r="M293" i="39"/>
  <c r="M260" i="39"/>
  <c r="M252" i="39"/>
  <c r="M244" i="39"/>
  <c r="L235" i="39"/>
  <c r="L238" i="39" s="1"/>
  <c r="L233" i="39"/>
  <c r="M228" i="39"/>
  <c r="M287" i="39"/>
  <c r="K185" i="39"/>
  <c r="M243" i="39"/>
  <c r="L448" i="39"/>
  <c r="M442" i="39"/>
  <c r="M426" i="39"/>
  <c r="M418" i="39"/>
  <c r="L410" i="39"/>
  <c r="M404" i="39"/>
  <c r="M410" i="39" s="1"/>
  <c r="M398" i="39"/>
  <c r="M427" i="39"/>
  <c r="M371" i="39"/>
  <c r="L378" i="39"/>
  <c r="M367" i="39"/>
  <c r="L376" i="39"/>
  <c r="M340" i="39"/>
  <c r="M332" i="39"/>
  <c r="M397" i="39"/>
  <c r="K412" i="39"/>
  <c r="M401" i="39"/>
  <c r="M343" i="39"/>
  <c r="M312" i="39"/>
  <c r="M304" i="39"/>
  <c r="M296" i="39"/>
  <c r="M288" i="39"/>
  <c r="M280" i="39"/>
  <c r="M274" i="39"/>
  <c r="M266" i="39"/>
  <c r="M297" i="39"/>
  <c r="M386" i="39"/>
  <c r="M330" i="39"/>
  <c r="M368" i="39"/>
  <c r="M273" i="39"/>
  <c r="M202" i="39"/>
  <c r="L49" i="39"/>
  <c r="M174" i="39"/>
  <c r="M168" i="39"/>
  <c r="M421" i="39"/>
  <c r="M279" i="39"/>
  <c r="M258" i="39"/>
  <c r="M250" i="39"/>
  <c r="H85" i="39"/>
  <c r="M230" i="39"/>
  <c r="M277" i="39"/>
  <c r="M159" i="39"/>
  <c r="L184" i="39"/>
  <c r="K43" i="39" s="1"/>
  <c r="M229" i="39"/>
  <c r="M165" i="39"/>
  <c r="M390" i="39"/>
  <c r="M328" i="39"/>
  <c r="M257" i="39"/>
  <c r="M231" i="39"/>
  <c r="M167" i="39"/>
  <c r="M269" i="39"/>
  <c r="L180" i="39"/>
  <c r="L182" i="39"/>
  <c r="M157" i="39"/>
  <c r="M255" i="39"/>
  <c r="M205" i="39"/>
  <c r="H50" i="39"/>
  <c r="G412" i="39"/>
  <c r="E56" i="39"/>
  <c r="M431" i="39"/>
  <c r="M334" i="39"/>
  <c r="L409" i="39"/>
  <c r="L407" i="39"/>
  <c r="M385" i="39"/>
  <c r="M370" i="39"/>
  <c r="M314" i="39"/>
  <c r="M290" i="39"/>
  <c r="M337" i="39"/>
  <c r="M295" i="39"/>
  <c r="M281" i="39"/>
  <c r="M204" i="39"/>
  <c r="L208" i="39"/>
  <c r="L210" i="39"/>
  <c r="L213" i="39" s="1"/>
  <c r="M200" i="39"/>
  <c r="M275" i="39"/>
  <c r="M169" i="39"/>
  <c r="M419" i="39"/>
  <c r="M331" i="39"/>
  <c r="M261" i="39"/>
  <c r="M245" i="39"/>
  <c r="M171" i="39"/>
  <c r="M285" i="39"/>
  <c r="M259" i="39"/>
  <c r="H45" i="39"/>
  <c r="M424" i="39"/>
  <c r="L433" i="39"/>
  <c r="M416" i="39"/>
  <c r="L435" i="39"/>
  <c r="L438" i="39" s="1"/>
  <c r="M395" i="39"/>
  <c r="M423" i="39"/>
  <c r="M391" i="39"/>
  <c r="M369" i="39"/>
  <c r="K381" i="39"/>
  <c r="M338" i="39"/>
  <c r="M425" i="39"/>
  <c r="M372" i="39"/>
  <c r="L379" i="39"/>
  <c r="M335" i="39"/>
  <c r="M310" i="39"/>
  <c r="M302" i="39"/>
  <c r="M294" i="39"/>
  <c r="M286" i="39"/>
  <c r="M278" i="39"/>
  <c r="M272" i="39"/>
  <c r="M264" i="39"/>
  <c r="M387" i="39"/>
  <c r="M356" i="39"/>
  <c r="L358" i="39"/>
  <c r="L360" i="39"/>
  <c r="L363" i="39" s="1"/>
  <c r="M316" i="39"/>
  <c r="M289" i="39"/>
  <c r="M341" i="39"/>
  <c r="M311" i="39"/>
  <c r="M307" i="39"/>
  <c r="M265" i="39"/>
  <c r="M178" i="39"/>
  <c r="M172" i="39"/>
  <c r="M166" i="39"/>
  <c r="M329" i="39"/>
  <c r="M271" i="39"/>
  <c r="M256" i="39"/>
  <c r="M248" i="39"/>
  <c r="L320" i="39"/>
  <c r="L323" i="39" s="1"/>
  <c r="L318" i="39"/>
  <c r="M242" i="39"/>
  <c r="L191" i="39"/>
  <c r="M189" i="39"/>
  <c r="L193" i="39"/>
  <c r="L196" i="39" s="1"/>
  <c r="M177" i="39"/>
  <c r="M161" i="39"/>
  <c r="I102" i="39"/>
  <c r="M283" i="39"/>
  <c r="M253" i="39"/>
  <c r="M203" i="39"/>
  <c r="M163" i="39"/>
  <c r="M160" i="39"/>
  <c r="J65" i="39"/>
  <c r="M251" i="39"/>
  <c r="M201" i="39"/>
  <c r="L397" i="31"/>
  <c r="K404" i="31"/>
  <c r="L398" i="31"/>
  <c r="L170" i="31"/>
  <c r="L169" i="31"/>
  <c r="L168" i="31"/>
  <c r="K175" i="31"/>
  <c r="K176" i="31"/>
  <c r="J177" i="31"/>
  <c r="K405" i="31"/>
  <c r="L369" i="31"/>
  <c r="L368" i="31"/>
  <c r="F62" i="31"/>
  <c r="H62" i="31" s="1"/>
  <c r="G445" i="31"/>
  <c r="E49" i="31"/>
  <c r="H49" i="31" s="1"/>
  <c r="G205" i="31"/>
  <c r="G432" i="31"/>
  <c r="F57" i="31"/>
  <c r="G57" i="16"/>
  <c r="G59" i="16" s="1"/>
  <c r="G358" i="31"/>
  <c r="G347" i="31"/>
  <c r="F53" i="31"/>
  <c r="H53" i="31" s="1"/>
  <c r="G230" i="31"/>
  <c r="J317" i="31"/>
  <c r="H54" i="31"/>
  <c r="E50" i="31"/>
  <c r="H50" i="31" s="1"/>
  <c r="G216" i="31"/>
  <c r="J376" i="31"/>
  <c r="J445" i="31"/>
  <c r="J406" i="31"/>
  <c r="P43" i="16"/>
  <c r="M49" i="16"/>
  <c r="O43" i="16"/>
  <c r="Q47" i="16"/>
  <c r="P44" i="16"/>
  <c r="O44" i="16"/>
  <c r="Q45" i="16"/>
  <c r="L269" i="31"/>
  <c r="P46" i="16"/>
  <c r="O46" i="16"/>
  <c r="G65" i="31"/>
  <c r="L237" i="31"/>
  <c r="L283" i="31"/>
  <c r="O47" i="16"/>
  <c r="P47" i="16"/>
  <c r="Q46" i="16"/>
  <c r="K185" i="31"/>
  <c r="K188" i="31" s="1"/>
  <c r="K183" i="31"/>
  <c r="L181" i="31"/>
  <c r="L253" i="31"/>
  <c r="L423" i="31"/>
  <c r="L299" i="31"/>
  <c r="L382" i="31"/>
  <c r="N49" i="16"/>
  <c r="Q43" i="16"/>
  <c r="O45" i="16"/>
  <c r="P45" i="16"/>
  <c r="Q44" i="16"/>
  <c r="L333" i="31"/>
  <c r="L195" i="31"/>
  <c r="L393" i="31"/>
  <c r="L437" i="31"/>
  <c r="L436" i="31"/>
  <c r="K442" i="31"/>
  <c r="K445" i="31" s="1"/>
  <c r="L325" i="31"/>
  <c r="L245" i="31"/>
  <c r="L159" i="31"/>
  <c r="L223" i="31"/>
  <c r="L307" i="31"/>
  <c r="L275" i="31"/>
  <c r="L261" i="31"/>
  <c r="L415" i="31"/>
  <c r="I101" i="31"/>
  <c r="L291" i="31"/>
  <c r="L327" i="31"/>
  <c r="L263" i="31"/>
  <c r="L247" i="31"/>
  <c r="L161" i="31"/>
  <c r="L417" i="31"/>
  <c r="I87" i="31"/>
  <c r="H87" i="31" s="1"/>
  <c r="L351" i="31"/>
  <c r="K353" i="31"/>
  <c r="J54" i="31" s="1"/>
  <c r="L54" i="31" s="1"/>
  <c r="K355" i="31"/>
  <c r="K358" i="31" s="1"/>
  <c r="L164" i="31"/>
  <c r="L305" i="31"/>
  <c r="L289" i="31"/>
  <c r="L273" i="31"/>
  <c r="L386" i="31"/>
  <c r="L335" i="31"/>
  <c r="L255" i="31"/>
  <c r="L239" i="31"/>
  <c r="L425" i="31"/>
  <c r="L392" i="31"/>
  <c r="L197" i="31"/>
  <c r="L297" i="31"/>
  <c r="L281" i="31"/>
  <c r="L331" i="31"/>
  <c r="L323" i="31"/>
  <c r="L267" i="31"/>
  <c r="L259" i="31"/>
  <c r="L251" i="31"/>
  <c r="L243" i="31"/>
  <c r="L235" i="31"/>
  <c r="L158" i="31"/>
  <c r="L421" i="31"/>
  <c r="L413" i="31"/>
  <c r="L385" i="31"/>
  <c r="L221" i="31"/>
  <c r="L193" i="31"/>
  <c r="L391" i="31"/>
  <c r="L303" i="31"/>
  <c r="L295" i="31"/>
  <c r="L287" i="31"/>
  <c r="L279" i="31"/>
  <c r="L271" i="31"/>
  <c r="L387" i="31"/>
  <c r="L366" i="31"/>
  <c r="L337" i="31"/>
  <c r="L329" i="31"/>
  <c r="I86" i="31"/>
  <c r="H86" i="31" s="1"/>
  <c r="K344" i="31"/>
  <c r="K347" i="31" s="1"/>
  <c r="L321" i="31"/>
  <c r="K342" i="31"/>
  <c r="J53" i="31" s="1"/>
  <c r="L53" i="31" s="1"/>
  <c r="L265" i="31"/>
  <c r="L257" i="31"/>
  <c r="L249" i="31"/>
  <c r="L241" i="31"/>
  <c r="L419" i="31"/>
  <c r="L411" i="31"/>
  <c r="I89" i="31"/>
  <c r="L381" i="31"/>
  <c r="I83" i="31"/>
  <c r="H83" i="31" s="1"/>
  <c r="L209" i="31"/>
  <c r="K211" i="31"/>
  <c r="J50" i="31" s="1"/>
  <c r="L50" i="31" s="1"/>
  <c r="K213" i="31"/>
  <c r="K216" i="31" s="1"/>
  <c r="L166" i="31"/>
  <c r="L301" i="31"/>
  <c r="L293" i="31"/>
  <c r="L285" i="31"/>
  <c r="L277" i="31"/>
  <c r="L364" i="31"/>
  <c r="L334" i="31"/>
  <c r="L330" i="31"/>
  <c r="L326" i="31"/>
  <c r="L322" i="31"/>
  <c r="L266" i="31"/>
  <c r="L262" i="31"/>
  <c r="L258" i="31"/>
  <c r="L254" i="31"/>
  <c r="L250" i="31"/>
  <c r="L246" i="31"/>
  <c r="L242" i="31"/>
  <c r="L238" i="31"/>
  <c r="I85" i="31"/>
  <c r="K312" i="31"/>
  <c r="J52" i="31" s="1"/>
  <c r="L52" i="31" s="1"/>
  <c r="L234" i="31"/>
  <c r="K314" i="31"/>
  <c r="K317" i="31" s="1"/>
  <c r="L422" i="31"/>
  <c r="L418" i="31"/>
  <c r="L414" i="31"/>
  <c r="I90" i="31"/>
  <c r="H90" i="31" s="1"/>
  <c r="L410" i="31"/>
  <c r="K429" i="31"/>
  <c r="K432" i="31" s="1"/>
  <c r="K427" i="31"/>
  <c r="J57" i="31" s="1"/>
  <c r="L57" i="31" s="1"/>
  <c r="L389" i="31"/>
  <c r="J89" i="31"/>
  <c r="K401" i="31"/>
  <c r="J56" i="31" s="1"/>
  <c r="K403" i="31"/>
  <c r="L380" i="31"/>
  <c r="L222" i="31"/>
  <c r="L198" i="31"/>
  <c r="L194" i="31"/>
  <c r="L165" i="31"/>
  <c r="L306" i="31"/>
  <c r="L302" i="31"/>
  <c r="L298" i="31"/>
  <c r="L294" i="31"/>
  <c r="L290" i="31"/>
  <c r="L286" i="31"/>
  <c r="L282" i="31"/>
  <c r="L278" i="31"/>
  <c r="L274" i="31"/>
  <c r="I100" i="31"/>
  <c r="L270" i="31"/>
  <c r="I99" i="31"/>
  <c r="L339" i="31"/>
  <c r="L396" i="31"/>
  <c r="L363" i="31"/>
  <c r="L362" i="31"/>
  <c r="I88" i="31"/>
  <c r="H88" i="31" s="1"/>
  <c r="K371" i="31"/>
  <c r="J55" i="31" s="1"/>
  <c r="L55" i="31" s="1"/>
  <c r="K373" i="31"/>
  <c r="L438" i="31"/>
  <c r="L336" i="31"/>
  <c r="L332" i="31"/>
  <c r="L328" i="31"/>
  <c r="L324" i="31"/>
  <c r="L268" i="31"/>
  <c r="L264" i="31"/>
  <c r="L260" i="31"/>
  <c r="L256" i="31"/>
  <c r="L252" i="31"/>
  <c r="L248" i="31"/>
  <c r="L244" i="31"/>
  <c r="L240" i="31"/>
  <c r="L236" i="31"/>
  <c r="L162" i="31"/>
  <c r="L160" i="31"/>
  <c r="I78" i="31"/>
  <c r="L157" i="31"/>
  <c r="K172" i="31"/>
  <c r="J43" i="31" s="1"/>
  <c r="K174" i="31"/>
  <c r="L424" i="31"/>
  <c r="L420" i="31"/>
  <c r="L416" i="31"/>
  <c r="L412" i="31"/>
  <c r="L390" i="31"/>
  <c r="L384" i="31"/>
  <c r="L338" i="31"/>
  <c r="L220" i="31"/>
  <c r="K227" i="31"/>
  <c r="K230" i="31" s="1"/>
  <c r="I84" i="31"/>
  <c r="H84" i="31" s="1"/>
  <c r="K225" i="31"/>
  <c r="J51" i="31" s="1"/>
  <c r="L51" i="31" s="1"/>
  <c r="L196" i="31"/>
  <c r="I82" i="31"/>
  <c r="K202" i="31"/>
  <c r="K205" i="31" s="1"/>
  <c r="K200" i="31"/>
  <c r="J49" i="31" s="1"/>
  <c r="L49" i="31" s="1"/>
  <c r="L192" i="31"/>
  <c r="L163" i="31"/>
  <c r="L304" i="31"/>
  <c r="L300" i="31"/>
  <c r="L296" i="31"/>
  <c r="L292" i="31"/>
  <c r="L288" i="31"/>
  <c r="L284" i="31"/>
  <c r="L280" i="31"/>
  <c r="L276" i="31"/>
  <c r="L272" i="31"/>
  <c r="L394" i="31"/>
  <c r="L388" i="31"/>
  <c r="L383" i="31"/>
  <c r="L365" i="31"/>
  <c r="L308" i="31"/>
  <c r="J85" i="31"/>
  <c r="L167" i="31"/>
  <c r="L395" i="31"/>
  <c r="L367" i="31"/>
  <c r="K374" i="31"/>
  <c r="R37" i="16"/>
  <c r="Q37" i="16"/>
  <c r="J432" i="31"/>
  <c r="G403" i="31"/>
  <c r="G401" i="31"/>
  <c r="H57" i="31"/>
  <c r="E48" i="31"/>
  <c r="G188" i="31"/>
  <c r="I45" i="31"/>
  <c r="I65" i="31" s="1"/>
  <c r="E43" i="31"/>
  <c r="G177" i="31"/>
  <c r="E52" i="31"/>
  <c r="H52" i="31" s="1"/>
  <c r="G317" i="31"/>
  <c r="H51" i="31"/>
  <c r="E55" i="31"/>
  <c r="H55" i="31" s="1"/>
  <c r="G376" i="31"/>
  <c r="P447" i="39"/>
  <c r="O444" i="39"/>
  <c r="O202" i="39"/>
  <c r="O311" i="39"/>
  <c r="O206" i="39"/>
  <c r="O385" i="39"/>
  <c r="O267" i="39"/>
  <c r="O205" i="39"/>
  <c r="N159" i="31"/>
  <c r="N413" i="31"/>
  <c r="O441" i="31"/>
  <c r="N334" i="31"/>
  <c r="O230" i="39"/>
  <c r="N420" i="31"/>
  <c r="O229" i="39"/>
  <c r="N335" i="31"/>
  <c r="O428" i="39"/>
  <c r="O272" i="39"/>
  <c r="N286" i="31"/>
  <c r="O440" i="31"/>
  <c r="N249" i="31"/>
  <c r="N276" i="31"/>
  <c r="N380" i="31"/>
  <c r="O247" i="39"/>
  <c r="O401" i="39"/>
  <c r="O339" i="39"/>
  <c r="O343" i="39"/>
  <c r="O259" i="39"/>
  <c r="O405" i="39"/>
  <c r="O168" i="39"/>
  <c r="P446" i="39"/>
  <c r="O250" i="39"/>
  <c r="N417" i="31"/>
  <c r="N324" i="31"/>
  <c r="N422" i="31"/>
  <c r="N332" i="31"/>
  <c r="O368" i="39"/>
  <c r="N396" i="31"/>
  <c r="O295" i="39"/>
  <c r="N383" i="31"/>
  <c r="O298" i="39"/>
  <c r="O341" i="39"/>
  <c r="N247" i="31"/>
  <c r="N244" i="31"/>
  <c r="O398" i="39"/>
  <c r="N281" i="31"/>
  <c r="O404" i="39"/>
  <c r="O417" i="39"/>
  <c r="S311" i="31"/>
  <c r="O265" i="39"/>
  <c r="N391" i="31"/>
  <c r="O312" i="39"/>
  <c r="O291" i="39"/>
  <c r="N222" i="31"/>
  <c r="O374" i="39"/>
  <c r="O442" i="39"/>
  <c r="N302" i="31"/>
  <c r="N328" i="31"/>
  <c r="N397" i="31"/>
  <c r="N299" i="31"/>
  <c r="O165" i="39"/>
  <c r="O392" i="39"/>
  <c r="O304" i="39"/>
  <c r="N306" i="31"/>
  <c r="N209" i="31"/>
  <c r="O334" i="39"/>
  <c r="O444" i="31"/>
  <c r="O306" i="39"/>
  <c r="N384" i="31"/>
  <c r="O300" i="39"/>
  <c r="N271" i="31"/>
  <c r="N363" i="31"/>
  <c r="N220" i="31"/>
  <c r="O270" i="39"/>
  <c r="O331" i="39"/>
  <c r="N294" i="31"/>
  <c r="O279" i="39"/>
  <c r="O289" i="39"/>
  <c r="N260" i="31"/>
  <c r="N252" i="31"/>
  <c r="N338" i="31"/>
  <c r="N263" i="31"/>
  <c r="N362" i="31"/>
  <c r="O203" i="39"/>
  <c r="N265" i="31"/>
  <c r="O302" i="39"/>
  <c r="N333" i="31"/>
  <c r="O371" i="39"/>
  <c r="N301" i="31"/>
  <c r="N296" i="31"/>
  <c r="H63" i="31"/>
  <c r="O340" i="31"/>
  <c r="O296" i="39"/>
  <c r="O263" i="39"/>
  <c r="O276" i="39"/>
  <c r="N253" i="31"/>
  <c r="N258" i="31"/>
  <c r="N326" i="31"/>
  <c r="O344" i="39"/>
  <c r="N381" i="31"/>
  <c r="N237" i="31"/>
  <c r="N336" i="31"/>
  <c r="O333" i="39"/>
  <c r="O337" i="39"/>
  <c r="O243" i="39"/>
  <c r="O422" i="39"/>
  <c r="N293" i="31"/>
  <c r="O293" i="39"/>
  <c r="N282" i="31"/>
  <c r="O336" i="39"/>
  <c r="O397" i="39"/>
  <c r="O356" i="39"/>
  <c r="O372" i="39"/>
  <c r="O394" i="39"/>
  <c r="O281" i="39"/>
  <c r="N287" i="31"/>
  <c r="O242" i="39"/>
  <c r="O443" i="39"/>
  <c r="N254" i="31"/>
  <c r="O244" i="39"/>
  <c r="N257" i="31"/>
  <c r="N161" i="31"/>
  <c r="F63" i="31"/>
  <c r="O164" i="39"/>
  <c r="O429" i="39"/>
  <c r="O157" i="39"/>
  <c r="O283" i="39"/>
  <c r="O282" i="39"/>
  <c r="O395" i="39"/>
  <c r="O396" i="39"/>
  <c r="O316" i="39"/>
  <c r="N283" i="31"/>
  <c r="N162" i="31"/>
  <c r="O439" i="31"/>
  <c r="N280" i="31"/>
  <c r="O424" i="39"/>
  <c r="N303" i="31"/>
  <c r="O169" i="39"/>
  <c r="N327" i="31"/>
  <c r="O287" i="39"/>
  <c r="N268" i="31"/>
  <c r="O170" i="39"/>
  <c r="N240" i="31"/>
  <c r="T317" i="39"/>
  <c r="N412" i="31"/>
  <c r="O309" i="31"/>
  <c r="O308" i="39"/>
  <c r="O310" i="31"/>
  <c r="O292" i="39"/>
  <c r="O266" i="39"/>
  <c r="O278" i="39"/>
  <c r="O373" i="39"/>
  <c r="O261" i="39"/>
  <c r="O217" i="39"/>
  <c r="O369" i="39"/>
  <c r="N331" i="31"/>
  <c r="N284" i="31"/>
  <c r="N166" i="31"/>
  <c r="N418" i="31"/>
  <c r="O231" i="39"/>
  <c r="N394" i="31"/>
  <c r="N168" i="31"/>
  <c r="N163" i="31"/>
  <c r="O273" i="39"/>
  <c r="N198" i="31"/>
  <c r="O418" i="39"/>
  <c r="N234" i="31"/>
  <c r="O286" i="39"/>
  <c r="N395" i="31"/>
  <c r="O390" i="39"/>
  <c r="O268" i="39"/>
  <c r="P445" i="39"/>
  <c r="N330" i="31"/>
  <c r="N277" i="31"/>
  <c r="O167" i="39"/>
  <c r="O305" i="39"/>
  <c r="O158" i="39"/>
  <c r="O386" i="39"/>
  <c r="O160" i="39"/>
  <c r="N274" i="31"/>
  <c r="N295" i="31"/>
  <c r="N275" i="31"/>
  <c r="N194" i="31"/>
  <c r="O387" i="39"/>
  <c r="N351" i="31"/>
  <c r="N392" i="31"/>
  <c r="N424" i="31"/>
  <c r="N256" i="31"/>
  <c r="N398" i="31"/>
  <c r="N235" i="31"/>
  <c r="O342" i="39"/>
  <c r="O328" i="39"/>
  <c r="N270" i="31"/>
  <c r="O329" i="39"/>
  <c r="O280" i="39"/>
  <c r="O431" i="39"/>
  <c r="O290" i="39"/>
  <c r="O313" i="39"/>
  <c r="N382" i="31"/>
  <c r="N255" i="31"/>
  <c r="N238" i="31"/>
  <c r="O204" i="39"/>
  <c r="N269" i="31"/>
  <c r="O274" i="39"/>
  <c r="O260" i="39"/>
  <c r="P452" i="39"/>
  <c r="O249" i="39"/>
  <c r="O403" i="39"/>
  <c r="O367" i="39"/>
  <c r="N236" i="31"/>
  <c r="O370" i="39"/>
  <c r="O253" i="39"/>
  <c r="N325" i="31"/>
  <c r="E58" i="39"/>
  <c r="O426" i="39"/>
  <c r="N192" i="31"/>
  <c r="N300" i="31"/>
  <c r="N388" i="31"/>
  <c r="O171" i="39"/>
  <c r="N297" i="31"/>
  <c r="O423" i="39"/>
  <c r="O303" i="39"/>
  <c r="O345" i="39"/>
  <c r="O338" i="39"/>
  <c r="N291" i="31"/>
  <c r="N385" i="31"/>
  <c r="N272" i="31"/>
  <c r="O245" i="39"/>
  <c r="N245" i="31"/>
  <c r="O172" i="39"/>
  <c r="O285" i="39"/>
  <c r="N421" i="31"/>
  <c r="N267" i="31"/>
  <c r="J58" i="31"/>
  <c r="O389" i="39"/>
  <c r="O427" i="39"/>
  <c r="O275" i="39"/>
  <c r="N305" i="31"/>
  <c r="O162" i="39"/>
  <c r="O161" i="39"/>
  <c r="O388" i="39"/>
  <c r="N308" i="31"/>
  <c r="N266" i="31"/>
  <c r="N423" i="31"/>
  <c r="N246" i="31"/>
  <c r="N365" i="31"/>
  <c r="N165" i="31"/>
  <c r="N160" i="31"/>
  <c r="N285" i="31"/>
  <c r="N251" i="31"/>
  <c r="O277" i="39"/>
  <c r="N329" i="31"/>
  <c r="O255" i="39"/>
  <c r="N411" i="31"/>
  <c r="O332" i="39"/>
  <c r="N250" i="31"/>
  <c r="P450" i="39"/>
  <c r="O420" i="39"/>
  <c r="O301" i="39"/>
  <c r="O400" i="39"/>
  <c r="O257" i="39"/>
  <c r="O166" i="39"/>
  <c r="O327" i="39"/>
  <c r="O425" i="39"/>
  <c r="O246" i="39"/>
  <c r="O251" i="39"/>
  <c r="N288" i="31"/>
  <c r="N264" i="31"/>
  <c r="O446" i="31"/>
  <c r="N339" i="31"/>
  <c r="N414" i="31"/>
  <c r="N259" i="31"/>
  <c r="N304" i="31"/>
  <c r="P449" i="39"/>
  <c r="O269" i="39"/>
  <c r="N279" i="31"/>
  <c r="O335" i="39"/>
  <c r="N290" i="31"/>
  <c r="O177" i="39"/>
  <c r="N158" i="31"/>
  <c r="O419" i="39"/>
  <c r="O330" i="39"/>
  <c r="O309" i="39"/>
  <c r="N193" i="31"/>
  <c r="O399" i="31"/>
  <c r="O391" i="39"/>
  <c r="O258" i="39"/>
  <c r="O402" i="39"/>
  <c r="O264" i="39"/>
  <c r="O315" i="39"/>
  <c r="N323" i="31"/>
  <c r="O297" i="39"/>
  <c r="N415" i="31"/>
  <c r="N390" i="31"/>
  <c r="N273" i="31"/>
  <c r="N389" i="31"/>
  <c r="N367" i="31"/>
  <c r="N364" i="31"/>
  <c r="N243" i="31"/>
  <c r="N321" i="31"/>
  <c r="N387" i="31"/>
  <c r="N197" i="31"/>
  <c r="N167" i="31"/>
  <c r="O176" i="39"/>
  <c r="N164" i="31"/>
  <c r="O294" i="39"/>
  <c r="N289" i="31"/>
  <c r="N368" i="31"/>
  <c r="N170" i="31"/>
  <c r="N169" i="31"/>
  <c r="O175" i="39"/>
  <c r="N195" i="31"/>
  <c r="O416" i="39"/>
  <c r="N261" i="31"/>
  <c r="N239" i="31"/>
  <c r="O443" i="31"/>
  <c r="N307" i="31"/>
  <c r="N419" i="31"/>
  <c r="N157" i="31"/>
  <c r="N416" i="31"/>
  <c r="N278" i="31"/>
  <c r="O174" i="39"/>
  <c r="N223" i="31"/>
  <c r="K58" i="39"/>
  <c r="F58" i="31"/>
  <c r="O430" i="39"/>
  <c r="O310" i="39"/>
  <c r="O340" i="39"/>
  <c r="O201" i="39"/>
  <c r="N196" i="31"/>
  <c r="N298" i="31"/>
  <c r="O288" i="39"/>
  <c r="N410" i="31"/>
  <c r="N425" i="31"/>
  <c r="O200" i="39"/>
  <c r="O307" i="39"/>
  <c r="O248" i="39"/>
  <c r="O254" i="39"/>
  <c r="O393" i="39"/>
  <c r="O173" i="39"/>
  <c r="O163" i="39"/>
  <c r="N369" i="31"/>
  <c r="N337" i="31"/>
  <c r="N262" i="31"/>
  <c r="O284" i="39"/>
  <c r="N393" i="31"/>
  <c r="N386" i="31"/>
  <c r="O178" i="39"/>
  <c r="N366" i="31"/>
  <c r="O256" i="39"/>
  <c r="O159" i="39"/>
  <c r="N221" i="31"/>
  <c r="O314" i="39"/>
  <c r="N322" i="31"/>
  <c r="N242" i="31"/>
  <c r="O228" i="39"/>
  <c r="O399" i="39"/>
  <c r="O252" i="39"/>
  <c r="N292" i="31"/>
  <c r="N241" i="31"/>
  <c r="O271" i="39"/>
  <c r="N248" i="31"/>
  <c r="O299" i="39"/>
  <c r="O262" i="39"/>
  <c r="O421" i="39"/>
  <c r="P49" i="16" l="1"/>
  <c r="K57" i="16" s="1"/>
  <c r="K59" i="16" s="1"/>
  <c r="L185" i="39"/>
  <c r="M315" i="31"/>
  <c r="M379" i="39"/>
  <c r="A162" i="31"/>
  <c r="M54" i="31"/>
  <c r="O318" i="39"/>
  <c r="E124" i="39" s="1"/>
  <c r="O376" i="39"/>
  <c r="E127" i="39" s="1"/>
  <c r="E136" i="39"/>
  <c r="O208" i="39"/>
  <c r="E121" i="39" s="1"/>
  <c r="O233" i="39"/>
  <c r="E123" i="39" s="1"/>
  <c r="O219" i="39"/>
  <c r="E122" i="39" s="1"/>
  <c r="O358" i="39"/>
  <c r="E126" i="39" s="1"/>
  <c r="O433" i="39"/>
  <c r="E129" i="39" s="1"/>
  <c r="O407" i="39"/>
  <c r="E128" i="39" s="1"/>
  <c r="E65" i="39"/>
  <c r="O347" i="39"/>
  <c r="E125" i="39" s="1"/>
  <c r="E134" i="39"/>
  <c r="E135" i="39"/>
  <c r="O180" i="39"/>
  <c r="E120" i="39" s="1"/>
  <c r="M433" i="39"/>
  <c r="M435" i="39"/>
  <c r="M438" i="39" s="1"/>
  <c r="L381" i="39"/>
  <c r="M320" i="39"/>
  <c r="M323" i="39" s="1"/>
  <c r="M318" i="39"/>
  <c r="L412" i="39"/>
  <c r="M411" i="39"/>
  <c r="M50" i="39"/>
  <c r="L451" i="39"/>
  <c r="M376" i="39"/>
  <c r="M378" i="39"/>
  <c r="M210" i="39"/>
  <c r="M213" i="39" s="1"/>
  <c r="M208" i="39"/>
  <c r="M182" i="39"/>
  <c r="M180" i="39"/>
  <c r="L56" i="39"/>
  <c r="M193" i="39"/>
  <c r="M196" i="39" s="1"/>
  <c r="M191" i="39"/>
  <c r="M407" i="39"/>
  <c r="M409" i="39"/>
  <c r="H56" i="39"/>
  <c r="M184" i="39"/>
  <c r="M448" i="39"/>
  <c r="M451" i="39" s="1"/>
  <c r="M349" i="39"/>
  <c r="M352" i="39" s="1"/>
  <c r="M347" i="39"/>
  <c r="H91" i="39"/>
  <c r="H93" i="39" s="1"/>
  <c r="B105" i="39" s="1"/>
  <c r="I93" i="39"/>
  <c r="D130" i="39"/>
  <c r="M360" i="39"/>
  <c r="M363" i="39" s="1"/>
  <c r="M358" i="39"/>
  <c r="K45" i="39"/>
  <c r="K65" i="39" s="1"/>
  <c r="L43" i="39"/>
  <c r="M49" i="39"/>
  <c r="M235" i="39"/>
  <c r="M238" i="39" s="1"/>
  <c r="M233" i="39"/>
  <c r="M183" i="39"/>
  <c r="M221" i="39"/>
  <c r="M224" i="39" s="1"/>
  <c r="M219" i="39"/>
  <c r="D137" i="39"/>
  <c r="L134" i="39"/>
  <c r="M397" i="31"/>
  <c r="L404" i="31"/>
  <c r="M398" i="31"/>
  <c r="K406" i="31"/>
  <c r="M169" i="31"/>
  <c r="M170" i="31"/>
  <c r="M168" i="31"/>
  <c r="L175" i="31"/>
  <c r="K177" i="31"/>
  <c r="L405" i="31"/>
  <c r="K56" i="31" s="1"/>
  <c r="L56" i="31" s="1"/>
  <c r="L176" i="31"/>
  <c r="K43" i="31" s="1"/>
  <c r="K45" i="31" s="1"/>
  <c r="M369" i="31"/>
  <c r="M368" i="31"/>
  <c r="M55" i="31"/>
  <c r="I102" i="31"/>
  <c r="R44" i="16"/>
  <c r="F65" i="31"/>
  <c r="J45" i="31"/>
  <c r="J65" i="31" s="1"/>
  <c r="M50" i="31"/>
  <c r="N172" i="31"/>
  <c r="D120" i="31" s="1"/>
  <c r="N427" i="31"/>
  <c r="D129" i="31" s="1"/>
  <c r="N200" i="31"/>
  <c r="D121" i="31" s="1"/>
  <c r="N225" i="31"/>
  <c r="D123" i="31" s="1"/>
  <c r="D135" i="31"/>
  <c r="N211" i="31"/>
  <c r="D122" i="31" s="1"/>
  <c r="N342" i="31"/>
  <c r="D125" i="31" s="1"/>
  <c r="N353" i="31"/>
  <c r="D126" i="31" s="1"/>
  <c r="N401" i="31"/>
  <c r="D128" i="31" s="1"/>
  <c r="N312" i="31"/>
  <c r="D124" i="31" s="1"/>
  <c r="N371" i="31"/>
  <c r="D127" i="31" s="1"/>
  <c r="D134" i="31"/>
  <c r="D136" i="31"/>
  <c r="J91" i="31"/>
  <c r="J93" i="31" s="1"/>
  <c r="M390" i="31"/>
  <c r="H89" i="31"/>
  <c r="R47" i="16"/>
  <c r="R46" i="16"/>
  <c r="M52" i="31"/>
  <c r="M57" i="31"/>
  <c r="H85" i="31"/>
  <c r="R45" i="16"/>
  <c r="M49" i="31"/>
  <c r="M395" i="31"/>
  <c r="M272" i="31"/>
  <c r="M288" i="31"/>
  <c r="M304" i="31"/>
  <c r="M384" i="31"/>
  <c r="M420" i="31"/>
  <c r="M157" i="31"/>
  <c r="L172" i="31"/>
  <c r="L174" i="31"/>
  <c r="M162" i="31"/>
  <c r="M248" i="31"/>
  <c r="M264" i="31"/>
  <c r="M332" i="31"/>
  <c r="K376" i="31"/>
  <c r="M363" i="31"/>
  <c r="M339" i="31"/>
  <c r="M286" i="31"/>
  <c r="M302" i="31"/>
  <c r="M198" i="31"/>
  <c r="M418" i="31"/>
  <c r="M250" i="31"/>
  <c r="M266" i="31"/>
  <c r="M334" i="31"/>
  <c r="M293" i="31"/>
  <c r="M241" i="31"/>
  <c r="M329" i="31"/>
  <c r="M387" i="31"/>
  <c r="M295" i="31"/>
  <c r="M221" i="31"/>
  <c r="M158" i="31"/>
  <c r="M251" i="31"/>
  <c r="M331" i="31"/>
  <c r="M392" i="31"/>
  <c r="M335" i="31"/>
  <c r="M273" i="31"/>
  <c r="M417" i="31"/>
  <c r="M327" i="31"/>
  <c r="M223" i="31"/>
  <c r="M436" i="31"/>
  <c r="L442" i="31"/>
  <c r="M333" i="31"/>
  <c r="M423" i="31"/>
  <c r="M62" i="31"/>
  <c r="M51" i="31"/>
  <c r="E45" i="31"/>
  <c r="H43" i="31"/>
  <c r="H48" i="31"/>
  <c r="M367" i="31"/>
  <c r="M374" i="31" s="1"/>
  <c r="L374" i="31"/>
  <c r="M365" i="31"/>
  <c r="M383" i="31"/>
  <c r="M276" i="31"/>
  <c r="M292" i="31"/>
  <c r="M163" i="31"/>
  <c r="H82" i="31"/>
  <c r="I91" i="31"/>
  <c r="M424" i="31"/>
  <c r="H78" i="31"/>
  <c r="H79" i="31" s="1"/>
  <c r="I79" i="31"/>
  <c r="M236" i="31"/>
  <c r="M252" i="31"/>
  <c r="M268" i="31"/>
  <c r="M336" i="31"/>
  <c r="M396" i="31"/>
  <c r="M274" i="31"/>
  <c r="M290" i="31"/>
  <c r="M306" i="31"/>
  <c r="M222" i="31"/>
  <c r="M410" i="31"/>
  <c r="L429" i="31"/>
  <c r="L432" i="31" s="1"/>
  <c r="L427" i="31"/>
  <c r="M422" i="31"/>
  <c r="M238" i="31"/>
  <c r="M254" i="31"/>
  <c r="M322" i="31"/>
  <c r="M301" i="31"/>
  <c r="L211" i="31"/>
  <c r="L213" i="31"/>
  <c r="L216" i="31" s="1"/>
  <c r="M209" i="31"/>
  <c r="M411" i="31"/>
  <c r="M249" i="31"/>
  <c r="L342" i="31"/>
  <c r="M321" i="31"/>
  <c r="L344" i="31"/>
  <c r="L347" i="31" s="1"/>
  <c r="M337" i="31"/>
  <c r="M366" i="31"/>
  <c r="M271" i="31"/>
  <c r="M303" i="31"/>
  <c r="M385" i="31"/>
  <c r="M259" i="31"/>
  <c r="M281" i="31"/>
  <c r="M425" i="31"/>
  <c r="M289" i="31"/>
  <c r="M161" i="31"/>
  <c r="M159" i="31"/>
  <c r="M437" i="31"/>
  <c r="M253" i="31"/>
  <c r="M269" i="31"/>
  <c r="M53" i="31"/>
  <c r="M167" i="31"/>
  <c r="M388" i="31"/>
  <c r="M280" i="31"/>
  <c r="M296" i="31"/>
  <c r="M192" i="31"/>
  <c r="L200" i="31"/>
  <c r="L202" i="31"/>
  <c r="L205" i="31" s="1"/>
  <c r="M196" i="31"/>
  <c r="L225" i="31"/>
  <c r="L227" i="31"/>
  <c r="L230" i="31" s="1"/>
  <c r="M220" i="31"/>
  <c r="M412" i="31"/>
  <c r="M160" i="31"/>
  <c r="M240" i="31"/>
  <c r="M256" i="31"/>
  <c r="M324" i="31"/>
  <c r="M438" i="31"/>
  <c r="M278" i="31"/>
  <c r="M294" i="31"/>
  <c r="M165" i="31"/>
  <c r="L401" i="31"/>
  <c r="M380" i="31"/>
  <c r="L403" i="31"/>
  <c r="M389" i="31"/>
  <c r="L312" i="31"/>
  <c r="L314" i="31"/>
  <c r="L317" i="31" s="1"/>
  <c r="M234" i="31"/>
  <c r="M242" i="31"/>
  <c r="M258" i="31"/>
  <c r="M326" i="31"/>
  <c r="M364" i="31"/>
  <c r="M277" i="31"/>
  <c r="M166" i="31"/>
  <c r="M419" i="31"/>
  <c r="M257" i="31"/>
  <c r="M279" i="31"/>
  <c r="M391" i="31"/>
  <c r="M413" i="31"/>
  <c r="M235" i="31"/>
  <c r="M267" i="31"/>
  <c r="M297" i="31"/>
  <c r="M239" i="31"/>
  <c r="M305" i="31"/>
  <c r="M351" i="31"/>
  <c r="L353" i="31"/>
  <c r="L355" i="31"/>
  <c r="L358" i="31" s="1"/>
  <c r="M247" i="31"/>
  <c r="M415" i="31"/>
  <c r="M275" i="31"/>
  <c r="M245" i="31"/>
  <c r="M393" i="31"/>
  <c r="M382" i="31"/>
  <c r="M237" i="31"/>
  <c r="G406" i="31"/>
  <c r="E56" i="31"/>
  <c r="M308" i="31"/>
  <c r="M394" i="31"/>
  <c r="M284" i="31"/>
  <c r="M300" i="31"/>
  <c r="M338" i="31"/>
  <c r="M416" i="31"/>
  <c r="M244" i="31"/>
  <c r="M260" i="31"/>
  <c r="M328" i="31"/>
  <c r="L373" i="31"/>
  <c r="L371" i="31"/>
  <c r="M362" i="31"/>
  <c r="M270" i="31"/>
  <c r="M282" i="31"/>
  <c r="M298" i="31"/>
  <c r="M194" i="31"/>
  <c r="M414" i="31"/>
  <c r="M246" i="31"/>
  <c r="M262" i="31"/>
  <c r="M330" i="31"/>
  <c r="M285" i="31"/>
  <c r="M381" i="31"/>
  <c r="M265" i="31"/>
  <c r="M287" i="31"/>
  <c r="M193" i="31"/>
  <c r="M421" i="31"/>
  <c r="M243" i="31"/>
  <c r="M323" i="31"/>
  <c r="M197" i="31"/>
  <c r="M255" i="31"/>
  <c r="M386" i="31"/>
  <c r="M164" i="31"/>
  <c r="M263" i="31"/>
  <c r="M291" i="31"/>
  <c r="M261" i="31"/>
  <c r="M307" i="31"/>
  <c r="M325" i="31"/>
  <c r="M195" i="31"/>
  <c r="M299" i="31"/>
  <c r="M181" i="31"/>
  <c r="L183" i="31"/>
  <c r="L185" i="31"/>
  <c r="L188" i="31" s="1"/>
  <c r="M283" i="31"/>
  <c r="O49" i="16"/>
  <c r="I57" i="16" s="1"/>
  <c r="R43" i="16"/>
  <c r="A163" i="31" l="1"/>
  <c r="R49" i="16"/>
  <c r="M381" i="39"/>
  <c r="M185" i="39"/>
  <c r="E137" i="39"/>
  <c r="M134" i="39"/>
  <c r="L45" i="39"/>
  <c r="M43" i="39"/>
  <c r="M45" i="39" s="1"/>
  <c r="M56" i="39"/>
  <c r="M412" i="39"/>
  <c r="E130" i="39"/>
  <c r="M404" i="31"/>
  <c r="M175" i="31"/>
  <c r="L177" i="31"/>
  <c r="L406" i="31"/>
  <c r="L43" i="31"/>
  <c r="L45" i="31" s="1"/>
  <c r="M176" i="31"/>
  <c r="M405" i="31"/>
  <c r="H91" i="31"/>
  <c r="H93" i="31" s="1"/>
  <c r="B105" i="31" s="1"/>
  <c r="D137" i="31"/>
  <c r="L134" i="31"/>
  <c r="D130" i="31"/>
  <c r="M442" i="31"/>
  <c r="M445" i="31" s="1"/>
  <c r="L376" i="31"/>
  <c r="I93" i="31"/>
  <c r="M185" i="31"/>
  <c r="M188" i="31" s="1"/>
  <c r="M183" i="31"/>
  <c r="M373" i="31"/>
  <c r="M376" i="31" s="1"/>
  <c r="M371" i="31"/>
  <c r="M401" i="31"/>
  <c r="M403" i="31"/>
  <c r="M227" i="31"/>
  <c r="M230" i="31" s="1"/>
  <c r="M225" i="31"/>
  <c r="M172" i="31"/>
  <c r="M174" i="31"/>
  <c r="H56" i="31"/>
  <c r="M202" i="31"/>
  <c r="M205" i="31" s="1"/>
  <c r="M200" i="31"/>
  <c r="M48" i="31"/>
  <c r="I59" i="16"/>
  <c r="L57" i="16"/>
  <c r="L59" i="16" s="1"/>
  <c r="L445" i="31"/>
  <c r="M353" i="31"/>
  <c r="M355" i="31"/>
  <c r="M358" i="31" s="1"/>
  <c r="M342" i="31"/>
  <c r="M344" i="31"/>
  <c r="M347" i="31" s="1"/>
  <c r="H45" i="31"/>
  <c r="M314" i="31"/>
  <c r="M317" i="31" s="1"/>
  <c r="M312" i="31"/>
  <c r="M213" i="31"/>
  <c r="M216" i="31" s="1"/>
  <c r="M211" i="31"/>
  <c r="M427" i="31"/>
  <c r="M429" i="31"/>
  <c r="M432" i="31" s="1"/>
  <c r="P329" i="39"/>
  <c r="P230" i="39"/>
  <c r="P243" i="39"/>
  <c r="P304" i="39"/>
  <c r="P388" i="39"/>
  <c r="P312" i="39"/>
  <c r="P284" i="39"/>
  <c r="P311" i="39"/>
  <c r="P287" i="39"/>
  <c r="P259" i="39"/>
  <c r="P401" i="39"/>
  <c r="O168" i="31"/>
  <c r="O289" i="31"/>
  <c r="O337" i="31"/>
  <c r="P168" i="39"/>
  <c r="O335" i="31"/>
  <c r="P247" i="39"/>
  <c r="O391" i="31"/>
  <c r="O333" i="31"/>
  <c r="O423" i="31"/>
  <c r="O324" i="31"/>
  <c r="O336" i="31"/>
  <c r="O321" i="31"/>
  <c r="P272" i="39"/>
  <c r="P309" i="39"/>
  <c r="P391" i="39"/>
  <c r="P200" i="39"/>
  <c r="P261" i="39"/>
  <c r="P374" i="39"/>
  <c r="P293" i="39"/>
  <c r="P280" i="39"/>
  <c r="P250" i="39"/>
  <c r="P300" i="39"/>
  <c r="O369" i="31"/>
  <c r="O437" i="31"/>
  <c r="O382" i="31"/>
  <c r="O261" i="31"/>
  <c r="P427" i="39"/>
  <c r="O323" i="31"/>
  <c r="O263" i="31"/>
  <c r="O307" i="31"/>
  <c r="O424" i="31"/>
  <c r="O300" i="31"/>
  <c r="P337" i="39"/>
  <c r="P277" i="39"/>
  <c r="P217" i="39"/>
  <c r="P419" i="39"/>
  <c r="P334" i="39"/>
  <c r="P268" i="39"/>
  <c r="P301" i="39"/>
  <c r="P231" i="39"/>
  <c r="P404" i="39"/>
  <c r="P285" i="39"/>
  <c r="O448" i="39"/>
  <c r="P399" i="39"/>
  <c r="O161" i="31"/>
  <c r="O419" i="31"/>
  <c r="O438" i="31"/>
  <c r="O418" i="31"/>
  <c r="O243" i="31"/>
  <c r="O365" i="31"/>
  <c r="O170" i="31"/>
  <c r="O157" i="31"/>
  <c r="O294" i="31"/>
  <c r="O414" i="31"/>
  <c r="O411" i="31"/>
  <c r="P341" i="39"/>
  <c r="P265" i="39"/>
  <c r="P206" i="39"/>
  <c r="P244" i="39"/>
  <c r="P160" i="39"/>
  <c r="P308" i="39"/>
  <c r="P274" i="39"/>
  <c r="P167" i="39"/>
  <c r="P295" i="39"/>
  <c r="P332" i="39"/>
  <c r="O305" i="31"/>
  <c r="O413" i="31"/>
  <c r="O328" i="31"/>
  <c r="P264" i="39"/>
  <c r="P440" i="31"/>
  <c r="O267" i="31"/>
  <c r="O304" i="31"/>
  <c r="O367" i="31"/>
  <c r="O410" i="31"/>
  <c r="O240" i="31"/>
  <c r="P203" i="39"/>
  <c r="O223" i="31"/>
  <c r="O236" i="31"/>
  <c r="O269" i="31"/>
  <c r="O244" i="31"/>
  <c r="M63" i="31"/>
  <c r="P290" i="39"/>
  <c r="P291" i="39"/>
  <c r="P328" i="39"/>
  <c r="P426" i="39"/>
  <c r="P422" i="39"/>
  <c r="P444" i="31"/>
  <c r="O420" i="31"/>
  <c r="O279" i="31"/>
  <c r="O297" i="31"/>
  <c r="O421" i="31"/>
  <c r="P398" i="39"/>
  <c r="O392" i="31"/>
  <c r="O417" i="31"/>
  <c r="O251" i="31"/>
  <c r="H58" i="39"/>
  <c r="P273" i="39"/>
  <c r="P257" i="39"/>
  <c r="P344" i="39"/>
  <c r="P299" i="39"/>
  <c r="P177" i="39"/>
  <c r="P429" i="39"/>
  <c r="P331" i="39"/>
  <c r="P441" i="31"/>
  <c r="O415" i="31"/>
  <c r="O286" i="31"/>
  <c r="O247" i="31"/>
  <c r="O290" i="31"/>
  <c r="O334" i="31"/>
  <c r="O158" i="31"/>
  <c r="P253" i="39"/>
  <c r="P416" i="39"/>
  <c r="P288" i="39"/>
  <c r="P202" i="39"/>
  <c r="P162" i="39"/>
  <c r="P173" i="39"/>
  <c r="P442" i="39"/>
  <c r="O270" i="31"/>
  <c r="P245" i="39"/>
  <c r="P343" i="39"/>
  <c r="P254" i="39"/>
  <c r="O164" i="31"/>
  <c r="O416" i="31"/>
  <c r="P281" i="39"/>
  <c r="P258" i="39"/>
  <c r="P403" i="39"/>
  <c r="P269" i="39"/>
  <c r="P327" i="39"/>
  <c r="P282" i="39"/>
  <c r="O329" i="31"/>
  <c r="P169" i="39"/>
  <c r="O397" i="31"/>
  <c r="O169" i="31"/>
  <c r="O364" i="31"/>
  <c r="O299" i="31"/>
  <c r="P310" i="31"/>
  <c r="P428" i="39"/>
  <c r="P393" i="39"/>
  <c r="P275" i="39"/>
  <c r="P307" i="39"/>
  <c r="P430" i="39"/>
  <c r="Q445" i="39"/>
  <c r="O273" i="31"/>
  <c r="O291" i="31"/>
  <c r="O280" i="31"/>
  <c r="O246" i="31"/>
  <c r="O241" i="31"/>
  <c r="O368" i="31"/>
  <c r="O303" i="31"/>
  <c r="O308" i="31"/>
  <c r="L58" i="39"/>
  <c r="P175" i="39"/>
  <c r="P395" i="39"/>
  <c r="P368" i="39"/>
  <c r="P157" i="39"/>
  <c r="P402" i="39"/>
  <c r="P345" i="39"/>
  <c r="P385" i="39"/>
  <c r="O195" i="31"/>
  <c r="O192" i="31"/>
  <c r="O383" i="31"/>
  <c r="O237" i="31"/>
  <c r="O302" i="31"/>
  <c r="O166" i="31"/>
  <c r="O268" i="31"/>
  <c r="P297" i="39"/>
  <c r="P306" i="39"/>
  <c r="P267" i="39"/>
  <c r="P420" i="39"/>
  <c r="P278" i="39"/>
  <c r="P298" i="39"/>
  <c r="P333" i="39"/>
  <c r="O222" i="31"/>
  <c r="P387" i="39"/>
  <c r="P397" i="39"/>
  <c r="P294" i="39"/>
  <c r="P172" i="39"/>
  <c r="P423" i="39"/>
  <c r="P389" i="39"/>
  <c r="P176" i="39"/>
  <c r="P266" i="39"/>
  <c r="P370" i="39"/>
  <c r="P174" i="39"/>
  <c r="P439" i="31"/>
  <c r="O256" i="31"/>
  <c r="O159" i="31"/>
  <c r="P279" i="39"/>
  <c r="O163" i="31"/>
  <c r="O162" i="31"/>
  <c r="O165" i="31"/>
  <c r="O394" i="31"/>
  <c r="O330" i="31"/>
  <c r="O255" i="31"/>
  <c r="O425" i="31"/>
  <c r="O288" i="31"/>
  <c r="P399" i="31"/>
  <c r="P228" i="39"/>
  <c r="P161" i="39"/>
  <c r="P444" i="39"/>
  <c r="P229" i="39"/>
  <c r="P283" i="39"/>
  <c r="P248" i="39"/>
  <c r="P372" i="39"/>
  <c r="P400" i="39"/>
  <c r="P305" i="39"/>
  <c r="P396" i="39"/>
  <c r="O167" i="31"/>
  <c r="O274" i="31"/>
  <c r="O389" i="31"/>
  <c r="O362" i="31"/>
  <c r="O209" i="31"/>
  <c r="O287" i="31"/>
  <c r="O264" i="31"/>
  <c r="O254" i="31"/>
  <c r="P313" i="39"/>
  <c r="O283" i="31"/>
  <c r="P340" i="31"/>
  <c r="P394" i="39"/>
  <c r="P356" i="39"/>
  <c r="P339" i="39"/>
  <c r="P338" i="39"/>
  <c r="P256" i="39"/>
  <c r="P260" i="39"/>
  <c r="P205" i="39"/>
  <c r="P270" i="39"/>
  <c r="P315" i="39"/>
  <c r="P276" i="39"/>
  <c r="O327" i="31"/>
  <c r="O385" i="31"/>
  <c r="O271" i="31"/>
  <c r="O221" i="31"/>
  <c r="O253" i="31"/>
  <c r="O197" i="31"/>
  <c r="O325" i="31"/>
  <c r="O332" i="31"/>
  <c r="O257" i="31"/>
  <c r="O252" i="31"/>
  <c r="O422" i="31"/>
  <c r="O258" i="31"/>
  <c r="P421" i="39"/>
  <c r="P201" i="39"/>
  <c r="P262" i="39"/>
  <c r="Q450" i="39"/>
  <c r="P158" i="39"/>
  <c r="O272" i="31"/>
  <c r="O395" i="31"/>
  <c r="O249" i="31"/>
  <c r="O296" i="31"/>
  <c r="O196" i="31"/>
  <c r="O339" i="31"/>
  <c r="P163" i="39"/>
  <c r="P316" i="39"/>
  <c r="P246" i="39"/>
  <c r="O250" i="31"/>
  <c r="P159" i="39"/>
  <c r="O277" i="31"/>
  <c r="O235" i="31"/>
  <c r="O295" i="31"/>
  <c r="Q449" i="39"/>
  <c r="Q447" i="39"/>
  <c r="P335" i="39"/>
  <c r="P336" i="39"/>
  <c r="T311" i="31"/>
  <c r="O275" i="31"/>
  <c r="O380" i="31"/>
  <c r="O248" i="31"/>
  <c r="P242" i="39"/>
  <c r="P271" i="39"/>
  <c r="P386" i="39"/>
  <c r="Q452" i="39"/>
  <c r="P249" i="39"/>
  <c r="O301" i="31"/>
  <c r="O284" i="31"/>
  <c r="O393" i="31"/>
  <c r="O262" i="31"/>
  <c r="O278" i="31"/>
  <c r="P425" i="39"/>
  <c r="P424" i="39"/>
  <c r="P342" i="39"/>
  <c r="P417" i="39"/>
  <c r="O412" i="31"/>
  <c r="O322" i="31"/>
  <c r="O194" i="31"/>
  <c r="O266" i="31"/>
  <c r="O234" i="31"/>
  <c r="O193" i="31"/>
  <c r="L58" i="31"/>
  <c r="P309" i="31"/>
  <c r="P164" i="39"/>
  <c r="P289" i="39"/>
  <c r="P303" i="39"/>
  <c r="O436" i="31"/>
  <c r="P204" i="39"/>
  <c r="O386" i="31"/>
  <c r="O220" i="31"/>
  <c r="O238" i="31"/>
  <c r="P371" i="39"/>
  <c r="P367" i="39"/>
  <c r="P418" i="39"/>
  <c r="P390" i="39"/>
  <c r="O387" i="31"/>
  <c r="O384" i="31"/>
  <c r="O388" i="31"/>
  <c r="P255" i="39"/>
  <c r="P310" i="39"/>
  <c r="O265" i="31"/>
  <c r="O363" i="31"/>
  <c r="P443" i="31"/>
  <c r="P314" i="39"/>
  <c r="P296" i="39"/>
  <c r="P178" i="39"/>
  <c r="P431" i="39"/>
  <c r="O306" i="31"/>
  <c r="O259" i="31"/>
  <c r="E58" i="31"/>
  <c r="O292" i="31"/>
  <c r="P446" i="31"/>
  <c r="P170" i="39"/>
  <c r="Q446" i="39"/>
  <c r="P392" i="39"/>
  <c r="O338" i="31"/>
  <c r="O298" i="31"/>
  <c r="O390" i="31"/>
  <c r="P330" i="39"/>
  <c r="P165" i="39"/>
  <c r="P443" i="39"/>
  <c r="O242" i="31"/>
  <c r="O381" i="31"/>
  <c r="O396" i="31"/>
  <c r="K58" i="31"/>
  <c r="U317" i="39"/>
  <c r="P302" i="39"/>
  <c r="O245" i="31"/>
  <c r="O331" i="31"/>
  <c r="P340" i="39"/>
  <c r="O293" i="31"/>
  <c r="P251" i="39"/>
  <c r="P292" i="39"/>
  <c r="P166" i="39"/>
  <c r="P405" i="39"/>
  <c r="O351" i="31"/>
  <c r="O281" i="31"/>
  <c r="P286" i="39"/>
  <c r="P263" i="39"/>
  <c r="O326" i="31"/>
  <c r="O398" i="31"/>
  <c r="O160" i="31"/>
  <c r="O282" i="31"/>
  <c r="O285" i="31"/>
  <c r="O276" i="31"/>
  <c r="P373" i="39"/>
  <c r="P171" i="39"/>
  <c r="P252" i="39"/>
  <c r="O366" i="31"/>
  <c r="O198" i="31"/>
  <c r="P369" i="39"/>
  <c r="O260" i="31"/>
  <c r="O239" i="31"/>
  <c r="Q169" i="39"/>
  <c r="Q278" i="39"/>
  <c r="Q258" i="39"/>
  <c r="P209" i="31"/>
  <c r="P334" i="31"/>
  <c r="P251" i="31"/>
  <c r="P165" i="31"/>
  <c r="P419" i="31"/>
  <c r="Q420" i="39"/>
  <c r="Q443" i="39"/>
  <c r="Q289" i="39"/>
  <c r="Q393" i="39"/>
  <c r="P438" i="31"/>
  <c r="P265" i="31"/>
  <c r="P274" i="31"/>
  <c r="Q333" i="39"/>
  <c r="Q165" i="39"/>
  <c r="Q356" i="39"/>
  <c r="P301" i="31"/>
  <c r="Q316" i="39"/>
  <c r="P307" i="31"/>
  <c r="Q245" i="39"/>
  <c r="Q342" i="39"/>
  <c r="Q201" i="39"/>
  <c r="P369" i="31"/>
  <c r="P257" i="31"/>
  <c r="P289" i="31"/>
  <c r="P364" i="31"/>
  <c r="Q402" i="39"/>
  <c r="Q340" i="39"/>
  <c r="Q274" i="39"/>
  <c r="Q344" i="39"/>
  <c r="P221" i="31"/>
  <c r="P284" i="31"/>
  <c r="P164" i="31"/>
  <c r="Q385" i="39"/>
  <c r="Q335" i="39"/>
  <c r="Q265" i="39"/>
  <c r="P196" i="31"/>
  <c r="Q404" i="39"/>
  <c r="Q242" i="39"/>
  <c r="P262" i="31"/>
  <c r="Q430" i="39"/>
  <c r="P321" i="31"/>
  <c r="Q281" i="39"/>
  <c r="Q285" i="39"/>
  <c r="P193" i="31"/>
  <c r="P194" i="31"/>
  <c r="P303" i="31"/>
  <c r="Q332" i="39"/>
  <c r="P244" i="31"/>
  <c r="P195" i="31"/>
  <c r="P168" i="31"/>
  <c r="Q417" i="39"/>
  <c r="P237" i="31"/>
  <c r="P368" i="31"/>
  <c r="Q293" i="39"/>
  <c r="Q171" i="39"/>
  <c r="O442" i="31"/>
  <c r="P322" i="31"/>
  <c r="Q168" i="39"/>
  <c r="Q243" i="39"/>
  <c r="Q345" i="39"/>
  <c r="P261" i="31"/>
  <c r="P387" i="31"/>
  <c r="Q399" i="39"/>
  <c r="Q297" i="39"/>
  <c r="P272" i="31"/>
  <c r="P392" i="31"/>
  <c r="Q401" i="39"/>
  <c r="Q367" i="39"/>
  <c r="P287" i="31"/>
  <c r="Q427" i="39"/>
  <c r="Q425" i="39"/>
  <c r="Q439" i="31"/>
  <c r="Q299" i="39"/>
  <c r="P163" i="31"/>
  <c r="P285" i="31"/>
  <c r="P420" i="31"/>
  <c r="Q270" i="39"/>
  <c r="Q294" i="39"/>
  <c r="P159" i="31"/>
  <c r="P288" i="31"/>
  <c r="P259" i="31"/>
  <c r="Q204" i="39"/>
  <c r="Q273" i="39"/>
  <c r="P250" i="31"/>
  <c r="Q369" i="39"/>
  <c r="Q174" i="39"/>
  <c r="Q205" i="39"/>
  <c r="P394" i="31"/>
  <c r="M58" i="39"/>
  <c r="Q331" i="39"/>
  <c r="Q172" i="39"/>
  <c r="P277" i="31"/>
  <c r="P330" i="31"/>
  <c r="Q308" i="39"/>
  <c r="P161" i="31"/>
  <c r="Q250" i="39"/>
  <c r="P363" i="31"/>
  <c r="P279" i="31"/>
  <c r="Q266" i="39"/>
  <c r="P280" i="31"/>
  <c r="Q263" i="39"/>
  <c r="P416" i="31"/>
  <c r="Q304" i="39"/>
  <c r="P260" i="31"/>
  <c r="Q441" i="31"/>
  <c r="P298" i="31"/>
  <c r="P382" i="31"/>
  <c r="Q328" i="39"/>
  <c r="Q418" i="39"/>
  <c r="P323" i="31"/>
  <c r="U311" i="31"/>
  <c r="P246" i="31"/>
  <c r="P240" i="31"/>
  <c r="Q248" i="39"/>
  <c r="Q426" i="39"/>
  <c r="Q337" i="39"/>
  <c r="Q277" i="39"/>
  <c r="Q254" i="39"/>
  <c r="Q370" i="39"/>
  <c r="R447" i="39"/>
  <c r="Q443" i="31"/>
  <c r="P421" i="31"/>
  <c r="P166" i="31"/>
  <c r="Q162" i="39"/>
  <c r="Q327" i="39"/>
  <c r="Q170" i="39"/>
  <c r="Q313" i="39"/>
  <c r="Q255" i="39"/>
  <c r="Q394" i="39"/>
  <c r="Q287" i="39"/>
  <c r="P328" i="31"/>
  <c r="Q302" i="39"/>
  <c r="Q303" i="39"/>
  <c r="Q314" i="39"/>
  <c r="Q247" i="39"/>
  <c r="Q339" i="39"/>
  <c r="Q330" i="39"/>
  <c r="Q398" i="39"/>
  <c r="P384" i="31"/>
  <c r="P397" i="31"/>
  <c r="P417" i="31"/>
  <c r="P294" i="31"/>
  <c r="Q309" i="39"/>
  <c r="Q298" i="39"/>
  <c r="P300" i="31"/>
  <c r="P235" i="31"/>
  <c r="Q310" i="31"/>
  <c r="P263" i="31"/>
  <c r="P295" i="31"/>
  <c r="R446" i="39"/>
  <c r="P333" i="31"/>
  <c r="Q228" i="39"/>
  <c r="P286" i="31"/>
  <c r="O451" i="39"/>
  <c r="P339" i="31"/>
  <c r="P422" i="31"/>
  <c r="Q252" i="39"/>
  <c r="Q231" i="39"/>
  <c r="R449" i="39"/>
  <c r="P220" i="31"/>
  <c r="P335" i="31"/>
  <c r="P366" i="31"/>
  <c r="P169" i="31"/>
  <c r="P383" i="31"/>
  <c r="Q291" i="39"/>
  <c r="Q305" i="39"/>
  <c r="Q374" i="39"/>
  <c r="Q416" i="39"/>
  <c r="P305" i="31"/>
  <c r="P396" i="31"/>
  <c r="P245" i="31"/>
  <c r="P448" i="39"/>
  <c r="Q296" i="39"/>
  <c r="Q341" i="39"/>
  <c r="P239" i="31"/>
  <c r="Q288" i="39"/>
  <c r="Q444" i="31"/>
  <c r="Q246" i="39"/>
  <c r="Q307" i="39"/>
  <c r="Q175" i="39"/>
  <c r="P393" i="31"/>
  <c r="P424" i="31"/>
  <c r="P292" i="31"/>
  <c r="P411" i="31"/>
  <c r="Q312" i="39"/>
  <c r="Q442" i="39"/>
  <c r="Q177" i="39"/>
  <c r="Q290" i="39"/>
  <c r="P223" i="31"/>
  <c r="P324" i="31"/>
  <c r="P331" i="31"/>
  <c r="Q390" i="39"/>
  <c r="Q268" i="39"/>
  <c r="Q371" i="39"/>
  <c r="P249" i="31"/>
  <c r="Q284" i="39"/>
  <c r="Q440" i="31"/>
  <c r="P291" i="31"/>
  <c r="Q391" i="39"/>
  <c r="Q386" i="39"/>
  <c r="P351" i="31"/>
  <c r="Q229" i="39"/>
  <c r="P241" i="31"/>
  <c r="Q306" i="39"/>
  <c r="P325" i="31"/>
  <c r="Q301" i="39"/>
  <c r="P160" i="31"/>
  <c r="Q405" i="39"/>
  <c r="P415" i="31"/>
  <c r="Q372" i="39"/>
  <c r="P258" i="31"/>
  <c r="P395" i="31"/>
  <c r="Q403" i="39"/>
  <c r="Q202" i="39"/>
  <c r="Q446" i="31"/>
  <c r="P391" i="31"/>
  <c r="Q173" i="39"/>
  <c r="V317" i="39"/>
  <c r="Q260" i="39"/>
  <c r="P380" i="31"/>
  <c r="P254" i="31"/>
  <c r="Q315" i="39"/>
  <c r="P306" i="31"/>
  <c r="P381" i="31"/>
  <c r="R445" i="39"/>
  <c r="Q392" i="39"/>
  <c r="Q217" i="39"/>
  <c r="P275" i="31"/>
  <c r="Q282" i="39"/>
  <c r="Q253" i="39"/>
  <c r="P296" i="31"/>
  <c r="Q230" i="39"/>
  <c r="P238" i="31"/>
  <c r="Q422" i="39"/>
  <c r="P283" i="31"/>
  <c r="Q397" i="39"/>
  <c r="P436" i="31"/>
  <c r="Q249" i="39"/>
  <c r="P329" i="31"/>
  <c r="P414" i="31"/>
  <c r="Q276" i="39"/>
  <c r="P197" i="31"/>
  <c r="Q256" i="39"/>
  <c r="Q428" i="39"/>
  <c r="Q389" i="39"/>
  <c r="Q257" i="39"/>
  <c r="P418" i="31"/>
  <c r="Q399" i="31"/>
  <c r="Q259" i="39"/>
  <c r="Q334" i="39"/>
  <c r="Q272" i="39"/>
  <c r="P337" i="31"/>
  <c r="P192" i="31"/>
  <c r="P362" i="31"/>
  <c r="P327" i="31"/>
  <c r="Q396" i="39"/>
  <c r="Q200" i="39"/>
  <c r="R452" i="39"/>
  <c r="Q283" i="39"/>
  <c r="Q251" i="39"/>
  <c r="P281" i="31"/>
  <c r="P282" i="31"/>
  <c r="P389" i="31"/>
  <c r="Q388" i="39"/>
  <c r="P236" i="31"/>
  <c r="Q431" i="39"/>
  <c r="Q206" i="39"/>
  <c r="Q340" i="31"/>
  <c r="Q178" i="39"/>
  <c r="Q329" i="39"/>
  <c r="P390" i="31"/>
  <c r="P290" i="31"/>
  <c r="Q261" i="39"/>
  <c r="Q295" i="39"/>
  <c r="Q395" i="39"/>
  <c r="P243" i="31"/>
  <c r="P425" i="31"/>
  <c r="Q368" i="39"/>
  <c r="P158" i="31"/>
  <c r="Q271" i="39"/>
  <c r="P267" i="31"/>
  <c r="P276" i="31"/>
  <c r="P293" i="31"/>
  <c r="P271" i="31"/>
  <c r="P222" i="31"/>
  <c r="Q373" i="39"/>
  <c r="Q336" i="39"/>
  <c r="Q309" i="31"/>
  <c r="P253" i="31"/>
  <c r="Q159" i="39"/>
  <c r="Q244" i="39"/>
  <c r="P332" i="31"/>
  <c r="Q311" i="39"/>
  <c r="Q161" i="39"/>
  <c r="P162" i="31"/>
  <c r="P398" i="31"/>
  <c r="P385" i="31"/>
  <c r="Q269" i="39"/>
  <c r="P167" i="31"/>
  <c r="Q176" i="39"/>
  <c r="P264" i="31"/>
  <c r="P255" i="31"/>
  <c r="Q292" i="39"/>
  <c r="Q300" i="39"/>
  <c r="P269" i="31"/>
  <c r="Q280" i="39"/>
  <c r="P299" i="31"/>
  <c r="P278" i="31"/>
  <c r="P234" i="31"/>
  <c r="P247" i="31"/>
  <c r="P304" i="31"/>
  <c r="P297" i="31"/>
  <c r="P423" i="31"/>
  <c r="Q264" i="39"/>
  <c r="Q424" i="39"/>
  <c r="P198" i="31"/>
  <c r="P270" i="31"/>
  <c r="Q400" i="39"/>
  <c r="P252" i="31"/>
  <c r="Q429" i="39"/>
  <c r="Q203" i="39"/>
  <c r="Q419" i="39"/>
  <c r="P308" i="31"/>
  <c r="P326" i="31"/>
  <c r="P412" i="31"/>
  <c r="Q444" i="39"/>
  <c r="Q160" i="39"/>
  <c r="P273" i="31"/>
  <c r="P302" i="31"/>
  <c r="Q310" i="39"/>
  <c r="P367" i="31"/>
  <c r="Q166" i="39"/>
  <c r="P242" i="31"/>
  <c r="P268" i="31"/>
  <c r="Q267" i="39"/>
  <c r="Q164" i="39"/>
  <c r="P248" i="31"/>
  <c r="Q387" i="39"/>
  <c r="Q262" i="39"/>
  <c r="Q279" i="39"/>
  <c r="P386" i="31"/>
  <c r="Q343" i="39"/>
  <c r="Q163" i="39"/>
  <c r="P170" i="31"/>
  <c r="Q423" i="39"/>
  <c r="P388" i="31"/>
  <c r="P336" i="31"/>
  <c r="Q286" i="39"/>
  <c r="P266" i="31"/>
  <c r="Q338" i="39"/>
  <c r="Q275" i="39"/>
  <c r="P410" i="31"/>
  <c r="P437" i="31"/>
  <c r="Q158" i="39"/>
  <c r="P256" i="31"/>
  <c r="P157" i="31"/>
  <c r="R450" i="39"/>
  <c r="Q421" i="39"/>
  <c r="P365" i="31"/>
  <c r="Q157" i="39"/>
  <c r="Q167" i="39"/>
  <c r="P338" i="31"/>
  <c r="P413" i="31"/>
  <c r="H58" i="31"/>
  <c r="A164" i="31" l="1"/>
  <c r="O353" i="31"/>
  <c r="E126" i="31" s="1"/>
  <c r="K65" i="31"/>
  <c r="F136" i="39"/>
  <c r="E65" i="31"/>
  <c r="P376" i="39"/>
  <c r="F127" i="39" s="1"/>
  <c r="O225" i="31"/>
  <c r="E123" i="31" s="1"/>
  <c r="O312" i="31"/>
  <c r="E124" i="31" s="1"/>
  <c r="P318" i="39"/>
  <c r="F124" i="39" s="1"/>
  <c r="O401" i="31"/>
  <c r="E128" i="31" s="1"/>
  <c r="E134" i="31"/>
  <c r="P358" i="39"/>
  <c r="F126" i="39" s="1"/>
  <c r="F130" i="39" s="1"/>
  <c r="O211" i="31"/>
  <c r="E122" i="31" s="1"/>
  <c r="O371" i="31"/>
  <c r="E127" i="31" s="1"/>
  <c r="P233" i="39"/>
  <c r="F123" i="39" s="1"/>
  <c r="E136" i="31"/>
  <c r="E137" i="31" s="1"/>
  <c r="F135" i="39"/>
  <c r="O200" i="31"/>
  <c r="E121" i="31" s="1"/>
  <c r="P407" i="39"/>
  <c r="F128" i="39" s="1"/>
  <c r="F134" i="39"/>
  <c r="F137" i="39" s="1"/>
  <c r="P180" i="39"/>
  <c r="F120" i="39" s="1"/>
  <c r="P347" i="39"/>
  <c r="F125" i="39" s="1"/>
  <c r="E135" i="31"/>
  <c r="P433" i="39"/>
  <c r="F129" i="39" s="1"/>
  <c r="H65" i="39"/>
  <c r="O427" i="31"/>
  <c r="E129" i="31" s="1"/>
  <c r="O172" i="31"/>
  <c r="E120" i="31" s="1"/>
  <c r="E130" i="31" s="1"/>
  <c r="P219" i="39"/>
  <c r="F122" i="39" s="1"/>
  <c r="P208" i="39"/>
  <c r="F121" i="39" s="1"/>
  <c r="O342" i="31"/>
  <c r="E125" i="31" s="1"/>
  <c r="L65" i="31"/>
  <c r="L65" i="39"/>
  <c r="M43" i="31"/>
  <c r="M45" i="31" s="1"/>
  <c r="Q318" i="39"/>
  <c r="G124" i="39" s="1"/>
  <c r="G134" i="39"/>
  <c r="Q358" i="39"/>
  <c r="G126" i="39" s="1"/>
  <c r="Q407" i="39"/>
  <c r="G128" i="39" s="1"/>
  <c r="G136" i="39"/>
  <c r="Q219" i="39"/>
  <c r="G122" i="39" s="1"/>
  <c r="Q433" i="39"/>
  <c r="G129" i="39" s="1"/>
  <c r="Q376" i="39"/>
  <c r="G127" i="39" s="1"/>
  <c r="Q347" i="39"/>
  <c r="G125" i="39" s="1"/>
  <c r="Q208" i="39"/>
  <c r="G121" i="39" s="1"/>
  <c r="Q233" i="39"/>
  <c r="G123" i="39" s="1"/>
  <c r="Q180" i="39"/>
  <c r="G120" i="39" s="1"/>
  <c r="G135" i="39"/>
  <c r="M65" i="39"/>
  <c r="M177" i="31"/>
  <c r="M406" i="31"/>
  <c r="P353" i="31"/>
  <c r="F126" i="31" s="1"/>
  <c r="P225" i="31"/>
  <c r="F123" i="31" s="1"/>
  <c r="P401" i="31"/>
  <c r="F128" i="31" s="1"/>
  <c r="P211" i="31"/>
  <c r="F122" i="31" s="1"/>
  <c r="P200" i="31"/>
  <c r="F121" i="31" s="1"/>
  <c r="P427" i="31"/>
  <c r="F129" i="31" s="1"/>
  <c r="F134" i="31"/>
  <c r="P371" i="31"/>
  <c r="F127" i="31" s="1"/>
  <c r="P342" i="31"/>
  <c r="F125" i="31" s="1"/>
  <c r="F135" i="31"/>
  <c r="P312" i="31"/>
  <c r="F124" i="31" s="1"/>
  <c r="F136" i="31"/>
  <c r="P172" i="31"/>
  <c r="F120" i="31" s="1"/>
  <c r="H65" i="31"/>
  <c r="M56" i="31"/>
  <c r="M134" i="31"/>
  <c r="R164" i="39"/>
  <c r="R341" i="39"/>
  <c r="R160" i="39"/>
  <c r="R342" i="39"/>
  <c r="Q163" i="31"/>
  <c r="Q300" i="31"/>
  <c r="Q333" i="31"/>
  <c r="R298" i="39"/>
  <c r="R253" i="39"/>
  <c r="R267" i="39"/>
  <c r="R372" i="39"/>
  <c r="Q410" i="31"/>
  <c r="Q286" i="31"/>
  <c r="R394" i="39"/>
  <c r="R276" i="39"/>
  <c r="Q351" i="31"/>
  <c r="Q240" i="31"/>
  <c r="Q419" i="31"/>
  <c r="Q278" i="31"/>
  <c r="R252" i="39"/>
  <c r="Q296" i="31"/>
  <c r="R254" i="39"/>
  <c r="R369" i="39"/>
  <c r="R429" i="39"/>
  <c r="R290" i="39"/>
  <c r="Q257" i="31"/>
  <c r="R288" i="39"/>
  <c r="R421" i="39"/>
  <c r="R430" i="39"/>
  <c r="Q413" i="31"/>
  <c r="R162" i="39"/>
  <c r="Q423" i="31"/>
  <c r="R305" i="39"/>
  <c r="R278" i="39"/>
  <c r="Q165" i="31"/>
  <c r="Q421" i="31"/>
  <c r="R371" i="39"/>
  <c r="R356" i="39"/>
  <c r="O445" i="31"/>
  <c r="Q425" i="31"/>
  <c r="R178" i="39"/>
  <c r="Q295" i="31"/>
  <c r="R397" i="39"/>
  <c r="R368" i="39"/>
  <c r="R282" i="39"/>
  <c r="S445" i="39"/>
  <c r="Q306" i="31"/>
  <c r="Q323" i="31"/>
  <c r="Q364" i="31"/>
  <c r="R313" i="39"/>
  <c r="R417" i="39"/>
  <c r="R173" i="39"/>
  <c r="R402" i="39"/>
  <c r="Q437" i="31"/>
  <c r="Q420" i="31"/>
  <c r="Q301" i="31"/>
  <c r="R392" i="39"/>
  <c r="R344" i="39"/>
  <c r="Q436" i="31"/>
  <c r="Q302" i="31"/>
  <c r="Q396" i="31"/>
  <c r="Q416" i="31"/>
  <c r="Q307" i="31"/>
  <c r="Q269" i="31"/>
  <c r="V311" i="31"/>
  <c r="Q157" i="31"/>
  <c r="R404" i="39"/>
  <c r="R246" i="39"/>
  <c r="Q264" i="31"/>
  <c r="R329" i="39"/>
  <c r="R261" i="39"/>
  <c r="Q368" i="31"/>
  <c r="Q381" i="31"/>
  <c r="R275" i="39"/>
  <c r="Q263" i="31"/>
  <c r="R309" i="39"/>
  <c r="R428" i="39"/>
  <c r="R158" i="39"/>
  <c r="R255" i="39"/>
  <c r="R327" i="39"/>
  <c r="R245" i="39"/>
  <c r="Q159" i="31"/>
  <c r="S452" i="39"/>
  <c r="R373" i="39"/>
  <c r="Q387" i="31"/>
  <c r="Q270" i="31"/>
  <c r="Q277" i="31"/>
  <c r="Q365" i="31"/>
  <c r="S447" i="39"/>
  <c r="Q393" i="31"/>
  <c r="Q258" i="31"/>
  <c r="Q255" i="31"/>
  <c r="R425" i="39"/>
  <c r="R285" i="39"/>
  <c r="R440" i="31"/>
  <c r="Q415" i="31"/>
  <c r="R287" i="39"/>
  <c r="P442" i="31"/>
  <c r="Q239" i="31"/>
  <c r="R269" i="39"/>
  <c r="Q195" i="31"/>
  <c r="Q193" i="31"/>
  <c r="Q334" i="31"/>
  <c r="R304" i="39"/>
  <c r="R202" i="39"/>
  <c r="R293" i="39"/>
  <c r="Q438" i="31"/>
  <c r="R301" i="39"/>
  <c r="Q282" i="31"/>
  <c r="R243" i="39"/>
  <c r="Q328" i="31"/>
  <c r="R300" i="39"/>
  <c r="R426" i="39"/>
  <c r="Q326" i="31"/>
  <c r="R399" i="39"/>
  <c r="Q332" i="31"/>
  <c r="R386" i="39"/>
  <c r="S450" i="39"/>
  <c r="R310" i="39"/>
  <c r="R295" i="39"/>
  <c r="Q330" i="31"/>
  <c r="R257" i="39"/>
  <c r="Q388" i="31"/>
  <c r="R175" i="39"/>
  <c r="Q236" i="31"/>
  <c r="Q248" i="31"/>
  <c r="Q324" i="31"/>
  <c r="Q161" i="31"/>
  <c r="R443" i="31"/>
  <c r="R273" i="39"/>
  <c r="R205" i="39"/>
  <c r="R176" i="39"/>
  <c r="Q298" i="31"/>
  <c r="R292" i="39"/>
  <c r="Q335" i="31"/>
  <c r="R431" i="39"/>
  <c r="R303" i="39"/>
  <c r="Q266" i="31"/>
  <c r="R396" i="39"/>
  <c r="R264" i="39"/>
  <c r="Q297" i="31"/>
  <c r="Q221" i="31"/>
  <c r="Q322" i="31"/>
  <c r="R441" i="31"/>
  <c r="R307" i="39"/>
  <c r="R159" i="39"/>
  <c r="R163" i="39"/>
  <c r="Q192" i="31"/>
  <c r="R336" i="39"/>
  <c r="R166" i="39"/>
  <c r="R157" i="39"/>
  <c r="R400" i="39"/>
  <c r="R258" i="39"/>
  <c r="Q272" i="31"/>
  <c r="R439" i="31"/>
  <c r="R345" i="39"/>
  <c r="R262" i="39"/>
  <c r="R266" i="39"/>
  <c r="R169" i="39"/>
  <c r="Q414" i="31"/>
  <c r="Q380" i="31"/>
  <c r="R265" i="39"/>
  <c r="R420" i="39"/>
  <c r="R388" i="39"/>
  <c r="R332" i="39"/>
  <c r="R279" i="39"/>
  <c r="Q422" i="31"/>
  <c r="Q250" i="31"/>
  <c r="R177" i="39"/>
  <c r="R251" i="39"/>
  <c r="Q305" i="31"/>
  <c r="Q279" i="31"/>
  <c r="Q285" i="31"/>
  <c r="Q382" i="31"/>
  <c r="Q249" i="31"/>
  <c r="Q385" i="31"/>
  <c r="Q222" i="31"/>
  <c r="Q391" i="31"/>
  <c r="R330" i="39"/>
  <c r="R343" i="39"/>
  <c r="Q251" i="31"/>
  <c r="R395" i="39"/>
  <c r="R390" i="39"/>
  <c r="Q166" i="31"/>
  <c r="Q256" i="31"/>
  <c r="R385" i="39"/>
  <c r="Q273" i="31"/>
  <c r="Q337" i="31"/>
  <c r="Q220" i="31"/>
  <c r="Q327" i="31"/>
  <c r="Q336" i="31"/>
  <c r="R393" i="39"/>
  <c r="Q448" i="39"/>
  <c r="Q238" i="31"/>
  <c r="Q294" i="31"/>
  <c r="R308" i="39"/>
  <c r="R274" i="39"/>
  <c r="R310" i="31"/>
  <c r="R316" i="39"/>
  <c r="R416" i="39"/>
  <c r="R306" i="39"/>
  <c r="Q169" i="31"/>
  <c r="Q260" i="31"/>
  <c r="Q247" i="31"/>
  <c r="R289" i="39"/>
  <c r="R161" i="39"/>
  <c r="R170" i="39"/>
  <c r="R419" i="39"/>
  <c r="Q167" i="31"/>
  <c r="Q293" i="31"/>
  <c r="Q271" i="31"/>
  <c r="R291" i="39"/>
  <c r="R312" i="39"/>
  <c r="Q329" i="31"/>
  <c r="Q241" i="31"/>
  <c r="R338" i="39"/>
  <c r="R424" i="39"/>
  <c r="Q394" i="31"/>
  <c r="R248" i="39"/>
  <c r="Q268" i="31"/>
  <c r="Q265" i="31"/>
  <c r="R165" i="39"/>
  <c r="Q418" i="31"/>
  <c r="Q253" i="31"/>
  <c r="R299" i="39"/>
  <c r="R334" i="39"/>
  <c r="Q170" i="31"/>
  <c r="Q392" i="31"/>
  <c r="Q292" i="31"/>
  <c r="R203" i="39"/>
  <c r="Q386" i="31"/>
  <c r="Q411" i="31"/>
  <c r="R277" i="39"/>
  <c r="R311" i="39"/>
  <c r="R387" i="39"/>
  <c r="Q369" i="31"/>
  <c r="Q389" i="31"/>
  <c r="R297" i="39"/>
  <c r="R256" i="39"/>
  <c r="Q390" i="31"/>
  <c r="R442" i="39"/>
  <c r="Q283" i="31"/>
  <c r="R174" i="39"/>
  <c r="R294" i="39"/>
  <c r="Q168" i="31"/>
  <c r="Q237" i="31"/>
  <c r="M58" i="31"/>
  <c r="R302" i="39"/>
  <c r="Q196" i="31"/>
  <c r="R250" i="39"/>
  <c r="R331" i="39"/>
  <c r="R418" i="39"/>
  <c r="Q275" i="31"/>
  <c r="R337" i="39"/>
  <c r="Q397" i="31"/>
  <c r="R340" i="39"/>
  <c r="R281" i="39"/>
  <c r="R443" i="39"/>
  <c r="Q197" i="31"/>
  <c r="R339" i="39"/>
  <c r="Q234" i="31"/>
  <c r="R401" i="39"/>
  <c r="Q287" i="31"/>
  <c r="Q338" i="31"/>
  <c r="R296" i="39"/>
  <c r="Q245" i="31"/>
  <c r="R444" i="39"/>
  <c r="Q412" i="31"/>
  <c r="R200" i="39"/>
  <c r="Q325" i="31"/>
  <c r="R249" i="39"/>
  <c r="Q398" i="31"/>
  <c r="R260" i="39"/>
  <c r="R374" i="39"/>
  <c r="R315" i="39"/>
  <c r="Q304" i="31"/>
  <c r="Q291" i="31"/>
  <c r="W317" i="39"/>
  <c r="R283" i="39"/>
  <c r="Q367" i="31"/>
  <c r="Q160" i="31"/>
  <c r="R286" i="39"/>
  <c r="Q194" i="31"/>
  <c r="Q303" i="31"/>
  <c r="R263" i="39"/>
  <c r="Q288" i="31"/>
  <c r="Q289" i="31"/>
  <c r="R399" i="31"/>
  <c r="Q362" i="31"/>
  <c r="R268" i="39"/>
  <c r="R446" i="31"/>
  <c r="Q261" i="31"/>
  <c r="Q395" i="31"/>
  <c r="Q254" i="31"/>
  <c r="R340" i="31"/>
  <c r="R247" i="39"/>
  <c r="R228" i="39"/>
  <c r="Q280" i="31"/>
  <c r="R280" i="39"/>
  <c r="Q243" i="31"/>
  <c r="R168" i="39"/>
  <c r="R422" i="39"/>
  <c r="Q339" i="31"/>
  <c r="Q299" i="31"/>
  <c r="R309" i="31"/>
  <c r="R284" i="39"/>
  <c r="R217" i="39"/>
  <c r="R201" i="39"/>
  <c r="R444" i="31"/>
  <c r="Q384" i="31"/>
  <c r="Q281" i="31"/>
  <c r="R367" i="39"/>
  <c r="R230" i="39"/>
  <c r="R333" i="39"/>
  <c r="S449" i="39"/>
  <c r="Q162" i="31"/>
  <c r="Q242" i="31"/>
  <c r="Q331" i="31"/>
  <c r="R391" i="39"/>
  <c r="R328" i="39"/>
  <c r="Q235" i="31"/>
  <c r="Q164" i="31"/>
  <c r="R403" i="39"/>
  <c r="Q267" i="31"/>
  <c r="R172" i="39"/>
  <c r="P451" i="39"/>
  <c r="R427" i="39"/>
  <c r="Q276" i="31"/>
  <c r="R259" i="39"/>
  <c r="Q244" i="31"/>
  <c r="Q158" i="31"/>
  <c r="Q262" i="31"/>
  <c r="Q308" i="31"/>
  <c r="Q246" i="31"/>
  <c r="R242" i="39"/>
  <c r="Q198" i="31"/>
  <c r="R272" i="39"/>
  <c r="Q284" i="31"/>
  <c r="R229" i="39"/>
  <c r="Q223" i="31"/>
  <c r="Q363" i="31"/>
  <c r="R423" i="39"/>
  <c r="S446" i="39"/>
  <c r="R398" i="39"/>
  <c r="Q417" i="31"/>
  <c r="R271" i="39"/>
  <c r="R335" i="39"/>
  <c r="Q274" i="31"/>
  <c r="Q366" i="31"/>
  <c r="Q424" i="31"/>
  <c r="R167" i="39"/>
  <c r="R405" i="39"/>
  <c r="Q259" i="31"/>
  <c r="R171" i="39"/>
  <c r="Q209" i="31"/>
  <c r="R231" i="39"/>
  <c r="Q321" i="31"/>
  <c r="R270" i="39"/>
  <c r="R206" i="39"/>
  <c r="R244" i="39"/>
  <c r="Q252" i="31"/>
  <c r="R389" i="39"/>
  <c r="R370" i="39"/>
  <c r="Q383" i="31"/>
  <c r="Q290" i="31"/>
  <c r="R204" i="39"/>
  <c r="R314" i="39"/>
  <c r="A165" i="31" l="1"/>
  <c r="G137" i="39"/>
  <c r="H135" i="39"/>
  <c r="R407" i="39"/>
  <c r="H128" i="39" s="1"/>
  <c r="H136" i="39"/>
  <c r="R358" i="39"/>
  <c r="H126" i="39" s="1"/>
  <c r="R318" i="39"/>
  <c r="H124" i="39" s="1"/>
  <c r="R208" i="39"/>
  <c r="H121" i="39" s="1"/>
  <c r="R376" i="39"/>
  <c r="H127" i="39" s="1"/>
  <c r="R180" i="39"/>
  <c r="H120" i="39" s="1"/>
  <c r="R233" i="39"/>
  <c r="H123" i="39" s="1"/>
  <c r="R433" i="39"/>
  <c r="H129" i="39" s="1"/>
  <c r="R219" i="39"/>
  <c r="H122" i="39" s="1"/>
  <c r="J134" i="39"/>
  <c r="I134" i="39"/>
  <c r="H134" i="39"/>
  <c r="G130" i="39"/>
  <c r="G135" i="31"/>
  <c r="Q200" i="31"/>
  <c r="G121" i="31" s="1"/>
  <c r="Q342" i="31"/>
  <c r="G125" i="31" s="1"/>
  <c r="Q427" i="31"/>
  <c r="G129" i="31" s="1"/>
  <c r="Q353" i="31"/>
  <c r="G126" i="31" s="1"/>
  <c r="G136" i="31"/>
  <c r="Q401" i="31"/>
  <c r="G128" i="31" s="1"/>
  <c r="Q312" i="31"/>
  <c r="G124" i="31" s="1"/>
  <c r="Q211" i="31"/>
  <c r="G122" i="31" s="1"/>
  <c r="Q172" i="31"/>
  <c r="G120" i="31" s="1"/>
  <c r="Q225" i="31"/>
  <c r="G123" i="31" s="1"/>
  <c r="F130" i="31"/>
  <c r="Q371" i="31"/>
  <c r="G127" i="31" s="1"/>
  <c r="G134" i="31"/>
  <c r="F137" i="31"/>
  <c r="M65" i="31"/>
  <c r="A166" i="31" l="1"/>
  <c r="H130" i="39"/>
  <c r="G137" i="31"/>
  <c r="G130" i="31"/>
  <c r="S248" i="39"/>
  <c r="S163" i="39"/>
  <c r="S229" i="39"/>
  <c r="R278" i="31"/>
  <c r="R367" i="31"/>
  <c r="R284" i="31"/>
  <c r="S253" i="39"/>
  <c r="R339" i="31"/>
  <c r="R198" i="31"/>
  <c r="S370" i="39"/>
  <c r="S266" i="39"/>
  <c r="R264" i="31"/>
  <c r="S271" i="39"/>
  <c r="S157" i="39"/>
  <c r="R168" i="31"/>
  <c r="R332" i="31"/>
  <c r="S204" i="39"/>
  <c r="S242" i="39"/>
  <c r="R245" i="31"/>
  <c r="R269" i="31"/>
  <c r="S339" i="39"/>
  <c r="R331" i="31"/>
  <c r="S403" i="39"/>
  <c r="S333" i="39"/>
  <c r="S255" i="39"/>
  <c r="R235" i="31"/>
  <c r="R381" i="31"/>
  <c r="R196" i="31"/>
  <c r="S287" i="39"/>
  <c r="S443" i="31"/>
  <c r="R395" i="31"/>
  <c r="S385" i="39"/>
  <c r="S304" i="39"/>
  <c r="R326" i="31"/>
  <c r="S314" i="39"/>
  <c r="S200" i="39"/>
  <c r="S425" i="39"/>
  <c r="R392" i="31"/>
  <c r="R423" i="31"/>
  <c r="S274" i="39"/>
  <c r="S217" i="39"/>
  <c r="R254" i="31"/>
  <c r="S419" i="39"/>
  <c r="S310" i="31"/>
  <c r="S430" i="39"/>
  <c r="S265" i="39"/>
  <c r="R307" i="31"/>
  <c r="R366" i="31"/>
  <c r="R162" i="31"/>
  <c r="S391" i="39"/>
  <c r="S247" i="39"/>
  <c r="R276" i="31"/>
  <c r="S203" i="39"/>
  <c r="S297" i="39"/>
  <c r="R282" i="31"/>
  <c r="S278" i="39"/>
  <c r="S421" i="39"/>
  <c r="S262" i="39"/>
  <c r="R324" i="31"/>
  <c r="R275" i="31"/>
  <c r="S443" i="39"/>
  <c r="S395" i="39"/>
  <c r="R271" i="31"/>
  <c r="S175" i="39"/>
  <c r="W311" i="31"/>
  <c r="R161" i="31"/>
  <c r="S172" i="39"/>
  <c r="S202" i="39"/>
  <c r="S427" i="39"/>
  <c r="R308" i="31"/>
  <c r="R298" i="31"/>
  <c r="R417" i="31"/>
  <c r="S328" i="39"/>
  <c r="S374" i="39"/>
  <c r="R273" i="31"/>
  <c r="S252" i="39"/>
  <c r="R448" i="39"/>
  <c r="R413" i="31"/>
  <c r="S305" i="39"/>
  <c r="S313" i="39"/>
  <c r="S446" i="31"/>
  <c r="R260" i="31"/>
  <c r="R338" i="31"/>
  <c r="S281" i="39"/>
  <c r="T445" i="39"/>
  <c r="R384" i="31"/>
  <c r="R268" i="31"/>
  <c r="S282" i="39"/>
  <c r="R237" i="31"/>
  <c r="R246" i="31"/>
  <c r="R397" i="31"/>
  <c r="S258" i="39"/>
  <c r="S280" i="39"/>
  <c r="S368" i="39"/>
  <c r="R337" i="31"/>
  <c r="R382" i="31"/>
  <c r="S263" i="39"/>
  <c r="S250" i="39"/>
  <c r="R157" i="31"/>
  <c r="S254" i="39"/>
  <c r="S283" i="39"/>
  <c r="R170" i="31"/>
  <c r="R287" i="31"/>
  <c r="S264" i="39"/>
  <c r="T450" i="39"/>
  <c r="R364" i="31"/>
  <c r="R241" i="31"/>
  <c r="S174" i="39"/>
  <c r="S159" i="39"/>
  <c r="R263" i="31"/>
  <c r="S372" i="39"/>
  <c r="R389" i="31"/>
  <c r="R336" i="31"/>
  <c r="S308" i="39"/>
  <c r="S417" i="39"/>
  <c r="S431" i="39"/>
  <c r="R255" i="31"/>
  <c r="R394" i="31"/>
  <c r="S397" i="39"/>
  <c r="S423" i="39"/>
  <c r="R285" i="31"/>
  <c r="R234" i="31"/>
  <c r="S402" i="39"/>
  <c r="S311" i="39"/>
  <c r="R292" i="31"/>
  <c r="S312" i="39"/>
  <c r="S288" i="39"/>
  <c r="R305" i="31"/>
  <c r="R422" i="31"/>
  <c r="R281" i="31"/>
  <c r="S231" i="39"/>
  <c r="R351" i="31"/>
  <c r="R240" i="31"/>
  <c r="T446" i="39"/>
  <c r="S428" i="39"/>
  <c r="S256" i="39"/>
  <c r="S244" i="39"/>
  <c r="R289" i="31"/>
  <c r="R163" i="31"/>
  <c r="R288" i="31"/>
  <c r="S267" i="39"/>
  <c r="S405" i="39"/>
  <c r="R412" i="31"/>
  <c r="S162" i="39"/>
  <c r="S302" i="39"/>
  <c r="R249" i="31"/>
  <c r="S309" i="39"/>
  <c r="S171" i="39"/>
  <c r="Q451" i="39"/>
  <c r="R334" i="31"/>
  <c r="R286" i="31"/>
  <c r="S399" i="39"/>
  <c r="S285" i="39"/>
  <c r="R238" i="31"/>
  <c r="S356" i="39"/>
  <c r="R369" i="31"/>
  <c r="R290" i="31"/>
  <c r="S296" i="39"/>
  <c r="S388" i="39"/>
  <c r="S166" i="39"/>
  <c r="R222" i="31"/>
  <c r="R396" i="31"/>
  <c r="R424" i="31"/>
  <c r="S442" i="39"/>
  <c r="S257" i="39"/>
  <c r="R192" i="31"/>
  <c r="S269" i="39"/>
  <c r="S289" i="39"/>
  <c r="R250" i="31"/>
  <c r="S249" i="39"/>
  <c r="S342" i="39"/>
  <c r="Q442" i="31"/>
  <c r="R243" i="31"/>
  <c r="R274" i="31"/>
  <c r="S251" i="39"/>
  <c r="S316" i="39"/>
  <c r="R333" i="31"/>
  <c r="S177" i="39"/>
  <c r="S206" i="39"/>
  <c r="R297" i="31"/>
  <c r="R323" i="31"/>
  <c r="R259" i="31"/>
  <c r="S401" i="39"/>
  <c r="R420" i="31"/>
  <c r="S340" i="39"/>
  <c r="R266" i="31"/>
  <c r="S170" i="39"/>
  <c r="R437" i="31"/>
  <c r="S426" i="39"/>
  <c r="R209" i="31"/>
  <c r="R362" i="31"/>
  <c r="S299" i="39"/>
  <c r="S337" i="39"/>
  <c r="S260" i="39"/>
  <c r="S309" i="31"/>
  <c r="S371" i="39"/>
  <c r="R167" i="31"/>
  <c r="R265" i="31"/>
  <c r="S393" i="39"/>
  <c r="S294" i="39"/>
  <c r="S301" i="39"/>
  <c r="S307" i="39"/>
  <c r="S161" i="39"/>
  <c r="S439" i="31"/>
  <c r="R251" i="31"/>
  <c r="S230" i="39"/>
  <c r="R244" i="31"/>
  <c r="S420" i="39"/>
  <c r="R165" i="31"/>
  <c r="R425" i="31"/>
  <c r="S399" i="31"/>
  <c r="S286" i="39"/>
  <c r="S367" i="39"/>
  <c r="R368" i="31"/>
  <c r="R328" i="31"/>
  <c r="R393" i="31"/>
  <c r="S293" i="39"/>
  <c r="S290" i="39"/>
  <c r="R253" i="31"/>
  <c r="S422" i="39"/>
  <c r="S331" i="39"/>
  <c r="R160" i="31"/>
  <c r="S386" i="39"/>
  <c r="S329" i="39"/>
  <c r="S284" i="39"/>
  <c r="R365" i="31"/>
  <c r="R329" i="31"/>
  <c r="S335" i="39"/>
  <c r="R306" i="31"/>
  <c r="R257" i="31"/>
  <c r="S173" i="39"/>
  <c r="R327" i="31"/>
  <c r="S340" i="31"/>
  <c r="S272" i="39"/>
  <c r="S389" i="39"/>
  <c r="P445" i="31"/>
  <c r="R236" i="31"/>
  <c r="R279" i="31"/>
  <c r="S178" i="39"/>
  <c r="S416" i="39"/>
  <c r="R301" i="31"/>
  <c r="T447" i="39"/>
  <c r="S373" i="39"/>
  <c r="R220" i="31"/>
  <c r="R159" i="31"/>
  <c r="S398" i="39"/>
  <c r="S306" i="39"/>
  <c r="R221" i="31"/>
  <c r="R419" i="31"/>
  <c r="R325" i="31"/>
  <c r="T449" i="39"/>
  <c r="R169" i="31"/>
  <c r="R414" i="31"/>
  <c r="S169" i="39"/>
  <c r="S338" i="39"/>
  <c r="S310" i="39"/>
  <c r="S243" i="39"/>
  <c r="R387" i="31"/>
  <c r="R193" i="31"/>
  <c r="R296" i="31"/>
  <c r="S396" i="39"/>
  <c r="R388" i="31"/>
  <c r="R322" i="31"/>
  <c r="S261" i="39"/>
  <c r="S404" i="39"/>
  <c r="R267" i="31"/>
  <c r="S168" i="39"/>
  <c r="S245" i="39"/>
  <c r="R223" i="31"/>
  <c r="R363" i="31"/>
  <c r="R321" i="31"/>
  <c r="S291" i="39"/>
  <c r="R258" i="31"/>
  <c r="R410" i="31"/>
  <c r="S343" i="39"/>
  <c r="R248" i="31"/>
  <c r="R416" i="31"/>
  <c r="S276" i="39"/>
  <c r="S298" i="39"/>
  <c r="S164" i="39"/>
  <c r="R291" i="31"/>
  <c r="R303" i="31"/>
  <c r="R252" i="31"/>
  <c r="S390" i="39"/>
  <c r="S345" i="39"/>
  <c r="R299" i="31"/>
  <c r="S394" i="39"/>
  <c r="S387" i="39"/>
  <c r="R280" i="31"/>
  <c r="S334" i="39"/>
  <c r="S327" i="39"/>
  <c r="R436" i="31"/>
  <c r="R415" i="31"/>
  <c r="R385" i="31"/>
  <c r="S295" i="39"/>
  <c r="S441" i="31"/>
  <c r="R195" i="31"/>
  <c r="S332" i="39"/>
  <c r="R386" i="31"/>
  <c r="R418" i="31"/>
  <c r="R438" i="31"/>
  <c r="S444" i="39"/>
  <c r="S273" i="39"/>
  <c r="S303" i="39"/>
  <c r="R398" i="31"/>
  <c r="R411" i="31"/>
  <c r="R295" i="31"/>
  <c r="S205" i="39"/>
  <c r="S330" i="39"/>
  <c r="R293" i="31"/>
  <c r="S344" i="39"/>
  <c r="S246" i="39"/>
  <c r="R383" i="31"/>
  <c r="S424" i="39"/>
  <c r="S268" i="39"/>
  <c r="S440" i="31"/>
  <c r="R262" i="31"/>
  <c r="R283" i="31"/>
  <c r="S392" i="39"/>
  <c r="S444" i="31"/>
  <c r="R158" i="31"/>
  <c r="T452" i="39"/>
  <c r="R302" i="31"/>
  <c r="S369" i="39"/>
  <c r="S418" i="39"/>
  <c r="S160" i="39"/>
  <c r="R242" i="31"/>
  <c r="R277" i="31"/>
  <c r="R261" i="31"/>
  <c r="S279" i="39"/>
  <c r="S277" i="39"/>
  <c r="R197" i="31"/>
  <c r="S336" i="39"/>
  <c r="S259" i="39"/>
  <c r="R239" i="31"/>
  <c r="R256" i="31"/>
  <c r="S400" i="39"/>
  <c r="S165" i="39"/>
  <c r="R272" i="31"/>
  <c r="R247" i="31"/>
  <c r="S270" i="39"/>
  <c r="S300" i="39"/>
  <c r="R330" i="31"/>
  <c r="S167" i="39"/>
  <c r="S429" i="39"/>
  <c r="S275" i="39"/>
  <c r="S158" i="39"/>
  <c r="R391" i="31"/>
  <c r="S201" i="39"/>
  <c r="S176" i="39"/>
  <c r="R335" i="31"/>
  <c r="S228" i="39"/>
  <c r="R194" i="31"/>
  <c r="R304" i="31"/>
  <c r="R294" i="31"/>
  <c r="S292" i="39"/>
  <c r="R380" i="31"/>
  <c r="R164" i="31"/>
  <c r="R421" i="31"/>
  <c r="R300" i="31"/>
  <c r="S341" i="39"/>
  <c r="R270" i="31"/>
  <c r="R166" i="31"/>
  <c r="R390" i="31"/>
  <c r="A167" i="31" l="1"/>
  <c r="A168" i="31" s="1"/>
  <c r="A169" i="31" s="1"/>
  <c r="A170" i="31" s="1"/>
  <c r="A181" i="31" s="1"/>
  <c r="A192" i="31" s="1"/>
  <c r="A193" i="31" s="1"/>
  <c r="A194" i="31" s="1"/>
  <c r="A195" i="31" s="1"/>
  <c r="A196" i="31" s="1"/>
  <c r="A197" i="31" s="1"/>
  <c r="A198" i="31" s="1"/>
  <c r="A209" i="31" s="1"/>
  <c r="A220" i="31" s="1"/>
  <c r="A221" i="31" s="1"/>
  <c r="A222" i="31" s="1"/>
  <c r="A223" i="31" s="1"/>
  <c r="A234" i="31" s="1"/>
  <c r="A235" i="31" s="1"/>
  <c r="A236" i="31" s="1"/>
  <c r="A237" i="31" s="1"/>
  <c r="A238" i="31" s="1"/>
  <c r="A239" i="31" s="1"/>
  <c r="A240" i="31" s="1"/>
  <c r="A241" i="31" s="1"/>
  <c r="A242" i="31" s="1"/>
  <c r="A243" i="31" s="1"/>
  <c r="A244" i="31" s="1"/>
  <c r="A245" i="31" s="1"/>
  <c r="A246" i="31" s="1"/>
  <c r="A247" i="31" s="1"/>
  <c r="A248" i="31" s="1"/>
  <c r="A249" i="31" s="1"/>
  <c r="A250" i="31" s="1"/>
  <c r="A251" i="31" s="1"/>
  <c r="A252" i="31" s="1"/>
  <c r="A253" i="31" s="1"/>
  <c r="A254" i="31" s="1"/>
  <c r="A255" i="31" s="1"/>
  <c r="A256" i="31" s="1"/>
  <c r="A257" i="31" s="1"/>
  <c r="A258" i="31" s="1"/>
  <c r="A259" i="31" s="1"/>
  <c r="A260" i="31" s="1"/>
  <c r="A261" i="31" s="1"/>
  <c r="A262" i="31" s="1"/>
  <c r="A263" i="31" s="1"/>
  <c r="A264" i="31" s="1"/>
  <c r="A265" i="31" s="1"/>
  <c r="A266" i="31" s="1"/>
  <c r="A267" i="31" s="1"/>
  <c r="A268" i="31" s="1"/>
  <c r="A269" i="31" s="1"/>
  <c r="A270" i="31" s="1"/>
  <c r="A271" i="31" s="1"/>
  <c r="A272" i="31" s="1"/>
  <c r="A273" i="31" s="1"/>
  <c r="A274" i="31" s="1"/>
  <c r="A275" i="31" s="1"/>
  <c r="A276" i="31" s="1"/>
  <c r="A277" i="31" s="1"/>
  <c r="A278" i="31" s="1"/>
  <c r="A279" i="31" s="1"/>
  <c r="A280" i="31" s="1"/>
  <c r="A281" i="31" s="1"/>
  <c r="A282" i="31" s="1"/>
  <c r="A283" i="31" s="1"/>
  <c r="A284" i="31" s="1"/>
  <c r="A285" i="31" s="1"/>
  <c r="A286" i="31" s="1"/>
  <c r="A287" i="31" s="1"/>
  <c r="A288" i="31" s="1"/>
  <c r="A289" i="31" s="1"/>
  <c r="A290" i="31" s="1"/>
  <c r="A291" i="31" s="1"/>
  <c r="A292" i="31" s="1"/>
  <c r="A293" i="31" s="1"/>
  <c r="A294" i="31" s="1"/>
  <c r="A295" i="31" s="1"/>
  <c r="A296" i="31" s="1"/>
  <c r="A297" i="31" s="1"/>
  <c r="A298" i="31" s="1"/>
  <c r="A299" i="31" s="1"/>
  <c r="A300" i="31" s="1"/>
  <c r="A301" i="31" s="1"/>
  <c r="A302" i="31" s="1"/>
  <c r="A303" i="31" s="1"/>
  <c r="A304" i="31" s="1"/>
  <c r="A305" i="31" s="1"/>
  <c r="A306" i="31" s="1"/>
  <c r="A307" i="31" s="1"/>
  <c r="A308" i="31" s="1"/>
  <c r="A309" i="31" s="1"/>
  <c r="A310" i="31" s="1"/>
  <c r="A321" i="31" s="1"/>
  <c r="A322" i="31" s="1"/>
  <c r="A323" i="31" s="1"/>
  <c r="A324" i="31" s="1"/>
  <c r="A325" i="31" s="1"/>
  <c r="A326" i="31" s="1"/>
  <c r="A327" i="31" s="1"/>
  <c r="A328" i="31" s="1"/>
  <c r="A329" i="31" s="1"/>
  <c r="A330" i="31" s="1"/>
  <c r="A331" i="31" s="1"/>
  <c r="A332" i="31" s="1"/>
  <c r="A333" i="31" s="1"/>
  <c r="A334" i="31" s="1"/>
  <c r="A335" i="31" s="1"/>
  <c r="A336" i="31" s="1"/>
  <c r="A337" i="31" s="1"/>
  <c r="A338" i="31" s="1"/>
  <c r="A339" i="31" s="1"/>
  <c r="A340" i="31" s="1"/>
  <c r="A351" i="31" s="1"/>
  <c r="A362" i="31" s="1"/>
  <c r="A363" i="31" s="1"/>
  <c r="A364" i="31" s="1"/>
  <c r="A365" i="31" s="1"/>
  <c r="A366" i="31" s="1"/>
  <c r="A367" i="31" s="1"/>
  <c r="A368" i="31" s="1"/>
  <c r="A369" i="31" s="1"/>
  <c r="A380" i="31" s="1"/>
  <c r="A381" i="31" s="1"/>
  <c r="A382" i="31" s="1"/>
  <c r="A383" i="31" s="1"/>
  <c r="A384" i="31" s="1"/>
  <c r="A385" i="31" s="1"/>
  <c r="A386" i="31" s="1"/>
  <c r="A387" i="31" s="1"/>
  <c r="H135" i="31"/>
  <c r="R200" i="31"/>
  <c r="H121" i="31" s="1"/>
  <c r="R401" i="31"/>
  <c r="H128" i="31" s="1"/>
  <c r="S358" i="39"/>
  <c r="I126" i="39" s="1"/>
  <c r="R427" i="31"/>
  <c r="H129" i="31" s="1"/>
  <c r="R371" i="31"/>
  <c r="H127" i="31" s="1"/>
  <c r="R211" i="31"/>
  <c r="H122" i="31" s="1"/>
  <c r="S233" i="39"/>
  <c r="I123" i="39" s="1"/>
  <c r="I135" i="39"/>
  <c r="I136" i="39"/>
  <c r="H136" i="31"/>
  <c r="R353" i="31"/>
  <c r="H126" i="31" s="1"/>
  <c r="S219" i="39"/>
  <c r="I122" i="39" s="1"/>
  <c r="S208" i="39"/>
  <c r="I121" i="39" s="1"/>
  <c r="R225" i="31"/>
  <c r="H123" i="31" s="1"/>
  <c r="S407" i="39"/>
  <c r="I128" i="39" s="1"/>
  <c r="R312" i="31"/>
  <c r="H124" i="31" s="1"/>
  <c r="S433" i="39"/>
  <c r="I129" i="39" s="1"/>
  <c r="S318" i="39"/>
  <c r="I124" i="39" s="1"/>
  <c r="S180" i="39"/>
  <c r="I120" i="39" s="1"/>
  <c r="R172" i="31"/>
  <c r="H120" i="31" s="1"/>
  <c r="H134" i="31"/>
  <c r="I134" i="31"/>
  <c r="J134" i="31"/>
  <c r="S376" i="39"/>
  <c r="I127" i="39" s="1"/>
  <c r="H137" i="39"/>
  <c r="S165" i="31"/>
  <c r="S166" i="31"/>
  <c r="S243" i="31"/>
  <c r="T307" i="39"/>
  <c r="S192" i="31"/>
  <c r="S222" i="31"/>
  <c r="S290" i="31"/>
  <c r="S258" i="31"/>
  <c r="S209" i="31"/>
  <c r="S249" i="31"/>
  <c r="S266" i="31"/>
  <c r="S366" i="31"/>
  <c r="U446" i="39"/>
  <c r="S281" i="31"/>
  <c r="T314" i="39"/>
  <c r="T178" i="39"/>
  <c r="T417" i="39"/>
  <c r="U452" i="39"/>
  <c r="S329" i="31"/>
  <c r="S287" i="31"/>
  <c r="T253" i="39"/>
  <c r="S368" i="31"/>
  <c r="S397" i="31"/>
  <c r="T177" i="39"/>
  <c r="S260" i="31"/>
  <c r="S280" i="31"/>
  <c r="T345" i="39"/>
  <c r="S380" i="31"/>
  <c r="T202" i="39"/>
  <c r="T175" i="39"/>
  <c r="S362" i="31"/>
  <c r="S437" i="31"/>
  <c r="S388" i="31"/>
  <c r="S391" i="31"/>
  <c r="T419" i="39"/>
  <c r="S423" i="31"/>
  <c r="S256" i="31"/>
  <c r="T385" i="39"/>
  <c r="T423" i="39"/>
  <c r="T255" i="39"/>
  <c r="T173" i="39"/>
  <c r="S364" i="31"/>
  <c r="T266" i="39"/>
  <c r="T330" i="39"/>
  <c r="S398" i="31"/>
  <c r="S425" i="31"/>
  <c r="T282" i="39"/>
  <c r="T295" i="39"/>
  <c r="T342" i="39"/>
  <c r="T394" i="39"/>
  <c r="T442" i="39"/>
  <c r="T371" i="39"/>
  <c r="T343" i="39"/>
  <c r="T399" i="39"/>
  <c r="T245" i="39"/>
  <c r="T162" i="39"/>
  <c r="S288" i="31"/>
  <c r="T338" i="39"/>
  <c r="T300" i="39"/>
  <c r="T288" i="39"/>
  <c r="T336" i="39"/>
  <c r="S196" i="31"/>
  <c r="T418" i="39"/>
  <c r="S263" i="31"/>
  <c r="S332" i="31"/>
  <c r="T424" i="39"/>
  <c r="S293" i="31"/>
  <c r="S328" i="31"/>
  <c r="T420" i="39"/>
  <c r="S385" i="31"/>
  <c r="T305" i="39"/>
  <c r="T374" i="39"/>
  <c r="T164" i="39"/>
  <c r="S248" i="31"/>
  <c r="S275" i="31"/>
  <c r="T309" i="39"/>
  <c r="T247" i="39"/>
  <c r="S289" i="31"/>
  <c r="T169" i="39"/>
  <c r="S325" i="31"/>
  <c r="T200" i="39"/>
  <c r="T402" i="39"/>
  <c r="T279" i="39"/>
  <c r="Q445" i="31"/>
  <c r="S327" i="31"/>
  <c r="S306" i="31"/>
  <c r="U450" i="39"/>
  <c r="T331" i="39"/>
  <c r="T250" i="39"/>
  <c r="T368" i="39"/>
  <c r="T271" i="39"/>
  <c r="S384" i="31"/>
  <c r="S250" i="31"/>
  <c r="S396" i="31"/>
  <c r="S271" i="31"/>
  <c r="T405" i="39"/>
  <c r="T167" i="39"/>
  <c r="S159" i="31"/>
  <c r="S302" i="31"/>
  <c r="T284" i="39"/>
  <c r="T293" i="39"/>
  <c r="R442" i="31"/>
  <c r="S417" i="31"/>
  <c r="T262" i="39"/>
  <c r="S162" i="31"/>
  <c r="S221" i="31"/>
  <c r="S197" i="31"/>
  <c r="T272" i="39"/>
  <c r="S283" i="31"/>
  <c r="S382" i="31"/>
  <c r="S246" i="31"/>
  <c r="S195" i="31"/>
  <c r="S274" i="31"/>
  <c r="T161" i="39"/>
  <c r="S265" i="31"/>
  <c r="T296" i="39"/>
  <c r="S410" i="31"/>
  <c r="T278" i="39"/>
  <c r="S420" i="31"/>
  <c r="T231" i="39"/>
  <c r="S301" i="31"/>
  <c r="T335" i="39"/>
  <c r="S278" i="31"/>
  <c r="S338" i="31"/>
  <c r="S303" i="31"/>
  <c r="S282" i="31"/>
  <c r="T275" i="39"/>
  <c r="T443" i="31"/>
  <c r="S241" i="31"/>
  <c r="S411" i="31"/>
  <c r="T441" i="31"/>
  <c r="S291" i="31"/>
  <c r="R451" i="39"/>
  <c r="S272" i="31"/>
  <c r="T160" i="39"/>
  <c r="T344" i="39"/>
  <c r="T251" i="39"/>
  <c r="S416" i="31"/>
  <c r="S163" i="31"/>
  <c r="T425" i="39"/>
  <c r="T340" i="31"/>
  <c r="S339" i="31"/>
  <c r="S259" i="31"/>
  <c r="S237" i="31"/>
  <c r="U445" i="39"/>
  <c r="T446" i="31"/>
  <c r="S300" i="31"/>
  <c r="T393" i="39"/>
  <c r="T166" i="39"/>
  <c r="S369" i="31"/>
  <c r="T299" i="39"/>
  <c r="S223" i="31"/>
  <c r="T404" i="39"/>
  <c r="T201" i="39"/>
  <c r="T265" i="39"/>
  <c r="S240" i="31"/>
  <c r="S422" i="31"/>
  <c r="S326" i="31"/>
  <c r="S279" i="31"/>
  <c r="T308" i="39"/>
  <c r="S158" i="31"/>
  <c r="S365" i="31"/>
  <c r="S170" i="31"/>
  <c r="S284" i="31"/>
  <c r="T229" i="39"/>
  <c r="S418" i="31"/>
  <c r="S333" i="31"/>
  <c r="T439" i="31"/>
  <c r="T301" i="39"/>
  <c r="T390" i="39"/>
  <c r="S308" i="31"/>
  <c r="T172" i="39"/>
  <c r="S238" i="31"/>
  <c r="T228" i="39"/>
  <c r="T302" i="39"/>
  <c r="T396" i="39"/>
  <c r="T158" i="39"/>
  <c r="S254" i="31"/>
  <c r="S392" i="31"/>
  <c r="S239" i="31"/>
  <c r="S234" i="31"/>
  <c r="T397" i="39"/>
  <c r="T333" i="39"/>
  <c r="S257" i="31"/>
  <c r="T157" i="39"/>
  <c r="T370" i="39"/>
  <c r="T205" i="39"/>
  <c r="T303" i="39"/>
  <c r="S323" i="31"/>
  <c r="S268" i="31"/>
  <c r="S270" i="31"/>
  <c r="T249" i="39"/>
  <c r="S299" i="31"/>
  <c r="S424" i="31"/>
  <c r="T292" i="39"/>
  <c r="T337" i="39"/>
  <c r="S286" i="31"/>
  <c r="T168" i="39"/>
  <c r="S412" i="31"/>
  <c r="S387" i="31"/>
  <c r="T429" i="39"/>
  <c r="T270" i="39"/>
  <c r="T398" i="39"/>
  <c r="S395" i="31"/>
  <c r="S381" i="31"/>
  <c r="T369" i="39"/>
  <c r="T444" i="31"/>
  <c r="S168" i="31"/>
  <c r="S383" i="31"/>
  <c r="T290" i="39"/>
  <c r="T367" i="39"/>
  <c r="S244" i="31"/>
  <c r="S415" i="31"/>
  <c r="S413" i="31"/>
  <c r="T328" i="39"/>
  <c r="T298" i="39"/>
  <c r="S304" i="31"/>
  <c r="S334" i="31"/>
  <c r="S267" i="31"/>
  <c r="T391" i="39"/>
  <c r="T244" i="39"/>
  <c r="S414" i="31"/>
  <c r="S419" i="31"/>
  <c r="T312" i="39"/>
  <c r="U447" i="39"/>
  <c r="S261" i="31"/>
  <c r="T389" i="39"/>
  <c r="T339" i="39"/>
  <c r="T392" i="39"/>
  <c r="T329" i="39"/>
  <c r="T422" i="39"/>
  <c r="T263" i="39"/>
  <c r="T286" i="39"/>
  <c r="S438" i="31"/>
  <c r="T332" i="39"/>
  <c r="T281" i="39"/>
  <c r="T341" i="39"/>
  <c r="S448" i="39"/>
  <c r="S164" i="31"/>
  <c r="T388" i="39"/>
  <c r="T356" i="39"/>
  <c r="S194" i="31"/>
  <c r="T421" i="39"/>
  <c r="T170" i="39"/>
  <c r="T340" i="39"/>
  <c r="T430" i="39"/>
  <c r="T217" i="39"/>
  <c r="S305" i="31"/>
  <c r="T304" i="39"/>
  <c r="S236" i="31"/>
  <c r="S336" i="31"/>
  <c r="T159" i="39"/>
  <c r="T440" i="31"/>
  <c r="T283" i="39"/>
  <c r="S367" i="31"/>
  <c r="T280" i="39"/>
  <c r="S390" i="31"/>
  <c r="T230" i="39"/>
  <c r="T327" i="39"/>
  <c r="T294" i="39"/>
  <c r="S252" i="31"/>
  <c r="S167" i="31"/>
  <c r="S161" i="31"/>
  <c r="T291" i="39"/>
  <c r="T426" i="39"/>
  <c r="T261" i="39"/>
  <c r="S296" i="31"/>
  <c r="T401" i="39"/>
  <c r="S351" i="31"/>
  <c r="T306" i="39"/>
  <c r="S220" i="31"/>
  <c r="S285" i="31"/>
  <c r="S394" i="31"/>
  <c r="T403" i="39"/>
  <c r="T174" i="39"/>
  <c r="S198" i="31"/>
  <c r="S295" i="31"/>
  <c r="T163" i="39"/>
  <c r="S297" i="31"/>
  <c r="S251" i="31"/>
  <c r="S421" i="31"/>
  <c r="T309" i="31"/>
  <c r="S363" i="31"/>
  <c r="S335" i="31"/>
  <c r="T243" i="39"/>
  <c r="S247" i="31"/>
  <c r="T277" i="39"/>
  <c r="S235" i="31"/>
  <c r="T242" i="39"/>
  <c r="T246" i="39"/>
  <c r="T273" i="39"/>
  <c r="T316" i="39"/>
  <c r="T289" i="39"/>
  <c r="T276" i="39"/>
  <c r="T395" i="39"/>
  <c r="T203" i="39"/>
  <c r="T256" i="39"/>
  <c r="S169" i="31"/>
  <c r="S292" i="31"/>
  <c r="S277" i="31"/>
  <c r="S269" i="31"/>
  <c r="T386" i="39"/>
  <c r="S253" i="31"/>
  <c r="T399" i="31"/>
  <c r="T431" i="39"/>
  <c r="T254" i="39"/>
  <c r="T258" i="39"/>
  <c r="T334" i="39"/>
  <c r="T427" i="39"/>
  <c r="T260" i="39"/>
  <c r="S322" i="31"/>
  <c r="T274" i="39"/>
  <c r="T400" i="39"/>
  <c r="S255" i="31"/>
  <c r="S264" i="31"/>
  <c r="S157" i="31"/>
  <c r="S386" i="31"/>
  <c r="S436" i="31"/>
  <c r="T257" i="39"/>
  <c r="T285" i="39"/>
  <c r="T297" i="39"/>
  <c r="T310" i="39"/>
  <c r="S330" i="31"/>
  <c r="T287" i="39"/>
  <c r="T372" i="39"/>
  <c r="T268" i="39"/>
  <c r="T444" i="39"/>
  <c r="T313" i="39"/>
  <c r="S298" i="31"/>
  <c r="T443" i="39"/>
  <c r="S276" i="31"/>
  <c r="T428" i="39"/>
  <c r="T311" i="39"/>
  <c r="S242" i="31"/>
  <c r="S245" i="31"/>
  <c r="S160" i="31"/>
  <c r="S337" i="31"/>
  <c r="T252" i="39"/>
  <c r="S324" i="31"/>
  <c r="T176" i="39"/>
  <c r="T310" i="31"/>
  <c r="T165" i="39"/>
  <c r="S389" i="31"/>
  <c r="T264" i="39"/>
  <c r="T206" i="39"/>
  <c r="S273" i="31"/>
  <c r="S321" i="31"/>
  <c r="S193" i="31"/>
  <c r="T259" i="39"/>
  <c r="S331" i="31"/>
  <c r="T248" i="39"/>
  <c r="T387" i="39"/>
  <c r="S294" i="31"/>
  <c r="T267" i="39"/>
  <c r="T373" i="39"/>
  <c r="T204" i="39"/>
  <c r="S393" i="31"/>
  <c r="T269" i="39"/>
  <c r="T171" i="39"/>
  <c r="U449" i="39"/>
  <c r="T416" i="39"/>
  <c r="S262" i="31"/>
  <c r="D31" i="15" l="1"/>
  <c r="D32" i="15"/>
  <c r="D29" i="15"/>
  <c r="D30" i="15"/>
  <c r="D27" i="15"/>
  <c r="D28" i="15"/>
  <c r="D26" i="15" s="1"/>
  <c r="A42" i="15" s="1"/>
  <c r="B42" i="15" s="1"/>
  <c r="A388" i="31"/>
  <c r="A389" i="31" s="1"/>
  <c r="A390" i="31" s="1"/>
  <c r="A391" i="31" s="1"/>
  <c r="A392" i="31" s="1"/>
  <c r="A393" i="31" s="1"/>
  <c r="A394" i="31" s="1"/>
  <c r="A395" i="31" s="1"/>
  <c r="A396" i="31" s="1"/>
  <c r="A397" i="31" s="1"/>
  <c r="A398" i="31" s="1"/>
  <c r="A399" i="31" s="1"/>
  <c r="A410" i="31" s="1"/>
  <c r="A411" i="31" s="1"/>
  <c r="A412" i="31" s="1"/>
  <c r="A413" i="31" s="1"/>
  <c r="A414" i="31" s="1"/>
  <c r="A415" i="31" s="1"/>
  <c r="A416" i="31" s="1"/>
  <c r="A417" i="31" s="1"/>
  <c r="A418" i="31" s="1"/>
  <c r="A419" i="31" s="1"/>
  <c r="A420" i="31" s="1"/>
  <c r="A421" i="31" s="1"/>
  <c r="A422" i="31" s="1"/>
  <c r="A423" i="31" s="1"/>
  <c r="A424" i="31" s="1"/>
  <c r="A425" i="31" s="1"/>
  <c r="A436" i="31" s="1"/>
  <c r="A437" i="31" s="1"/>
  <c r="A438" i="31" s="1"/>
  <c r="D25" i="15"/>
  <c r="H137" i="31"/>
  <c r="I130" i="39"/>
  <c r="I137" i="39"/>
  <c r="H130" i="31"/>
  <c r="T433" i="39"/>
  <c r="J129" i="39" s="1"/>
  <c r="T208" i="39"/>
  <c r="J121" i="39" s="1"/>
  <c r="I136" i="31"/>
  <c r="T376" i="39"/>
  <c r="J127" i="39" s="1"/>
  <c r="T318" i="39"/>
  <c r="J124" i="39" s="1"/>
  <c r="I135" i="31"/>
  <c r="S172" i="31"/>
  <c r="I120" i="31" s="1"/>
  <c r="T180" i="39"/>
  <c r="J120" i="39" s="1"/>
  <c r="S312" i="31"/>
  <c r="I124" i="31" s="1"/>
  <c r="T407" i="39"/>
  <c r="J128" i="39" s="1"/>
  <c r="S225" i="31"/>
  <c r="I123" i="31" s="1"/>
  <c r="S353" i="31"/>
  <c r="I126" i="31" s="1"/>
  <c r="T233" i="39"/>
  <c r="J123" i="39" s="1"/>
  <c r="S371" i="31"/>
  <c r="I127" i="31" s="1"/>
  <c r="S401" i="31"/>
  <c r="I128" i="31" s="1"/>
  <c r="T219" i="39"/>
  <c r="J122" i="39" s="1"/>
  <c r="J136" i="39"/>
  <c r="J135" i="39"/>
  <c r="S211" i="31"/>
  <c r="I122" i="31" s="1"/>
  <c r="S427" i="31"/>
  <c r="I129" i="31" s="1"/>
  <c r="T358" i="39"/>
  <c r="J126" i="39" s="1"/>
  <c r="S200" i="31"/>
  <c r="I121" i="31" s="1"/>
  <c r="C42" i="15"/>
  <c r="T160" i="31"/>
  <c r="T197" i="31"/>
  <c r="U244" i="39"/>
  <c r="T267" i="31"/>
  <c r="U305" i="39"/>
  <c r="U293" i="39"/>
  <c r="U242" i="39"/>
  <c r="U398" i="39"/>
  <c r="T288" i="31"/>
  <c r="U343" i="39"/>
  <c r="U394" i="39"/>
  <c r="T297" i="31"/>
  <c r="U266" i="39"/>
  <c r="T394" i="31"/>
  <c r="T423" i="31"/>
  <c r="U261" i="39"/>
  <c r="T380" i="31"/>
  <c r="U230" i="39"/>
  <c r="T365" i="31"/>
  <c r="T326" i="31"/>
  <c r="U170" i="39"/>
  <c r="T410" i="31"/>
  <c r="T448" i="39"/>
  <c r="T259" i="31"/>
  <c r="U386" i="39"/>
  <c r="U416" i="39"/>
  <c r="V449" i="39"/>
  <c r="U309" i="39"/>
  <c r="U374" i="39"/>
  <c r="U420" i="39"/>
  <c r="U268" i="39"/>
  <c r="T196" i="31"/>
  <c r="U310" i="39"/>
  <c r="T363" i="31"/>
  <c r="U342" i="39"/>
  <c r="T411" i="31"/>
  <c r="T331" i="31"/>
  <c r="U306" i="39"/>
  <c r="T437" i="31"/>
  <c r="T303" i="31"/>
  <c r="T390" i="31"/>
  <c r="U254" i="39"/>
  <c r="T389" i="31"/>
  <c r="U314" i="39"/>
  <c r="U201" i="39"/>
  <c r="T265" i="31"/>
  <c r="T237" i="31"/>
  <c r="U250" i="39"/>
  <c r="T245" i="31"/>
  <c r="U402" i="39"/>
  <c r="T334" i="31"/>
  <c r="U289" i="39"/>
  <c r="U204" i="39"/>
  <c r="T395" i="31"/>
  <c r="U405" i="39"/>
  <c r="T294" i="31"/>
  <c r="U282" i="39"/>
  <c r="T198" i="31"/>
  <c r="U423" i="39"/>
  <c r="T296" i="31"/>
  <c r="U260" i="39"/>
  <c r="U439" i="31"/>
  <c r="T397" i="31"/>
  <c r="V452" i="39"/>
  <c r="T422" i="31"/>
  <c r="T266" i="31"/>
  <c r="U356" i="39"/>
  <c r="U341" i="39"/>
  <c r="T165" i="31"/>
  <c r="U392" i="39"/>
  <c r="U279" i="39"/>
  <c r="T419" i="31"/>
  <c r="U262" i="39"/>
  <c r="T413" i="31"/>
  <c r="T393" i="31"/>
  <c r="U418" i="39"/>
  <c r="T159" i="31"/>
  <c r="T335" i="31"/>
  <c r="U442" i="39"/>
  <c r="U441" i="31"/>
  <c r="U370" i="39"/>
  <c r="T255" i="31"/>
  <c r="T392" i="31"/>
  <c r="T322" i="31"/>
  <c r="T308" i="31"/>
  <c r="T338" i="31"/>
  <c r="T170" i="31"/>
  <c r="T305" i="31"/>
  <c r="U278" i="39"/>
  <c r="U252" i="39"/>
  <c r="U270" i="39"/>
  <c r="T386" i="31"/>
  <c r="U157" i="39"/>
  <c r="U419" i="39"/>
  <c r="U206" i="39"/>
  <c r="U440" i="31"/>
  <c r="U299" i="39"/>
  <c r="T321" i="31"/>
  <c r="T366" i="31"/>
  <c r="T192" i="31"/>
  <c r="T327" i="31"/>
  <c r="T417" i="31"/>
  <c r="T412" i="31"/>
  <c r="U205" i="39"/>
  <c r="U396" i="39"/>
  <c r="U308" i="39"/>
  <c r="U393" i="39"/>
  <c r="U399" i="31"/>
  <c r="U339" i="39"/>
  <c r="U312" i="39"/>
  <c r="T289" i="31"/>
  <c r="U443" i="39"/>
  <c r="U316" i="39"/>
  <c r="U344" i="39"/>
  <c r="U160" i="39"/>
  <c r="U300" i="39"/>
  <c r="U162" i="39"/>
  <c r="U292" i="39"/>
  <c r="U249" i="39"/>
  <c r="U248" i="39"/>
  <c r="T264" i="31"/>
  <c r="T285" i="31"/>
  <c r="T351" i="31"/>
  <c r="U228" i="39"/>
  <c r="U345" i="39"/>
  <c r="U280" i="39"/>
  <c r="U417" i="39"/>
  <c r="U231" i="39"/>
  <c r="U421" i="39"/>
  <c r="T369" i="31"/>
  <c r="U307" i="39"/>
  <c r="U286" i="39"/>
  <c r="T262" i="31"/>
  <c r="V447" i="39"/>
  <c r="T163" i="31"/>
  <c r="U395" i="39"/>
  <c r="U269" i="39"/>
  <c r="U367" i="39"/>
  <c r="T332" i="31"/>
  <c r="U288" i="39"/>
  <c r="U267" i="39"/>
  <c r="U371" i="39"/>
  <c r="U295" i="39"/>
  <c r="T157" i="31"/>
  <c r="U397" i="39"/>
  <c r="U274" i="39"/>
  <c r="T362" i="31"/>
  <c r="U301" i="39"/>
  <c r="U229" i="39"/>
  <c r="U264" i="39"/>
  <c r="U431" i="39"/>
  <c r="U217" i="39"/>
  <c r="T249" i="31"/>
  <c r="U161" i="39"/>
  <c r="T246" i="31"/>
  <c r="T339" i="31"/>
  <c r="U389" i="39"/>
  <c r="T169" i="31"/>
  <c r="T248" i="31"/>
  <c r="T385" i="31"/>
  <c r="U372" i="39"/>
  <c r="T247" i="31"/>
  <c r="S451" i="39"/>
  <c r="T424" i="31"/>
  <c r="T425" i="31"/>
  <c r="T364" i="31"/>
  <c r="T239" i="31"/>
  <c r="T388" i="31"/>
  <c r="T161" i="31"/>
  <c r="T260" i="31"/>
  <c r="T367" i="31"/>
  <c r="T336" i="31"/>
  <c r="V446" i="39"/>
  <c r="U404" i="39"/>
  <c r="U296" i="39"/>
  <c r="U446" i="31"/>
  <c r="T337" i="31"/>
  <c r="T306" i="31"/>
  <c r="U311" i="39"/>
  <c r="T414" i="31"/>
  <c r="T275" i="31"/>
  <c r="S442" i="31"/>
  <c r="T293" i="31"/>
  <c r="T235" i="31"/>
  <c r="U399" i="39"/>
  <c r="T299" i="31"/>
  <c r="U443" i="31"/>
  <c r="U426" i="39"/>
  <c r="U390" i="39"/>
  <c r="T281" i="31"/>
  <c r="T300" i="31"/>
  <c r="T252" i="31"/>
  <c r="U165" i="39"/>
  <c r="U332" i="39"/>
  <c r="U425" i="39"/>
  <c r="U444" i="39"/>
  <c r="U309" i="31"/>
  <c r="U333" i="39"/>
  <c r="U172" i="39"/>
  <c r="T284" i="31"/>
  <c r="T382" i="31"/>
  <c r="U340" i="31"/>
  <c r="T325" i="31"/>
  <c r="U391" i="39"/>
  <c r="U276" i="39"/>
  <c r="T244" i="31"/>
  <c r="U424" i="39"/>
  <c r="T381" i="31"/>
  <c r="T330" i="31"/>
  <c r="U168" i="39"/>
  <c r="T291" i="31"/>
  <c r="T270" i="31"/>
  <c r="T398" i="31"/>
  <c r="U174" i="39"/>
  <c r="U385" i="39"/>
  <c r="U158" i="39"/>
  <c r="T238" i="31"/>
  <c r="U294" i="39"/>
  <c r="U253" i="39"/>
  <c r="T236" i="31"/>
  <c r="U310" i="31"/>
  <c r="T223" i="31"/>
  <c r="U166" i="39"/>
  <c r="T274" i="31"/>
  <c r="U263" i="39"/>
  <c r="U272" i="39"/>
  <c r="U200" i="39"/>
  <c r="U247" i="39"/>
  <c r="T304" i="31"/>
  <c r="U313" i="39"/>
  <c r="U290" i="39"/>
  <c r="T263" i="31"/>
  <c r="T272" i="31"/>
  <c r="U297" i="39"/>
  <c r="T396" i="31"/>
  <c r="T268" i="31"/>
  <c r="U271" i="39"/>
  <c r="T234" i="31"/>
  <c r="T193" i="31"/>
  <c r="U175" i="39"/>
  <c r="U327" i="39"/>
  <c r="T368" i="31"/>
  <c r="T329" i="31"/>
  <c r="T279" i="31"/>
  <c r="T240" i="31"/>
  <c r="T324" i="31"/>
  <c r="U281" i="39"/>
  <c r="T438" i="31"/>
  <c r="U329" i="39"/>
  <c r="R445" i="31"/>
  <c r="U428" i="39"/>
  <c r="U164" i="39"/>
  <c r="T328" i="31"/>
  <c r="U369" i="39"/>
  <c r="U429" i="39"/>
  <c r="T286" i="31"/>
  <c r="T421" i="31"/>
  <c r="U303" i="39"/>
  <c r="U173" i="39"/>
  <c r="T254" i="31"/>
  <c r="T282" i="31"/>
  <c r="T167" i="31"/>
  <c r="U177" i="39"/>
  <c r="U283" i="39"/>
  <c r="U178" i="39"/>
  <c r="U265" i="39"/>
  <c r="T194" i="31"/>
  <c r="T164" i="31"/>
  <c r="V445" i="39"/>
  <c r="T253" i="31"/>
  <c r="T269" i="31"/>
  <c r="T292" i="31"/>
  <c r="U256" i="39"/>
  <c r="T416" i="31"/>
  <c r="U251" i="39"/>
  <c r="T383" i="31"/>
  <c r="U277" i="39"/>
  <c r="T387" i="31"/>
  <c r="U337" i="39"/>
  <c r="T250" i="31"/>
  <c r="T323" i="31"/>
  <c r="T241" i="31"/>
  <c r="T220" i="31"/>
  <c r="U401" i="39"/>
  <c r="U291" i="39"/>
  <c r="T273" i="31"/>
  <c r="U258" i="39"/>
  <c r="U159" i="39"/>
  <c r="T420" i="31"/>
  <c r="U388" i="39"/>
  <c r="T243" i="31"/>
  <c r="U422" i="39"/>
  <c r="T242" i="31"/>
  <c r="U169" i="39"/>
  <c r="T276" i="31"/>
  <c r="U328" i="39"/>
  <c r="U273" i="39"/>
  <c r="T168" i="31"/>
  <c r="U373" i="39"/>
  <c r="U338" i="39"/>
  <c r="U285" i="39"/>
  <c r="U257" i="39"/>
  <c r="T384" i="31"/>
  <c r="U330" i="39"/>
  <c r="U255" i="39"/>
  <c r="U400" i="39"/>
  <c r="T391" i="31"/>
  <c r="U202" i="39"/>
  <c r="U334" i="39"/>
  <c r="T287" i="31"/>
  <c r="T301" i="31"/>
  <c r="U340" i="39"/>
  <c r="T209" i="31"/>
  <c r="T222" i="31"/>
  <c r="T166" i="31"/>
  <c r="U331" i="39"/>
  <c r="T277" i="31"/>
  <c r="T221" i="31"/>
  <c r="U203" i="39"/>
  <c r="U298" i="39"/>
  <c r="T415" i="31"/>
  <c r="U246" i="39"/>
  <c r="T302" i="31"/>
  <c r="U167" i="39"/>
  <c r="U245" i="39"/>
  <c r="U387" i="39"/>
  <c r="U163" i="39"/>
  <c r="T257" i="31"/>
  <c r="U259" i="39"/>
  <c r="U302" i="39"/>
  <c r="U427" i="39"/>
  <c r="T333" i="31"/>
  <c r="T278" i="31"/>
  <c r="T158" i="31"/>
  <c r="U304" i="39"/>
  <c r="U430" i="39"/>
  <c r="T290" i="31"/>
  <c r="T195" i="31"/>
  <c r="U368" i="39"/>
  <c r="T283" i="31"/>
  <c r="T261" i="31"/>
  <c r="U171" i="39"/>
  <c r="T298" i="31"/>
  <c r="U284" i="39"/>
  <c r="U287" i="39"/>
  <c r="U243" i="39"/>
  <c r="T271" i="31"/>
  <c r="T251" i="31"/>
  <c r="T295" i="31"/>
  <c r="U403" i="39"/>
  <c r="U275" i="39"/>
  <c r="T418" i="31"/>
  <c r="U335" i="39"/>
  <c r="T258" i="31"/>
  <c r="V450" i="39"/>
  <c r="T162" i="31"/>
  <c r="U444" i="31"/>
  <c r="U336" i="39"/>
  <c r="T436" i="31"/>
  <c r="T256" i="31"/>
  <c r="T280" i="31"/>
  <c r="U176" i="39"/>
  <c r="D42" i="15" l="1"/>
  <c r="E42" i="15" s="1"/>
  <c r="A43" i="15" s="1"/>
  <c r="J130" i="39"/>
  <c r="I130" i="31"/>
  <c r="I137" i="31"/>
  <c r="K135" i="39"/>
  <c r="T225" i="31"/>
  <c r="J123" i="31" s="1"/>
  <c r="U180" i="39"/>
  <c r="K120" i="39" s="1"/>
  <c r="T200" i="31"/>
  <c r="J121" i="31" s="1"/>
  <c r="U358" i="39"/>
  <c r="K126" i="39" s="1"/>
  <c r="U219" i="39"/>
  <c r="K122" i="39" s="1"/>
  <c r="T371" i="31"/>
  <c r="J127" i="31" s="1"/>
  <c r="T312" i="31"/>
  <c r="J124" i="31" s="1"/>
  <c r="T172" i="31"/>
  <c r="J120" i="31" s="1"/>
  <c r="U376" i="39"/>
  <c r="K127" i="39" s="1"/>
  <c r="J136" i="31"/>
  <c r="U208" i="39"/>
  <c r="K121" i="39" s="1"/>
  <c r="U433" i="39"/>
  <c r="K129" i="39" s="1"/>
  <c r="T427" i="31"/>
  <c r="J129" i="31" s="1"/>
  <c r="T211" i="31"/>
  <c r="J122" i="31" s="1"/>
  <c r="K136" i="39"/>
  <c r="T401" i="31"/>
  <c r="J128" i="31" s="1"/>
  <c r="U233" i="39"/>
  <c r="K123" i="39" s="1"/>
  <c r="T353" i="31"/>
  <c r="J126" i="31" s="1"/>
  <c r="U407" i="39"/>
  <c r="K128" i="39" s="1"/>
  <c r="J135" i="31"/>
  <c r="J137" i="31" s="1"/>
  <c r="U318" i="39"/>
  <c r="K124" i="39" s="1"/>
  <c r="J137" i="39"/>
  <c r="U284" i="31"/>
  <c r="V333" i="39"/>
  <c r="U412" i="31"/>
  <c r="V311" i="39"/>
  <c r="U164" i="31"/>
  <c r="U336" i="31"/>
  <c r="U388" i="31"/>
  <c r="U424" i="31"/>
  <c r="V369" i="39"/>
  <c r="V171" i="39"/>
  <c r="U246" i="31"/>
  <c r="V304" i="39"/>
  <c r="V301" i="39"/>
  <c r="U331" i="31"/>
  <c r="V245" i="39"/>
  <c r="V395" i="39"/>
  <c r="U274" i="31"/>
  <c r="V170" i="39"/>
  <c r="V400" i="39"/>
  <c r="V394" i="39"/>
  <c r="V398" i="39"/>
  <c r="V305" i="39"/>
  <c r="V393" i="39"/>
  <c r="V291" i="39"/>
  <c r="U220" i="31"/>
  <c r="U323" i="31"/>
  <c r="U335" i="31"/>
  <c r="U393" i="31"/>
  <c r="V425" i="39"/>
  <c r="W446" i="39"/>
  <c r="U295" i="31"/>
  <c r="U339" i="31"/>
  <c r="V217" i="39"/>
  <c r="V427" i="39"/>
  <c r="V342" i="39"/>
  <c r="V288" i="39"/>
  <c r="V374" i="39"/>
  <c r="V247" i="39"/>
  <c r="V166" i="39"/>
  <c r="U326" i="31"/>
  <c r="V345" i="39"/>
  <c r="V343" i="39"/>
  <c r="V242" i="39"/>
  <c r="U243" i="31"/>
  <c r="U338" i="31"/>
  <c r="U386" i="31"/>
  <c r="U417" i="31"/>
  <c r="U292" i="31"/>
  <c r="V446" i="31"/>
  <c r="V165" i="39"/>
  <c r="U260" i="31"/>
  <c r="U282" i="31"/>
  <c r="V423" i="39"/>
  <c r="U294" i="31"/>
  <c r="V372" i="39"/>
  <c r="U261" i="31"/>
  <c r="V201" i="39"/>
  <c r="V264" i="39"/>
  <c r="U362" i="31"/>
  <c r="U157" i="31"/>
  <c r="V167" i="39"/>
  <c r="V313" i="39"/>
  <c r="U277" i="31"/>
  <c r="V340" i="39"/>
  <c r="V253" i="39"/>
  <c r="V158" i="39"/>
  <c r="V174" i="39"/>
  <c r="U384" i="31"/>
  <c r="V373" i="39"/>
  <c r="V443" i="39"/>
  <c r="U382" i="31"/>
  <c r="V278" i="39"/>
  <c r="V258" i="39"/>
  <c r="U436" i="31"/>
  <c r="V418" i="39"/>
  <c r="V262" i="39"/>
  <c r="W445" i="39"/>
  <c r="U367" i="31"/>
  <c r="U251" i="31"/>
  <c r="U328" i="31"/>
  <c r="V250" i="39"/>
  <c r="U240" i="31"/>
  <c r="V302" i="39"/>
  <c r="V297" i="39"/>
  <c r="U221" i="31"/>
  <c r="U369" i="31"/>
  <c r="U423" i="31"/>
  <c r="U330" i="31"/>
  <c r="V276" i="39"/>
  <c r="U325" i="31"/>
  <c r="U276" i="31"/>
  <c r="U250" i="31"/>
  <c r="V279" i="39"/>
  <c r="W452" i="39"/>
  <c r="U296" i="31"/>
  <c r="V403" i="39"/>
  <c r="V204" i="39"/>
  <c r="U283" i="31"/>
  <c r="V229" i="39"/>
  <c r="V163" i="39"/>
  <c r="U196" i="31"/>
  <c r="V386" i="39"/>
  <c r="V310" i="31"/>
  <c r="U351" i="31"/>
  <c r="V249" i="39"/>
  <c r="U168" i="31"/>
  <c r="V252" i="39"/>
  <c r="U280" i="31"/>
  <c r="V337" i="39"/>
  <c r="U306" i="31"/>
  <c r="V341" i="39"/>
  <c r="V405" i="39"/>
  <c r="U438" i="31"/>
  <c r="U158" i="31"/>
  <c r="U332" i="31"/>
  <c r="V200" i="39"/>
  <c r="U398" i="31"/>
  <c r="U267" i="31"/>
  <c r="V312" i="39"/>
  <c r="U305" i="31"/>
  <c r="U392" i="31"/>
  <c r="V392" i="39"/>
  <c r="V177" i="39"/>
  <c r="V429" i="39"/>
  <c r="U248" i="31"/>
  <c r="V431" i="39"/>
  <c r="V295" i="39"/>
  <c r="V263" i="39"/>
  <c r="V294" i="39"/>
  <c r="V285" i="39"/>
  <c r="U273" i="31"/>
  <c r="V157" i="39"/>
  <c r="V336" i="39"/>
  <c r="V283" i="39"/>
  <c r="U368" i="31"/>
  <c r="V306" i="39"/>
  <c r="U304" i="31"/>
  <c r="V280" i="39"/>
  <c r="V255" i="39"/>
  <c r="U420" i="31"/>
  <c r="U414" i="31"/>
  <c r="U327" i="31"/>
  <c r="U161" i="31"/>
  <c r="V275" i="39"/>
  <c r="V284" i="39"/>
  <c r="V327" i="39"/>
  <c r="U302" i="31"/>
  <c r="W449" i="39"/>
  <c r="V202" i="39"/>
  <c r="U288" i="31"/>
  <c r="V388" i="39"/>
  <c r="V159" i="39"/>
  <c r="U413" i="31"/>
  <c r="U254" i="31"/>
  <c r="U195" i="31"/>
  <c r="U278" i="31"/>
  <c r="U262" i="31"/>
  <c r="V273" i="39"/>
  <c r="V176" i="39"/>
  <c r="U308" i="31"/>
  <c r="V205" i="39"/>
  <c r="V270" i="39"/>
  <c r="U269" i="31"/>
  <c r="V296" i="39"/>
  <c r="U397" i="31"/>
  <c r="V173" i="39"/>
  <c r="U271" i="31"/>
  <c r="U298" i="31"/>
  <c r="U169" i="31"/>
  <c r="U265" i="31"/>
  <c r="U279" i="31"/>
  <c r="V175" i="39"/>
  <c r="V271" i="39"/>
  <c r="U263" i="31"/>
  <c r="V416" i="39"/>
  <c r="V307" i="39"/>
  <c r="V417" i="39"/>
  <c r="U285" i="31"/>
  <c r="U291" i="31"/>
  <c r="V160" i="39"/>
  <c r="U289" i="31"/>
  <c r="U281" i="31"/>
  <c r="V426" i="39"/>
  <c r="U255" i="31"/>
  <c r="V441" i="31"/>
  <c r="U387" i="31"/>
  <c r="V444" i="39"/>
  <c r="V332" i="39"/>
  <c r="V178" i="39"/>
  <c r="U425" i="31"/>
  <c r="U237" i="31"/>
  <c r="U389" i="31"/>
  <c r="V274" i="39"/>
  <c r="V267" i="39"/>
  <c r="V246" i="39"/>
  <c r="V298" i="39"/>
  <c r="V272" i="39"/>
  <c r="U410" i="31"/>
  <c r="U236" i="31"/>
  <c r="U238" i="31"/>
  <c r="V168" i="39"/>
  <c r="U300" i="31"/>
  <c r="V390" i="39"/>
  <c r="U416" i="31"/>
  <c r="V356" i="39"/>
  <c r="U252" i="31"/>
  <c r="U286" i="31"/>
  <c r="V430" i="39"/>
  <c r="U437" i="31"/>
  <c r="U163" i="31"/>
  <c r="V334" i="39"/>
  <c r="U264" i="31"/>
  <c r="U197" i="31"/>
  <c r="V308" i="39"/>
  <c r="U383" i="31"/>
  <c r="V439" i="31"/>
  <c r="V164" i="39"/>
  <c r="U411" i="31"/>
  <c r="U301" i="31"/>
  <c r="V293" i="39"/>
  <c r="U299" i="31"/>
  <c r="U258" i="31"/>
  <c r="V303" i="39"/>
  <c r="S445" i="31"/>
  <c r="V259" i="39"/>
  <c r="U222" i="31"/>
  <c r="V344" i="39"/>
  <c r="V396" i="39"/>
  <c r="U162" i="31"/>
  <c r="U385" i="31"/>
  <c r="V310" i="39"/>
  <c r="V331" i="39"/>
  <c r="U242" i="31"/>
  <c r="V419" i="39"/>
  <c r="U194" i="31"/>
  <c r="T451" i="39"/>
  <c r="V314" i="39"/>
  <c r="U268" i="31"/>
  <c r="U365" i="31"/>
  <c r="V330" i="39"/>
  <c r="V424" i="39"/>
  <c r="U322" i="31"/>
  <c r="U266" i="31"/>
  <c r="V243" i="39"/>
  <c r="V268" i="39"/>
  <c r="V257" i="39"/>
  <c r="V422" i="39"/>
  <c r="V440" i="31"/>
  <c r="V443" i="31"/>
  <c r="V399" i="39"/>
  <c r="V251" i="39"/>
  <c r="W450" i="39"/>
  <c r="V265" i="39"/>
  <c r="V260" i="39"/>
  <c r="V282" i="39"/>
  <c r="V287" i="39"/>
  <c r="U334" i="31"/>
  <c r="U245" i="31"/>
  <c r="U324" i="31"/>
  <c r="V254" i="39"/>
  <c r="V397" i="39"/>
  <c r="U363" i="31"/>
  <c r="V269" i="39"/>
  <c r="U259" i="31"/>
  <c r="U223" i="31"/>
  <c r="V261" i="39"/>
  <c r="U297" i="31"/>
  <c r="V162" i="39"/>
  <c r="U244" i="31"/>
  <c r="V340" i="31"/>
  <c r="V172" i="39"/>
  <c r="V401" i="39"/>
  <c r="V370" i="39"/>
  <c r="V309" i="31"/>
  <c r="U293" i="31"/>
  <c r="V256" i="39"/>
  <c r="U366" i="31"/>
  <c r="U167" i="31"/>
  <c r="V389" i="39"/>
  <c r="V161" i="39"/>
  <c r="U390" i="31"/>
  <c r="U234" i="31"/>
  <c r="U272" i="31"/>
  <c r="U415" i="31"/>
  <c r="V309" i="39"/>
  <c r="U448" i="39"/>
  <c r="V231" i="39"/>
  <c r="V230" i="39"/>
  <c r="U270" i="31"/>
  <c r="U381" i="31"/>
  <c r="V399" i="31"/>
  <c r="V206" i="39"/>
  <c r="U241" i="31"/>
  <c r="T442" i="31"/>
  <c r="U419" i="31"/>
  <c r="U337" i="31"/>
  <c r="V404" i="39"/>
  <c r="U418" i="31"/>
  <c r="U321" i="31"/>
  <c r="U239" i="31"/>
  <c r="U421" i="31"/>
  <c r="U395" i="31"/>
  <c r="V289" i="39"/>
  <c r="V368" i="39"/>
  <c r="U329" i="31"/>
  <c r="U303" i="31"/>
  <c r="U257" i="31"/>
  <c r="U396" i="31"/>
  <c r="V420" i="39"/>
  <c r="W447" i="39"/>
  <c r="U209" i="31"/>
  <c r="U287" i="31"/>
  <c r="V228" i="39"/>
  <c r="U394" i="31"/>
  <c r="V248" i="39"/>
  <c r="V338" i="39"/>
  <c r="V316" i="39"/>
  <c r="U160" i="31"/>
  <c r="V299" i="39"/>
  <c r="U170" i="31"/>
  <c r="U256" i="31"/>
  <c r="V277" i="39"/>
  <c r="U275" i="31"/>
  <c r="U165" i="31"/>
  <c r="U422" i="31"/>
  <c r="U198" i="31"/>
  <c r="U247" i="31"/>
  <c r="V402" i="39"/>
  <c r="U249" i="31"/>
  <c r="U333" i="31"/>
  <c r="V371" i="39"/>
  <c r="V203" i="39"/>
  <c r="V286" i="39"/>
  <c r="U391" i="31"/>
  <c r="V292" i="39"/>
  <c r="V328" i="39"/>
  <c r="V244" i="39"/>
  <c r="U235" i="31"/>
  <c r="U290" i="31"/>
  <c r="V290" i="39"/>
  <c r="V266" i="39"/>
  <c r="V169" i="39"/>
  <c r="V442" i="39"/>
  <c r="U192" i="31"/>
  <c r="V281" i="39"/>
  <c r="V367" i="39"/>
  <c r="V421" i="39"/>
  <c r="V300" i="39"/>
  <c r="V444" i="31"/>
  <c r="V335" i="39"/>
  <c r="U364" i="31"/>
  <c r="V329" i="39"/>
  <c r="U193" i="31"/>
  <c r="U166" i="31"/>
  <c r="V385" i="39"/>
  <c r="V339" i="39"/>
  <c r="U159" i="31"/>
  <c r="U253" i="31"/>
  <c r="V428" i="39"/>
  <c r="V387" i="39"/>
  <c r="U380" i="31"/>
  <c r="V391" i="39"/>
  <c r="B43" i="15" l="1"/>
  <c r="K130" i="39"/>
  <c r="J130" i="31"/>
  <c r="U401" i="31"/>
  <c r="K128" i="31" s="1"/>
  <c r="V208" i="39"/>
  <c r="L121" i="39" s="1"/>
  <c r="L135" i="39"/>
  <c r="V407" i="39"/>
  <c r="L128" i="39" s="1"/>
  <c r="U353" i="31"/>
  <c r="K126" i="31" s="1"/>
  <c r="V233" i="39"/>
  <c r="L123" i="39" s="1"/>
  <c r="U211" i="31"/>
  <c r="K122" i="31" s="1"/>
  <c r="K136" i="31"/>
  <c r="U172" i="31"/>
  <c r="K120" i="31" s="1"/>
  <c r="U371" i="31"/>
  <c r="K127" i="31" s="1"/>
  <c r="V358" i="39"/>
  <c r="L126" i="39" s="1"/>
  <c r="V318" i="39"/>
  <c r="L124" i="39" s="1"/>
  <c r="K135" i="31"/>
  <c r="K137" i="31" s="1"/>
  <c r="U427" i="31"/>
  <c r="K129" i="31" s="1"/>
  <c r="V376" i="39"/>
  <c r="L127" i="39" s="1"/>
  <c r="U312" i="31"/>
  <c r="K124" i="31" s="1"/>
  <c r="V219" i="39"/>
  <c r="L122" i="39" s="1"/>
  <c r="L130" i="39" s="1"/>
  <c r="U200" i="31"/>
  <c r="K121" i="31" s="1"/>
  <c r="V180" i="39"/>
  <c r="L120" i="39" s="1"/>
  <c r="U225" i="31"/>
  <c r="K123" i="31" s="1"/>
  <c r="L136" i="39"/>
  <c r="L137" i="39" s="1"/>
  <c r="V433" i="39"/>
  <c r="L129" i="39" s="1"/>
  <c r="K137" i="39"/>
  <c r="C43" i="15"/>
  <c r="D43" i="15" l="1"/>
  <c r="E43" i="15" s="1"/>
  <c r="A44" i="15" s="1"/>
  <c r="K130" i="31"/>
  <c r="W273" i="39"/>
  <c r="V158" i="31"/>
  <c r="V251" i="31"/>
  <c r="V413" i="31"/>
  <c r="V322" i="31"/>
  <c r="V197" i="31"/>
  <c r="W330" i="39"/>
  <c r="V209" i="31"/>
  <c r="W163" i="39"/>
  <c r="V261" i="31"/>
  <c r="W275" i="39"/>
  <c r="V337" i="31"/>
  <c r="V300" i="31"/>
  <c r="V236" i="31"/>
  <c r="W298" i="39"/>
  <c r="V368" i="31"/>
  <c r="V295" i="31"/>
  <c r="V387" i="31"/>
  <c r="V273" i="31"/>
  <c r="W398" i="39"/>
  <c r="W170" i="39"/>
  <c r="V363" i="31"/>
  <c r="T445" i="31"/>
  <c r="V271" i="31"/>
  <c r="W177" i="39"/>
  <c r="W422" i="39"/>
  <c r="V330" i="31"/>
  <c r="W200" i="39"/>
  <c r="W387" i="39"/>
  <c r="V254" i="31"/>
  <c r="W337" i="39"/>
  <c r="W316" i="39"/>
  <c r="W253" i="39"/>
  <c r="V257" i="31"/>
  <c r="V395" i="31"/>
  <c r="W335" i="39"/>
  <c r="V327" i="31"/>
  <c r="V338" i="31"/>
  <c r="W168" i="39"/>
  <c r="W421" i="39"/>
  <c r="W288" i="39"/>
  <c r="V192" i="31"/>
  <c r="V335" i="31"/>
  <c r="W285" i="39"/>
  <c r="V223" i="31"/>
  <c r="W175" i="39"/>
  <c r="V424" i="31"/>
  <c r="W296" i="39"/>
  <c r="W205" i="39"/>
  <c r="W391" i="39"/>
  <c r="W302" i="39"/>
  <c r="W164" i="39"/>
  <c r="W418" i="39"/>
  <c r="W339" i="39"/>
  <c r="W174" i="39"/>
  <c r="V287" i="31"/>
  <c r="V283" i="31"/>
  <c r="V239" i="31"/>
  <c r="V386" i="31"/>
  <c r="W300" i="39"/>
  <c r="W161" i="39"/>
  <c r="W291" i="39"/>
  <c r="V297" i="31"/>
  <c r="W269" i="39"/>
  <c r="V334" i="31"/>
  <c r="V392" i="31"/>
  <c r="W257" i="39"/>
  <c r="V221" i="31"/>
  <c r="W243" i="39"/>
  <c r="W277" i="39"/>
  <c r="V288" i="31"/>
  <c r="V166" i="31"/>
  <c r="W167" i="39"/>
  <c r="V303" i="31"/>
  <c r="W372" i="39"/>
  <c r="V260" i="31"/>
  <c r="W390" i="39"/>
  <c r="W345" i="39"/>
  <c r="W272" i="39"/>
  <c r="W342" i="39"/>
  <c r="V385" i="31"/>
  <c r="W332" i="39"/>
  <c r="W157" i="39"/>
  <c r="W169" i="39"/>
  <c r="V222" i="31"/>
  <c r="W259" i="39"/>
  <c r="V246" i="31"/>
  <c r="W311" i="39"/>
  <c r="W399" i="39"/>
  <c r="V398" i="31"/>
  <c r="V249" i="31"/>
  <c r="W439" i="31"/>
  <c r="V383" i="31"/>
  <c r="V280" i="31"/>
  <c r="W424" i="39"/>
  <c r="V394" i="31"/>
  <c r="W386" i="39"/>
  <c r="V362" i="31"/>
  <c r="W289" i="39"/>
  <c r="V161" i="31"/>
  <c r="V419" i="31"/>
  <c r="V242" i="31"/>
  <c r="W166" i="39"/>
  <c r="W246" i="39"/>
  <c r="V389" i="31"/>
  <c r="V167" i="31"/>
  <c r="W442" i="39"/>
  <c r="W393" i="39"/>
  <c r="W394" i="39"/>
  <c r="W307" i="39"/>
  <c r="W254" i="39"/>
  <c r="V298" i="31"/>
  <c r="W282" i="39"/>
  <c r="V258" i="31"/>
  <c r="W244" i="39"/>
  <c r="V423" i="31"/>
  <c r="W203" i="39"/>
  <c r="V411" i="31"/>
  <c r="V422" i="31"/>
  <c r="V256" i="31"/>
  <c r="V168" i="31"/>
  <c r="W340" i="39"/>
  <c r="W423" i="39"/>
  <c r="W165" i="39"/>
  <c r="V414" i="31"/>
  <c r="V243" i="31"/>
  <c r="V238" i="31"/>
  <c r="W306" i="39"/>
  <c r="V162" i="31"/>
  <c r="W400" i="39"/>
  <c r="W304" i="39"/>
  <c r="W303" i="39"/>
  <c r="W443" i="31"/>
  <c r="V240" i="31"/>
  <c r="V247" i="31"/>
  <c r="W443" i="39"/>
  <c r="V193" i="31"/>
  <c r="V282" i="31"/>
  <c r="W419" i="39"/>
  <c r="V339" i="31"/>
  <c r="W417" i="39"/>
  <c r="W295" i="39"/>
  <c r="V305" i="31"/>
  <c r="V333" i="31"/>
  <c r="W308" i="39"/>
  <c r="V277" i="31"/>
  <c r="W229" i="39"/>
  <c r="W356" i="39"/>
  <c r="W280" i="39"/>
  <c r="V304" i="31"/>
  <c r="V425" i="31"/>
  <c r="V255" i="31"/>
  <c r="V259" i="31"/>
  <c r="W301" i="39"/>
  <c r="W251" i="39"/>
  <c r="V380" i="31"/>
  <c r="W402" i="39"/>
  <c r="V253" i="31"/>
  <c r="W252" i="39"/>
  <c r="W202" i="39"/>
  <c r="V196" i="31"/>
  <c r="V294" i="31"/>
  <c r="W444" i="31"/>
  <c r="W331" i="39"/>
  <c r="W267" i="39"/>
  <c r="W256" i="39"/>
  <c r="W340" i="31"/>
  <c r="W263" i="39"/>
  <c r="V279" i="31"/>
  <c r="W173" i="39"/>
  <c r="W276" i="39"/>
  <c r="V301" i="31"/>
  <c r="V278" i="31"/>
  <c r="V170" i="31"/>
  <c r="V163" i="31"/>
  <c r="W329" i="39"/>
  <c r="V194" i="31"/>
  <c r="V276" i="31"/>
  <c r="W230" i="39"/>
  <c r="V325" i="31"/>
  <c r="W371" i="39"/>
  <c r="W405" i="39"/>
  <c r="W262" i="39"/>
  <c r="V436" i="31"/>
  <c r="V160" i="31"/>
  <c r="W249" i="39"/>
  <c r="W310" i="31"/>
  <c r="V396" i="31"/>
  <c r="W201" i="39"/>
  <c r="W403" i="39"/>
  <c r="W404" i="39"/>
  <c r="V250" i="31"/>
  <c r="V270" i="31"/>
  <c r="W247" i="39"/>
  <c r="V234" i="31"/>
  <c r="V237" i="31"/>
  <c r="V393" i="31"/>
  <c r="W396" i="39"/>
  <c r="V289" i="31"/>
  <c r="V285" i="31"/>
  <c r="V263" i="31"/>
  <c r="V265" i="31"/>
  <c r="W429" i="39"/>
  <c r="W260" i="39"/>
  <c r="W333" i="39"/>
  <c r="W293" i="39"/>
  <c r="V262" i="31"/>
  <c r="W297" i="39"/>
  <c r="V195" i="31"/>
  <c r="V275" i="31"/>
  <c r="W278" i="39"/>
  <c r="W334" i="39"/>
  <c r="W420" i="39"/>
  <c r="W284" i="39"/>
  <c r="V252" i="31"/>
  <c r="W446" i="31"/>
  <c r="V241" i="31"/>
  <c r="W242" i="39"/>
  <c r="V326" i="31"/>
  <c r="W367" i="39"/>
  <c r="V366" i="31"/>
  <c r="W336" i="39"/>
  <c r="W305" i="39"/>
  <c r="W294" i="39"/>
  <c r="V331" i="31"/>
  <c r="W287" i="39"/>
  <c r="W265" i="39"/>
  <c r="V299" i="31"/>
  <c r="W176" i="39"/>
  <c r="V332" i="31"/>
  <c r="W428" i="39"/>
  <c r="V306" i="31"/>
  <c r="W299" i="39"/>
  <c r="V384" i="31"/>
  <c r="W228" i="39"/>
  <c r="W314" i="39"/>
  <c r="V421" i="31"/>
  <c r="V416" i="31"/>
  <c r="V420" i="31"/>
  <c r="W274" i="39"/>
  <c r="W441" i="31"/>
  <c r="W160" i="39"/>
  <c r="W395" i="39"/>
  <c r="V324" i="31"/>
  <c r="V164" i="31"/>
  <c r="V267" i="31"/>
  <c r="W286" i="39"/>
  <c r="V328" i="31"/>
  <c r="V266" i="31"/>
  <c r="V382" i="31"/>
  <c r="V365" i="31"/>
  <c r="V302" i="31"/>
  <c r="V437" i="31"/>
  <c r="W368" i="39"/>
  <c r="V321" i="31"/>
  <c r="V417" i="31"/>
  <c r="W255" i="39"/>
  <c r="V448" i="39"/>
  <c r="W310" i="39"/>
  <c r="W281" i="39"/>
  <c r="W178" i="39"/>
  <c r="V323" i="31"/>
  <c r="W172" i="39"/>
  <c r="V291" i="31"/>
  <c r="W271" i="39"/>
  <c r="V290" i="31"/>
  <c r="V248" i="31"/>
  <c r="W270" i="39"/>
  <c r="W264" i="39"/>
  <c r="W309" i="39"/>
  <c r="W370" i="39"/>
  <c r="V274" i="31"/>
  <c r="V269" i="31"/>
  <c r="W328" i="39"/>
  <c r="W258" i="39"/>
  <c r="W385" i="39"/>
  <c r="W204" i="39"/>
  <c r="W231" i="39"/>
  <c r="V281" i="31"/>
  <c r="V388" i="31"/>
  <c r="V391" i="31"/>
  <c r="V198" i="31"/>
  <c r="W248" i="39"/>
  <c r="V268" i="31"/>
  <c r="V286" i="31"/>
  <c r="W399" i="31"/>
  <c r="W427" i="39"/>
  <c r="W444" i="39"/>
  <c r="V244" i="31"/>
  <c r="V245" i="31"/>
  <c r="V308" i="31"/>
  <c r="V159" i="31"/>
  <c r="W373" i="39"/>
  <c r="W327" i="39"/>
  <c r="V418" i="31"/>
  <c r="V381" i="31"/>
  <c r="W217" i="39"/>
  <c r="V220" i="31"/>
  <c r="W266" i="39"/>
  <c r="W369" i="39"/>
  <c r="W392" i="39"/>
  <c r="W268" i="39"/>
  <c r="W341" i="39"/>
  <c r="V264" i="31"/>
  <c r="V296" i="31"/>
  <c r="U442" i="31"/>
  <c r="W374" i="39"/>
  <c r="W261" i="39"/>
  <c r="V412" i="31"/>
  <c r="V165" i="31"/>
  <c r="V329" i="31"/>
  <c r="V272" i="31"/>
  <c r="W397" i="39"/>
  <c r="W250" i="39"/>
  <c r="W313" i="39"/>
  <c r="V292" i="31"/>
  <c r="V390" i="31"/>
  <c r="W162" i="39"/>
  <c r="V235" i="31"/>
  <c r="W389" i="39"/>
  <c r="W290" i="39"/>
  <c r="V284" i="31"/>
  <c r="W159" i="39"/>
  <c r="U451" i="39"/>
  <c r="W425" i="39"/>
  <c r="V336" i="31"/>
  <c r="V367" i="31"/>
  <c r="W343" i="39"/>
  <c r="W245" i="39"/>
  <c r="W440" i="31"/>
  <c r="W171" i="39"/>
  <c r="W292" i="39"/>
  <c r="W279" i="39"/>
  <c r="W344" i="39"/>
  <c r="W388" i="39"/>
  <c r="V410" i="31"/>
  <c r="W431" i="39"/>
  <c r="W426" i="39"/>
  <c r="V397" i="31"/>
  <c r="V438" i="31"/>
  <c r="V351" i="31"/>
  <c r="W206" i="39"/>
  <c r="W416" i="39"/>
  <c r="V369" i="31"/>
  <c r="W158" i="39"/>
  <c r="V364" i="31"/>
  <c r="V415" i="31"/>
  <c r="W401" i="39"/>
  <c r="V169" i="31"/>
  <c r="V157" i="31"/>
  <c r="W283" i="39"/>
  <c r="V293" i="31"/>
  <c r="W338" i="39"/>
  <c r="W312" i="39"/>
  <c r="W430" i="39"/>
  <c r="W309" i="31"/>
  <c r="W308" i="31"/>
  <c r="W390" i="31"/>
  <c r="W157" i="31"/>
  <c r="W272" i="31"/>
  <c r="W351" i="31"/>
  <c r="W412" i="31"/>
  <c r="V442" i="31"/>
  <c r="W330" i="31"/>
  <c r="W289" i="31"/>
  <c r="W419" i="31"/>
  <c r="W251" i="31"/>
  <c r="W259" i="31"/>
  <c r="W292" i="31"/>
  <c r="W367" i="31"/>
  <c r="W391" i="31"/>
  <c r="W332" i="31"/>
  <c r="W335" i="31"/>
  <c r="W194" i="31"/>
  <c r="W195" i="31"/>
  <c r="W273" i="31"/>
  <c r="W368" i="31"/>
  <c r="W280" i="31"/>
  <c r="W291" i="31"/>
  <c r="W364" i="31"/>
  <c r="W392" i="31"/>
  <c r="W421" i="31"/>
  <c r="W240" i="31"/>
  <c r="W256" i="31"/>
  <c r="W411" i="31"/>
  <c r="W197" i="31"/>
  <c r="W304" i="31"/>
  <c r="W302" i="31"/>
  <c r="W305" i="31"/>
  <c r="W416" i="31"/>
  <c r="W165" i="31"/>
  <c r="W366" i="31"/>
  <c r="W252" i="31"/>
  <c r="W298" i="31"/>
  <c r="W381" i="31"/>
  <c r="W261" i="31"/>
  <c r="W160" i="31"/>
  <c r="U445" i="31"/>
  <c r="W253" i="31"/>
  <c r="W167" i="31"/>
  <c r="W385" i="31"/>
  <c r="W384" i="31"/>
  <c r="W254" i="31"/>
  <c r="W398" i="31"/>
  <c r="W221" i="31"/>
  <c r="W269" i="31"/>
  <c r="W170" i="31"/>
  <c r="W396" i="31"/>
  <c r="W196" i="31"/>
  <c r="W255" i="31"/>
  <c r="W303" i="31"/>
  <c r="W281" i="31"/>
  <c r="W287" i="31"/>
  <c r="W276" i="31"/>
  <c r="W285" i="31"/>
  <c r="W290" i="31"/>
  <c r="W382" i="31"/>
  <c r="W386" i="31"/>
  <c r="W168" i="31"/>
  <c r="W237" i="31"/>
  <c r="W222" i="31"/>
  <c r="W324" i="31"/>
  <c r="W278" i="31"/>
  <c r="W245" i="31"/>
  <c r="W339" i="31"/>
  <c r="W327" i="31"/>
  <c r="W393" i="31"/>
  <c r="W380" i="31"/>
  <c r="W235" i="31"/>
  <c r="W321" i="31"/>
  <c r="W166" i="31"/>
  <c r="W239" i="31"/>
  <c r="W247" i="31"/>
  <c r="W274" i="31"/>
  <c r="W296" i="31"/>
  <c r="W258" i="31"/>
  <c r="W295" i="31"/>
  <c r="W161" i="31"/>
  <c r="W325" i="31"/>
  <c r="W244" i="31"/>
  <c r="W437" i="31"/>
  <c r="W198" i="31"/>
  <c r="W164" i="31"/>
  <c r="W397" i="31"/>
  <c r="W162" i="31"/>
  <c r="W257" i="31"/>
  <c r="W301" i="31"/>
  <c r="W387" i="31"/>
  <c r="W234" i="31"/>
  <c r="W413" i="31"/>
  <c r="W323" i="31"/>
  <c r="W277" i="31"/>
  <c r="W388" i="31"/>
  <c r="W193" i="31"/>
  <c r="W293" i="31"/>
  <c r="W422" i="31"/>
  <c r="W263" i="31"/>
  <c r="W322" i="31"/>
  <c r="W410" i="31"/>
  <c r="W288" i="31"/>
  <c r="W336" i="31"/>
  <c r="W282" i="31"/>
  <c r="W299" i="31"/>
  <c r="W243" i="31"/>
  <c r="W395" i="31"/>
  <c r="W265" i="31"/>
  <c r="W242" i="31"/>
  <c r="W362" i="31"/>
  <c r="W159" i="31"/>
  <c r="W279" i="31"/>
  <c r="W158" i="31"/>
  <c r="W246" i="31"/>
  <c r="W286" i="31"/>
  <c r="W333" i="31"/>
  <c r="W283" i="31"/>
  <c r="W438" i="31"/>
  <c r="W326" i="31"/>
  <c r="W264" i="31"/>
  <c r="W363" i="31"/>
  <c r="W389" i="31"/>
  <c r="W209" i="31"/>
  <c r="W248" i="31"/>
  <c r="W425" i="31"/>
  <c r="W268" i="31"/>
  <c r="W328" i="31"/>
  <c r="W420" i="31"/>
  <c r="W424" i="31"/>
  <c r="W192" i="31"/>
  <c r="W163" i="31"/>
  <c r="W423" i="31"/>
  <c r="W236" i="31"/>
  <c r="W169" i="31"/>
  <c r="W365" i="31"/>
  <c r="W334" i="31"/>
  <c r="W241" i="31"/>
  <c r="W250" i="31"/>
  <c r="W417" i="31"/>
  <c r="W297" i="31"/>
  <c r="V451" i="39"/>
  <c r="W338" i="31"/>
  <c r="W220" i="31"/>
  <c r="W337" i="31"/>
  <c r="W249" i="31"/>
  <c r="W284" i="31"/>
  <c r="W275" i="31"/>
  <c r="W270" i="31"/>
  <c r="W383" i="31"/>
  <c r="W448" i="39"/>
  <c r="W369" i="31"/>
  <c r="W223" i="31"/>
  <c r="W238" i="31"/>
  <c r="W271" i="31"/>
  <c r="W300" i="31"/>
  <c r="W415" i="31"/>
  <c r="W266" i="31"/>
  <c r="W306" i="31"/>
  <c r="W414" i="31"/>
  <c r="W294" i="31"/>
  <c r="W260" i="31"/>
  <c r="W267" i="31"/>
  <c r="W329" i="31"/>
  <c r="W331" i="31"/>
  <c r="W262" i="31"/>
  <c r="W418" i="31"/>
  <c r="W394" i="31"/>
  <c r="W436" i="31"/>
  <c r="B44" i="15" l="1"/>
  <c r="V172" i="31"/>
  <c r="L120" i="31" s="1"/>
  <c r="W433" i="39"/>
  <c r="M129" i="39" s="1"/>
  <c r="V353" i="31"/>
  <c r="L126" i="31" s="1"/>
  <c r="V427" i="31"/>
  <c r="L129" i="31" s="1"/>
  <c r="V225" i="31"/>
  <c r="L123" i="31" s="1"/>
  <c r="W219" i="39"/>
  <c r="M122" i="39" s="1"/>
  <c r="W407" i="39"/>
  <c r="M128" i="39" s="1"/>
  <c r="W233" i="39"/>
  <c r="M123" i="39" s="1"/>
  <c r="W376" i="39"/>
  <c r="M127" i="39" s="1"/>
  <c r="W318" i="39"/>
  <c r="M124" i="39" s="1"/>
  <c r="M135" i="39"/>
  <c r="V312" i="31"/>
  <c r="L124" i="31" s="1"/>
  <c r="L135" i="31"/>
  <c r="L137" i="31" s="1"/>
  <c r="L136" i="31"/>
  <c r="V401" i="31"/>
  <c r="L128" i="31" s="1"/>
  <c r="W358" i="39"/>
  <c r="M126" i="39" s="1"/>
  <c r="V371" i="31"/>
  <c r="L127" i="31" s="1"/>
  <c r="W180" i="39"/>
  <c r="M120" i="39" s="1"/>
  <c r="M130" i="39" s="1"/>
  <c r="V200" i="31"/>
  <c r="L121" i="31" s="1"/>
  <c r="L130" i="31" s="1"/>
  <c r="W208" i="39"/>
  <c r="M121" i="39" s="1"/>
  <c r="M136" i="39"/>
  <c r="M137" i="39" s="1"/>
  <c r="V211" i="31"/>
  <c r="L122" i="31" s="1"/>
  <c r="W401" i="31"/>
  <c r="M128" i="31" s="1"/>
  <c r="W371" i="31"/>
  <c r="M127" i="31" s="1"/>
  <c r="W225" i="31"/>
  <c r="M123" i="31" s="1"/>
  <c r="W427" i="31"/>
  <c r="M129" i="31" s="1"/>
  <c r="W312" i="31"/>
  <c r="M124" i="31" s="1"/>
  <c r="M136" i="31"/>
  <c r="W200" i="31"/>
  <c r="M121" i="31" s="1"/>
  <c r="W211" i="31"/>
  <c r="M122" i="31" s="1"/>
  <c r="M135" i="31"/>
  <c r="W353" i="31"/>
  <c r="M126" i="31" s="1"/>
  <c r="W172" i="31"/>
  <c r="M120" i="31" s="1"/>
  <c r="M130" i="31" s="1"/>
  <c r="C44" i="15"/>
  <c r="W442" i="31"/>
  <c r="W451" i="39"/>
  <c r="V445" i="31"/>
  <c r="D44" i="15" l="1"/>
  <c r="E44" i="15" s="1"/>
  <c r="A45" i="15" s="1"/>
  <c r="M137" i="31"/>
  <c r="W445" i="31"/>
  <c r="B45" i="15" l="1"/>
  <c r="C45" i="15"/>
  <c r="D45" i="15" l="1"/>
  <c r="E45" i="15" s="1"/>
  <c r="A46" i="15" s="1"/>
  <c r="B46" i="15" l="1"/>
  <c r="C46" i="15"/>
  <c r="D46" i="15" l="1"/>
  <c r="E46" i="15" s="1"/>
  <c r="A47" i="15" s="1"/>
  <c r="B47" i="15" l="1"/>
  <c r="C47" i="15"/>
  <c r="D47" i="15" l="1"/>
  <c r="E47" i="15" s="1"/>
  <c r="A48" i="15" s="1"/>
  <c r="B48" i="15" l="1"/>
  <c r="C48" i="15"/>
  <c r="D48" i="15" l="1"/>
  <c r="E48" i="15" s="1"/>
  <c r="A49" i="15" s="1"/>
  <c r="B49" i="15" l="1"/>
  <c r="C49" i="15"/>
  <c r="D49" i="15" l="1"/>
  <c r="E49" i="15" s="1"/>
  <c r="A50" i="15" s="1"/>
  <c r="B50" i="15" l="1"/>
  <c r="C50" i="15"/>
  <c r="D50" i="15" l="1"/>
  <c r="E50" i="15" s="1"/>
  <c r="A51" i="15" s="1"/>
  <c r="B51" i="15" l="1"/>
  <c r="C51" i="15"/>
  <c r="D51" i="15" l="1"/>
  <c r="E51" i="15" s="1"/>
  <c r="A52" i="15" s="1"/>
  <c r="B52" i="15" l="1"/>
  <c r="C52" i="15"/>
  <c r="D52" i="15" l="1"/>
  <c r="E52" i="15" s="1"/>
  <c r="A53" i="15" s="1"/>
  <c r="B53" i="15" l="1"/>
  <c r="C53" i="15"/>
  <c r="D53" i="15" l="1"/>
  <c r="E53" i="15" s="1"/>
  <c r="A54" i="15" s="1"/>
  <c r="B54" i="15" l="1"/>
  <c r="C54" i="15"/>
  <c r="D54" i="15" l="1"/>
  <c r="E54" i="15" s="1"/>
  <c r="A55" i="15" s="1"/>
  <c r="B55" i="15" l="1"/>
  <c r="C55" i="15"/>
  <c r="D55" i="15" l="1"/>
  <c r="E55" i="15" s="1"/>
  <c r="A56" i="15" s="1"/>
  <c r="B56" i="15" l="1"/>
  <c r="C56" i="15"/>
  <c r="D56" i="15" l="1"/>
  <c r="E56" i="15" s="1"/>
  <c r="A57" i="15" s="1"/>
  <c r="B57" i="15" l="1"/>
  <c r="C57" i="15"/>
  <c r="D57" i="15" l="1"/>
  <c r="E57" i="15" s="1"/>
  <c r="A58" i="15" s="1"/>
  <c r="B58" i="15" l="1"/>
  <c r="C58" i="15"/>
  <c r="D58" i="15" l="1"/>
  <c r="E58" i="15" s="1"/>
  <c r="A59" i="15" s="1"/>
  <c r="B59" i="15" l="1"/>
  <c r="C59" i="15"/>
  <c r="D59" i="15" l="1"/>
  <c r="E59" i="15" s="1"/>
  <c r="A60" i="15" s="1"/>
  <c r="B60" i="15" l="1"/>
  <c r="C60" i="15"/>
  <c r="D60" i="15" l="1"/>
  <c r="E60" i="15" s="1"/>
  <c r="A61" i="15" s="1"/>
  <c r="B61" i="15" l="1"/>
  <c r="C61" i="15"/>
  <c r="D61" i="15" l="1"/>
  <c r="E61" i="15" s="1"/>
  <c r="A62" i="15" s="1"/>
  <c r="B62" i="15" l="1"/>
  <c r="C62" i="15"/>
  <c r="D62" i="15" l="1"/>
  <c r="E62" i="15" s="1"/>
  <c r="A63" i="15" s="1"/>
  <c r="B63" i="15" l="1"/>
  <c r="C63" i="15"/>
  <c r="D63" i="15" l="1"/>
  <c r="E63" i="15" s="1"/>
  <c r="A64" i="15" s="1"/>
  <c r="B64" i="15" l="1"/>
  <c r="C64" i="15"/>
  <c r="D64" i="15" l="1"/>
  <c r="E64" i="15" s="1"/>
  <c r="A65" i="15" s="1"/>
  <c r="B65" i="15" l="1"/>
  <c r="C65" i="15"/>
  <c r="D65" i="15" l="1"/>
  <c r="E65" i="15" s="1"/>
  <c r="A66" i="15" s="1"/>
  <c r="B66" i="15" l="1"/>
  <c r="C66" i="15"/>
  <c r="D66" i="15" l="1"/>
  <c r="E66" i="15" s="1"/>
  <c r="A67" i="15" s="1"/>
  <c r="B67" i="15" l="1"/>
  <c r="C67" i="15"/>
  <c r="D67" i="15" l="1"/>
  <c r="E67" i="15" s="1"/>
  <c r="A68" i="15" s="1"/>
  <c r="B68" i="15" l="1"/>
  <c r="C68" i="15"/>
  <c r="D68" i="15" l="1"/>
  <c r="E68" i="15" s="1"/>
  <c r="A69" i="15" s="1"/>
  <c r="B69" i="15" l="1"/>
  <c r="C69" i="15"/>
  <c r="D69" i="15" l="1"/>
  <c r="E69" i="15" s="1"/>
  <c r="A70" i="15" s="1"/>
  <c r="B70" i="15" l="1"/>
  <c r="C70" i="15"/>
  <c r="D70" i="15" l="1"/>
  <c r="E70" i="15" s="1"/>
  <c r="A71" i="15" s="1"/>
  <c r="B71" i="15" l="1"/>
  <c r="C71" i="15"/>
  <c r="D71" i="15" l="1"/>
  <c r="E71" i="15" s="1"/>
  <c r="A72" i="15" s="1"/>
  <c r="B72" i="15" l="1"/>
  <c r="C72" i="15"/>
  <c r="D72" i="15" l="1"/>
  <c r="E72" i="15" s="1"/>
  <c r="A73" i="15" s="1"/>
  <c r="B73" i="15" l="1"/>
  <c r="C73" i="15"/>
  <c r="D73" i="15" l="1"/>
  <c r="E73" i="15" s="1"/>
  <c r="A74" i="15" s="1"/>
  <c r="B74" i="15" l="1"/>
  <c r="C74" i="15"/>
  <c r="D74" i="15" l="1"/>
  <c r="E74" i="15" s="1"/>
  <c r="A75" i="15" s="1"/>
  <c r="B75" i="15" l="1"/>
  <c r="C75" i="15"/>
  <c r="D75" i="15" l="1"/>
  <c r="E75" i="15" s="1"/>
  <c r="A76" i="15" s="1"/>
  <c r="B76" i="15" l="1"/>
  <c r="C76" i="15"/>
  <c r="D76" i="15" l="1"/>
  <c r="E76" i="15" s="1"/>
  <c r="A77" i="15" s="1"/>
  <c r="B77" i="15" l="1"/>
  <c r="C77" i="15"/>
  <c r="D77" i="15" l="1"/>
  <c r="E77" i="15" s="1"/>
  <c r="A78" i="15" s="1"/>
  <c r="B78" i="15" l="1"/>
  <c r="C78" i="15"/>
  <c r="D78" i="15" l="1"/>
  <c r="E78" i="15" s="1"/>
  <c r="A79" i="15" s="1"/>
  <c r="B79" i="15" l="1"/>
  <c r="C79" i="15"/>
  <c r="D79" i="15" l="1"/>
  <c r="E79" i="15" s="1"/>
  <c r="A80" i="15" s="1"/>
  <c r="B80" i="15" l="1"/>
  <c r="C80" i="15"/>
  <c r="D80" i="15" l="1"/>
  <c r="E80" i="15" s="1"/>
  <c r="A81" i="15" s="1"/>
  <c r="B81" i="15" l="1"/>
  <c r="C81" i="15"/>
  <c r="D81" i="15" l="1"/>
  <c r="E81" i="15" s="1"/>
  <c r="A82" i="15" s="1"/>
  <c r="B82" i="15" l="1"/>
  <c r="C82" i="15"/>
  <c r="D82" i="15" l="1"/>
  <c r="E82" i="15" s="1"/>
  <c r="A83" i="15" s="1"/>
  <c r="B83" i="15" l="1"/>
  <c r="C83" i="15"/>
  <c r="D83" i="15" l="1"/>
  <c r="E83" i="15" s="1"/>
  <c r="A84" i="15" s="1"/>
  <c r="B84" i="15" l="1"/>
  <c r="C84" i="15"/>
  <c r="D84" i="15" l="1"/>
  <c r="E84" i="15" s="1"/>
  <c r="A85" i="15" s="1"/>
  <c r="B85" i="15" l="1"/>
  <c r="C85" i="15"/>
  <c r="D85" i="15" l="1"/>
  <c r="E85" i="15" s="1"/>
  <c r="A86" i="15" s="1"/>
  <c r="B86" i="15" l="1"/>
  <c r="C86" i="15"/>
  <c r="D86" i="15" l="1"/>
  <c r="E86" i="15" s="1"/>
</calcChain>
</file>

<file path=xl/comments1.xml><?xml version="1.0" encoding="utf-8"?>
<comments xmlns="http://schemas.openxmlformats.org/spreadsheetml/2006/main">
  <authors>
    <author>SOCOFRET</author>
    <author>jf liquette</author>
    <author>JFL</author>
  </authors>
  <commentList>
    <comment ref="C151" authorId="0" shapeId="0">
      <text>
        <r>
          <rPr>
            <b/>
            <sz val="8"/>
            <color indexed="81"/>
            <rFont val="Tahoma"/>
            <family val="2"/>
          </rPr>
          <t>Section Analytique</t>
        </r>
        <r>
          <rPr>
            <sz val="8"/>
            <color indexed="81"/>
            <rFont val="Tahoma"/>
            <family val="2"/>
          </rPr>
          <t xml:space="preserve">
C : Contrôle
L : Laboratoire
S : Structure
</t>
        </r>
      </text>
    </comment>
    <comment ref="G368" authorId="1" shapeId="0">
      <text>
        <r>
          <rPr>
            <sz val="9"/>
            <color indexed="81"/>
            <rFont val="Tahoma"/>
            <family val="2"/>
          </rPr>
          <t xml:space="preserve">Si émission de Co² &lt;= 200 gr, la base amortissable est de 18.300 € TTC, sinon la valeur est de 9.900 €
</t>
        </r>
      </text>
    </comment>
    <comment ref="G369" authorId="1" shapeId="0">
      <text>
        <r>
          <rPr>
            <sz val="9"/>
            <color indexed="81"/>
            <rFont val="Tahoma"/>
            <family val="2"/>
          </rPr>
          <t xml:space="preserve">Si émission de Co² &lt;= 200 gr, la base amortissable est de 18.300 € TTC, sinon la valeur est de 9.900 €
</t>
        </r>
      </text>
    </comment>
    <comment ref="B397" authorId="2" shapeId="0">
      <text>
        <r>
          <rPr>
            <sz val="9"/>
            <color indexed="81"/>
            <rFont val="Tahoma"/>
            <family val="2"/>
          </rPr>
          <t xml:space="preserve">Ordinateur pour FOS
</t>
        </r>
      </text>
    </comment>
  </commentList>
</comments>
</file>

<file path=xl/comments2.xml><?xml version="1.0" encoding="utf-8"?>
<comments xmlns="http://schemas.openxmlformats.org/spreadsheetml/2006/main">
  <authors>
    <author>SOCOFRET</author>
    <author>jf liquette</author>
    <author>JFL</author>
  </authors>
  <commentList>
    <comment ref="C151" authorId="0" shapeId="0">
      <text>
        <r>
          <rPr>
            <b/>
            <sz val="8"/>
            <color indexed="81"/>
            <rFont val="Tahoma"/>
            <family val="2"/>
          </rPr>
          <t>Section Analytique</t>
        </r>
        <r>
          <rPr>
            <sz val="8"/>
            <color indexed="81"/>
            <rFont val="Tahoma"/>
            <family val="2"/>
          </rPr>
          <t xml:space="preserve">
C : Contrôle
L : Laboratoire
S : Structure
</t>
        </r>
      </text>
    </comment>
    <comment ref="G373" authorId="1" shapeId="0">
      <text>
        <r>
          <rPr>
            <sz val="9"/>
            <color indexed="81"/>
            <rFont val="Tahoma"/>
            <family val="2"/>
          </rPr>
          <t xml:space="preserve">Si émission de Co² &lt;= 200 gr, la base amortissable est de 18.300 € TTC, sinon la valeur est de 9.900 €
</t>
        </r>
      </text>
    </comment>
    <comment ref="G374" authorId="1" shapeId="0">
      <text>
        <r>
          <rPr>
            <sz val="9"/>
            <color indexed="81"/>
            <rFont val="Tahoma"/>
            <family val="2"/>
          </rPr>
          <t xml:space="preserve">Si émission de Co² &lt;= 200 gr, la base amortissable est de 18.300 € TTC, sinon la valeur est de 9.900 €
</t>
        </r>
      </text>
    </comment>
    <comment ref="B404" authorId="2" shapeId="0">
      <text>
        <r>
          <rPr>
            <sz val="9"/>
            <color indexed="81"/>
            <rFont val="Tahoma"/>
            <family val="2"/>
          </rPr>
          <t xml:space="preserve">Ordinateur pour FOS
</t>
        </r>
      </text>
    </comment>
  </commentList>
</comments>
</file>

<file path=xl/sharedStrings.xml><?xml version="1.0" encoding="utf-8"?>
<sst xmlns="http://schemas.openxmlformats.org/spreadsheetml/2006/main" count="1394" uniqueCount="311">
  <si>
    <t>Libellé</t>
  </si>
  <si>
    <t>Entrée</t>
  </si>
  <si>
    <t>Sortie</t>
  </si>
  <si>
    <t>Base</t>
  </si>
  <si>
    <t>comptable</t>
  </si>
  <si>
    <t>Dotation</t>
  </si>
  <si>
    <t>Amts au</t>
  </si>
  <si>
    <t>Valeur nette</t>
  </si>
  <si>
    <t>L</t>
  </si>
  <si>
    <t>Nom :</t>
  </si>
  <si>
    <t>Exercice du</t>
  </si>
  <si>
    <t>au</t>
  </si>
  <si>
    <t>D</t>
  </si>
  <si>
    <t>Type d'amts</t>
  </si>
  <si>
    <t>TOTAL</t>
  </si>
  <si>
    <t>Solde</t>
  </si>
  <si>
    <t>N</t>
  </si>
  <si>
    <t>Non amortissable</t>
  </si>
  <si>
    <t>DATE</t>
  </si>
  <si>
    <t>Amts</t>
  </si>
  <si>
    <t>des immobilisations</t>
  </si>
  <si>
    <t>Amts de type Linéaire</t>
  </si>
  <si>
    <t>Amts de type Dégressif</t>
  </si>
  <si>
    <t>A nouveau</t>
  </si>
  <si>
    <t>Acquisitions</t>
  </si>
  <si>
    <t>Cessions</t>
  </si>
  <si>
    <t>Matériel de transport</t>
  </si>
  <si>
    <t>Valeurs</t>
  </si>
  <si>
    <t>nettes</t>
  </si>
  <si>
    <t>IMMOBILISATIONS</t>
  </si>
  <si>
    <t>AMORTISSEMENTS</t>
  </si>
  <si>
    <t>Dotations</t>
  </si>
  <si>
    <t>NATURE</t>
  </si>
  <si>
    <t>Durée</t>
  </si>
  <si>
    <t>d'utilisation</t>
  </si>
  <si>
    <t>Mode</t>
  </si>
  <si>
    <t>Hypothèses</t>
  </si>
  <si>
    <t>m.e.s.</t>
  </si>
  <si>
    <t>Acquisition(s)</t>
  </si>
  <si>
    <t>Cession(s)</t>
  </si>
  <si>
    <t>IMMOBILISATIONS INCORPORELLES</t>
  </si>
  <si>
    <t>IMMOBILISATIONS FINANCIERES</t>
  </si>
  <si>
    <t>TOTAL DE L'ACTIF IMMOBILISE</t>
  </si>
  <si>
    <t>DES IMMOBILISATIONS</t>
  </si>
  <si>
    <t>de l'exercice</t>
  </si>
  <si>
    <t>Calcul des amortissements au</t>
  </si>
  <si>
    <t>Logiciels</t>
  </si>
  <si>
    <t>Matériel et outillage</t>
  </si>
  <si>
    <t>IMMOBILISATIONS CORPORELLES</t>
  </si>
  <si>
    <t>Dotation linéaire</t>
  </si>
  <si>
    <t>Dotation dégréssive</t>
  </si>
  <si>
    <t>Total dotation</t>
  </si>
  <si>
    <t>PARAMETRES SAISIS</t>
  </si>
  <si>
    <t>N° du bien dont le plan est demandé</t>
  </si>
  <si>
    <t>Mois habituel d'ouverture de l'exercice</t>
  </si>
  <si>
    <t>Date ouverture du premier exercice amts</t>
  </si>
  <si>
    <t>DESCRIPTION DU BIEN</t>
  </si>
  <si>
    <t>Nature de l'immobilisation</t>
  </si>
  <si>
    <t>Date d'entrée du bien</t>
  </si>
  <si>
    <t>Date de mise en service</t>
  </si>
  <si>
    <t>Date de sortie</t>
  </si>
  <si>
    <t>Valeur comptable</t>
  </si>
  <si>
    <t>Méthode</t>
  </si>
  <si>
    <t>Durée d'utilisation</t>
  </si>
  <si>
    <t>Exercice</t>
  </si>
  <si>
    <t>Cumul</t>
  </si>
  <si>
    <t>Valeur</t>
  </si>
  <si>
    <t>Début</t>
  </si>
  <si>
    <t>Fin</t>
  </si>
  <si>
    <t>exercice</t>
  </si>
  <si>
    <t>amts</t>
  </si>
  <si>
    <t>résiduelle</t>
  </si>
  <si>
    <t>Numéro</t>
  </si>
  <si>
    <t>du bien</t>
  </si>
  <si>
    <t>PLAN D'AMORTISSEMENT</t>
  </si>
  <si>
    <t>Windows 95</t>
  </si>
  <si>
    <t>Pack Office Pro</t>
  </si>
  <si>
    <t>205000 LOGICIELS</t>
  </si>
  <si>
    <t>215400 MATERIEL DE LABORATOIRE</t>
  </si>
  <si>
    <t>1 table moulin</t>
  </si>
  <si>
    <t>Spectometre Scantec</t>
  </si>
  <si>
    <t>Etuve bactério 170 L</t>
  </si>
  <si>
    <t>1 diviseur tripette</t>
  </si>
  <si>
    <t>7 diviseurs tripette</t>
  </si>
  <si>
    <t>1 paillasse tripette</t>
  </si>
  <si>
    <t>1 paillasse sèche 1200</t>
  </si>
  <si>
    <t>Blos mine. &amp; distillateur</t>
  </si>
  <si>
    <t>1 numigral gtep</t>
  </si>
  <si>
    <t>Dist. Agitateur</t>
  </si>
  <si>
    <t>1 meuble labo</t>
  </si>
  <si>
    <t>1 paillasse nue</t>
  </si>
  <si>
    <t>1 glutomatic 2100 sn 1394</t>
  </si>
  <si>
    <t>1 centrifugeuse 2015</t>
  </si>
  <si>
    <t>Tripette : 1 four à cendre</t>
  </si>
  <si>
    <t>Scantec broyeur Falling number</t>
  </si>
  <si>
    <t>Anquetil climatisation</t>
  </si>
  <si>
    <t>1 paillasse 1500 x 750 nu</t>
  </si>
  <si>
    <t>Relaxo &amp; imprimante</t>
  </si>
  <si>
    <t>1 moulin cyclotec</t>
  </si>
  <si>
    <t>1 enceinte froid chaud</t>
  </si>
  <si>
    <t>Broyeur Mill 120 CE</t>
  </si>
  <si>
    <t>Falling number 1500</t>
  </si>
  <si>
    <t>Inframatic 8100</t>
  </si>
  <si>
    <t>2 balances labo PT150</t>
  </si>
  <si>
    <t>Glutorce Glutork 2020CE</t>
  </si>
  <si>
    <t>Matériel de laboratoire</t>
  </si>
  <si>
    <t>Scellés &amp; tamis</t>
  </si>
  <si>
    <t>3 sondes, 1 niléma tripette</t>
  </si>
  <si>
    <t>1 diviseur Inra</t>
  </si>
  <si>
    <t>3 niléma + 1 sonde</t>
  </si>
  <si>
    <t>1 niléma litre ss romaine</t>
  </si>
  <si>
    <t>Matériel divers controleurs</t>
  </si>
  <si>
    <t>4 niléma  &amp; 3 sondes</t>
  </si>
  <si>
    <t>Inframatic toyota 4*4</t>
  </si>
  <si>
    <t>1 mettler PJ 6000</t>
  </si>
  <si>
    <t>Rayons archives</t>
  </si>
  <si>
    <t>Etagères archives</t>
  </si>
  <si>
    <t>Mobilier bureau Thierry</t>
  </si>
  <si>
    <t>2 armoires Manutan</t>
  </si>
  <si>
    <t>Tripette : Humidimètre TM</t>
  </si>
  <si>
    <t>Perten : Laboratory Mill 120 CE</t>
  </si>
  <si>
    <t>Tripette : Niléma-litre sans romaine</t>
  </si>
  <si>
    <t>218400 MOBILIER</t>
  </si>
  <si>
    <t>Matériel de bureau</t>
  </si>
  <si>
    <t>Mobilier de bureau</t>
  </si>
  <si>
    <t>218300 MATERIEL DE BUREAU</t>
  </si>
  <si>
    <t>Totale</t>
  </si>
  <si>
    <t>Linéaire</t>
  </si>
  <si>
    <t>Dégréssive</t>
  </si>
  <si>
    <t>TOTAL GENERAL</t>
  </si>
  <si>
    <t>Ventilation des Dotations</t>
  </si>
  <si>
    <t>LO</t>
  </si>
  <si>
    <t>dérogatoire</t>
  </si>
  <si>
    <t>Reprise</t>
  </si>
  <si>
    <t>Eco</t>
  </si>
  <si>
    <t>Fisc</t>
  </si>
  <si>
    <t>Dotation de l'exercice</t>
  </si>
  <si>
    <t>Amts dérog</t>
  </si>
  <si>
    <t>Variation des Amortissements dérogatoires</t>
  </si>
  <si>
    <t>Total</t>
  </si>
  <si>
    <t>Comptabilité ligne 100 SAGE</t>
  </si>
  <si>
    <t>Paie ligne 100 SAGE</t>
  </si>
  <si>
    <t>Etats financiers ligne 100 SAGE</t>
  </si>
  <si>
    <t>Serveur ligne 100 Windows NT</t>
  </si>
  <si>
    <t>Licence NT 4 server + 5 clients</t>
  </si>
  <si>
    <t>Distillateur Schoot</t>
  </si>
  <si>
    <t>Diviseur conique BOERNER</t>
  </si>
  <si>
    <t>Moulin CHOPIN mouture 600 N°702</t>
  </si>
  <si>
    <t>Tamiseur ROTACHOC</t>
  </si>
  <si>
    <t>Farinographe avec logiciel et micro</t>
  </si>
  <si>
    <t>Cuve pétrin pour Farinographe</t>
  </si>
  <si>
    <t>Thermostat pour Farinographe</t>
  </si>
  <si>
    <t>Divers pour Farinographe</t>
  </si>
  <si>
    <t>Alvéolink n° 381</t>
  </si>
  <si>
    <t>Imprimante HP 4050N Compta</t>
  </si>
  <si>
    <t>Meubles Métro Compta</t>
  </si>
  <si>
    <t>Compta. 100 SAGE</t>
  </si>
  <si>
    <t>Etats financiers 100</t>
  </si>
  <si>
    <t>Paie 100 SAGE</t>
  </si>
  <si>
    <t>Licence NT 4 + 5 clients</t>
  </si>
  <si>
    <t>Serveur 100 Wind NT</t>
  </si>
  <si>
    <t>Cum Fiscal</t>
  </si>
  <si>
    <t>Durée Amts</t>
  </si>
  <si>
    <t>Mode Amts</t>
  </si>
  <si>
    <t>Compte</t>
  </si>
  <si>
    <t>Falling number 1500 N°004060</t>
  </si>
  <si>
    <t>Laboratory Mill 120 ce N° 000131</t>
  </si>
  <si>
    <t>Mélangeur MR2L Chopin n° 739</t>
  </si>
  <si>
    <t>Terrains bâtis</t>
  </si>
  <si>
    <t>Constructions</t>
  </si>
  <si>
    <t>211500 TERRAINS BATIS</t>
  </si>
  <si>
    <t>Terrain Plivot</t>
  </si>
  <si>
    <t>Ensembles immobiliers</t>
  </si>
  <si>
    <t>Balance de comptage 3000G/0,5G</t>
  </si>
  <si>
    <t>Mobilier PLIVOT</t>
  </si>
  <si>
    <t>Log Back Up Exec (Exécution)</t>
  </si>
  <si>
    <t>Lic W2000 serveur Open (Exécution)</t>
  </si>
  <si>
    <t>CD Master W2000 (Exécution)</t>
  </si>
  <si>
    <t>Lic W2000 d'accès client (Exécution)</t>
  </si>
  <si>
    <t>Logiciel Chromquest V4.0</t>
  </si>
  <si>
    <t>Calibreur Orge VLB</t>
  </si>
  <si>
    <t>Trace MS SSL DPFC 70 Thermo Finnigan</t>
  </si>
  <si>
    <t>Diviseur conique BOERNER Tripette</t>
  </si>
  <si>
    <t>N-Evap 6 aiguilles Inox Fisher Bioblock</t>
  </si>
  <si>
    <t>1 mélangeur de céréales Oudin JM</t>
  </si>
  <si>
    <t>Kobra Cell Rhônes diagnostics</t>
  </si>
  <si>
    <t>A 10 broyeur gamme yellow line Mac</t>
  </si>
  <si>
    <t>Filtair 936 (hotte) Fischer</t>
  </si>
  <si>
    <t>Chambre froide Fisher Bioblock</t>
  </si>
  <si>
    <t>HPLC Thermo Finnigan</t>
  </si>
  <si>
    <t>215410 MATERIEL ET OUTILLAGE ( CONTROLEURS &amp; DIVERS)</t>
  </si>
  <si>
    <t>Lave vaisselle BUT</t>
  </si>
  <si>
    <t>PC Nec Labo / Exécution Arch Info</t>
  </si>
  <si>
    <t>PC pour Fos sur Mer - Sarl SVI</t>
  </si>
  <si>
    <t>Standard Diatonis Numéris France Tel.</t>
  </si>
  <si>
    <t>Classeur 4 tiroirs &amp; Faueuil JPG</t>
  </si>
  <si>
    <t>Armoire 2 portes JPG</t>
  </si>
  <si>
    <t>Meuble copieur JPG</t>
  </si>
  <si>
    <t>Meubles divers JPG</t>
  </si>
  <si>
    <t>Meubles Service Exécution JPG</t>
  </si>
  <si>
    <t>Canapé Lévitan</t>
  </si>
  <si>
    <t>212000 AGENCEMENTS ET AMENAGEMENTS DE TERRAINS</t>
  </si>
  <si>
    <t>Agencements et aménagements de terrains</t>
  </si>
  <si>
    <t>213100 ENSEMBLES IMMOBILIERS</t>
  </si>
  <si>
    <t>Portail - LAGACHE</t>
  </si>
  <si>
    <t>Clôture et Grève - EVRARD</t>
  </si>
  <si>
    <t>Goutte à goutte - EVRARD</t>
  </si>
  <si>
    <t>Plantation Haie - EVRARD</t>
  </si>
  <si>
    <t>Végétaux - EVRARD</t>
  </si>
  <si>
    <t>Engazonnement - EVRARD</t>
  </si>
  <si>
    <t>Bâtiment Plivot</t>
  </si>
  <si>
    <t>Prép. Engazonnement - EVRARD</t>
  </si>
  <si>
    <t>Agenc &amp; aménag terrains</t>
  </si>
  <si>
    <t>4</t>
  </si>
  <si>
    <t>5</t>
  </si>
  <si>
    <t>6</t>
  </si>
  <si>
    <t>7</t>
  </si>
  <si>
    <t>8</t>
  </si>
  <si>
    <t>CGE - 3 onduleurs 9120/2000VA</t>
  </si>
  <si>
    <t>VWR - Spectrophotometre genesys 20</t>
  </si>
  <si>
    <t>VWR - Agitateures orbitaux unimax 2010</t>
  </si>
  <si>
    <t>Sas Gilbert - Poids &amp; étalonnage</t>
  </si>
  <si>
    <t>FOSS - Bloc minéralisation 6</t>
  </si>
  <si>
    <t>EMTCM - Appareil Electro de mesure</t>
  </si>
  <si>
    <t>RICOH - Fax Aficio 5000L</t>
  </si>
  <si>
    <t>RICOH - Copieur Aficio 220</t>
  </si>
  <si>
    <t>DELL - 1 micro Thierry Félicité</t>
  </si>
  <si>
    <t>275500 CAUTIONNEMENTS VERSES</t>
  </si>
  <si>
    <t>ELIS - Cautionnement de linge</t>
  </si>
  <si>
    <t>Cautionnements versés</t>
  </si>
  <si>
    <t>Meubles Arles - Les Utopiks</t>
  </si>
  <si>
    <t>213500 INSTALLATION ET AMENAGEMENTS DES CONSTRUCTIONS</t>
  </si>
  <si>
    <t>Cloison Laboratoire</t>
  </si>
  <si>
    <t>Installation et aménagements des contructions</t>
  </si>
  <si>
    <t>Inst - Amén Constructions</t>
  </si>
  <si>
    <t>Inst &amp; Aménag Constructions</t>
  </si>
  <si>
    <t>Climatisation - TR Equipements</t>
  </si>
  <si>
    <t>Climatisation - Clairelec</t>
  </si>
  <si>
    <t>Placards - Guillemont</t>
  </si>
  <si>
    <t>Balance explorer - VWR</t>
  </si>
  <si>
    <t>Fisher - Four à moufle 3,9L 1100°C</t>
  </si>
  <si>
    <t>Tripette - Centrifugeuse 2015</t>
  </si>
  <si>
    <t>Labo-Moderne - Agitateur 15 postes</t>
  </si>
  <si>
    <t>Systélia - Coffret détecteur d'insectes</t>
  </si>
  <si>
    <t>Précisa - Balance XB120A</t>
  </si>
  <si>
    <t>TR Equipements - Humidificateur à vapeur</t>
  </si>
  <si>
    <t>Tripette - Bluterie nylon moulin Sedimat</t>
  </si>
  <si>
    <t>Tripette - Alvéo NG n° 5819</t>
  </si>
  <si>
    <t>TR Equipements - Systême multisplit Daikin</t>
  </si>
  <si>
    <t>Port Marseille - Dépôt de garantie</t>
  </si>
  <si>
    <t>SVI - 1 PC pour FOS</t>
  </si>
  <si>
    <t>Merlo - 1 PC Acer Exécution</t>
  </si>
  <si>
    <t>218100 AMENAGEMENTS DIVERS</t>
  </si>
  <si>
    <t>Garcia - Aménagt BTP Fos</t>
  </si>
  <si>
    <t>Aménagements divers</t>
  </si>
  <si>
    <t>C2m - Spectrophotomètre</t>
  </si>
  <si>
    <t>Avances &amp; acomptes sur Immob incorporelles</t>
  </si>
  <si>
    <t>MD - Windows SBS 2003</t>
  </si>
  <si>
    <t>Tripette -  3 Nilema sans romaine</t>
  </si>
  <si>
    <t>Foss - Infratec 1241 Grain</t>
  </si>
  <si>
    <t>VEOLIA  -  Déminéralisateur</t>
  </si>
  <si>
    <t>MD - Serveur Exécution</t>
  </si>
  <si>
    <t>MD - Serveur Exécution Install</t>
  </si>
  <si>
    <t>NetFabrik - Création site internet</t>
  </si>
  <si>
    <t>Prêt au personnel</t>
  </si>
  <si>
    <t>S</t>
  </si>
  <si>
    <t>A</t>
  </si>
  <si>
    <t>N° du</t>
  </si>
  <si>
    <t>bien</t>
  </si>
  <si>
    <t>C</t>
  </si>
  <si>
    <t>Agenc. &amp; aménag. terrains</t>
  </si>
  <si>
    <t>Contrôle</t>
  </si>
  <si>
    <t>Laboratoire</t>
  </si>
  <si>
    <t>Structure</t>
  </si>
  <si>
    <t>@code Informatique - Base LogEx</t>
  </si>
  <si>
    <t>FNAC - RétroProjecteur</t>
  </si>
  <si>
    <t>Chopin - Etuve Multicellulaire</t>
  </si>
  <si>
    <t>Analyse Analytique</t>
  </si>
  <si>
    <t>VEGA - 3 licence Office 2007 PRO</t>
  </si>
  <si>
    <t>VEGA - 2 PC + écran</t>
  </si>
  <si>
    <t>VEGA - 1 PC + écran</t>
  </si>
  <si>
    <t>VEGA - 1 Onduleur</t>
  </si>
  <si>
    <t>La Poste - Machine à affranchir</t>
  </si>
  <si>
    <t>VEGA - 1 licence Office 2007 PRO</t>
  </si>
  <si>
    <t>Kop Plastic Industry - Déterm. Gluten</t>
  </si>
  <si>
    <t>Thermo Fischer - Injecteur automaique</t>
  </si>
  <si>
    <t>JPG - Impimante HP Color Laserjet</t>
  </si>
  <si>
    <t>Unimat - Unité minérali + Dist + Aspi</t>
  </si>
  <si>
    <t>VEGA - 1 licence Office PRO 2010</t>
  </si>
  <si>
    <t>Véga - PC pour le chromatographe</t>
  </si>
  <si>
    <t>Véga - 1 PC Véga Eric Boucon</t>
  </si>
  <si>
    <t>Véga - PC pour Séverine</t>
  </si>
  <si>
    <t>Véga - PC pour JF</t>
  </si>
  <si>
    <t>218200 MATERIEL DE TRANSPORT</t>
  </si>
  <si>
    <t>SIA Reims - Peugeot 206 : BQ 299 VA</t>
  </si>
  <si>
    <t>SIA Reims - Peugeot 206 : BQ 213 VA</t>
  </si>
  <si>
    <t>SIA Reims - Peugeot 206 : BQ 686 TTZ</t>
  </si>
  <si>
    <t>SIA Reims - Peugeot 206 : BQ 227 VA</t>
  </si>
  <si>
    <t>SIA Reims - Peugeot 206 : BQ 103 VA</t>
  </si>
  <si>
    <t>SIA Reims - Peugeot 206 : BR 218 BW</t>
  </si>
  <si>
    <t>SIA Reims - Peugeot 308 : BZ 759 DP</t>
  </si>
  <si>
    <t>SIA Reims - Peugeot 308 : BZ 729 DP</t>
  </si>
  <si>
    <t>VEGA - 6 Pack Office Pro 2010</t>
  </si>
  <si>
    <t>VEGA - Windows 2008 Serveur</t>
  </si>
  <si>
    <t>ACODE - Développement LogEx</t>
  </si>
  <si>
    <t>Rue du Commerce - Aspire X3990-001</t>
  </si>
  <si>
    <t>VEGA - Serveur</t>
  </si>
  <si>
    <t>Libios - Lecteur de plaques</t>
  </si>
  <si>
    <t>Agilent Technologies - GC MS</t>
  </si>
  <si>
    <t>Neogen - 3 Kits détection mycotoxines</t>
  </si>
  <si>
    <t>Spie - Switch Cisco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</si>
</sst>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"/>
    <numFmt numFmtId="165" formatCode="d/m/yyyy"/>
  </numFmts>
  <fonts count="22" x14ac:knownFonts="1">
    <font>
      <sz val="10"/>
      <name val="Times New Roman"/>
    </font>
    <font>
      <sz val="10"/>
      <name val="Times New Roman"/>
      <family val="1"/>
    </font>
    <font>
      <sz val="8"/>
      <name val="Arial"/>
      <family val="2"/>
    </font>
    <font>
      <b/>
      <u/>
      <sz val="8"/>
      <name val="Arial"/>
      <family val="2"/>
    </font>
    <font>
      <sz val="8"/>
      <color indexed="10"/>
      <name val="Arial"/>
      <family val="2"/>
    </font>
    <font>
      <sz val="8"/>
      <color indexed="14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b/>
      <sz val="14"/>
      <name val="Comic Sans MS"/>
      <family val="4"/>
    </font>
    <font>
      <b/>
      <sz val="16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b/>
      <i/>
      <sz val="8"/>
      <name val="Arial"/>
      <family val="2"/>
    </font>
    <font>
      <sz val="8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9">
    <xf numFmtId="0" fontId="0" fillId="0" borderId="0" xfId="0"/>
    <xf numFmtId="0" fontId="2" fillId="0" borderId="0" xfId="0" applyFont="1" applyAlignment="1">
      <alignment horizontal="center"/>
    </xf>
    <xf numFmtId="14" fontId="2" fillId="0" borderId="3" xfId="0" applyNumberFormat="1" applyFont="1" applyBorder="1" applyAlignment="1">
      <alignment horizontal="center"/>
    </xf>
    <xf numFmtId="14" fontId="2" fillId="0" borderId="4" xfId="0" applyNumberFormat="1" applyFont="1" applyBorder="1" applyAlignment="1">
      <alignment horizontal="center"/>
    </xf>
    <xf numFmtId="4" fontId="2" fillId="0" borderId="4" xfId="0" applyNumberFormat="1" applyFont="1" applyBorder="1"/>
    <xf numFmtId="0" fontId="2" fillId="0" borderId="4" xfId="0" applyFont="1" applyBorder="1" applyAlignment="1">
      <alignment horizontal="center"/>
    </xf>
    <xf numFmtId="1" fontId="2" fillId="0" borderId="4" xfId="1" applyNumberFormat="1" applyFont="1" applyBorder="1" applyAlignment="1">
      <alignment horizontal="center"/>
    </xf>
    <xf numFmtId="4" fontId="2" fillId="0" borderId="5" xfId="0" applyNumberFormat="1" applyFont="1" applyBorder="1"/>
    <xf numFmtId="4" fontId="2" fillId="0" borderId="0" xfId="0" applyNumberFormat="1" applyFont="1"/>
    <xf numFmtId="0" fontId="2" fillId="0" borderId="0" xfId="0" applyFont="1"/>
    <xf numFmtId="0" fontId="2" fillId="0" borderId="0" xfId="0" applyFont="1" applyBorder="1" applyAlignment="1">
      <alignment horizontal="centerContinuous"/>
    </xf>
    <xf numFmtId="0" fontId="2" fillId="0" borderId="7" xfId="0" applyFont="1" applyBorder="1" applyAlignment="1">
      <alignment horizontal="centerContinuous"/>
    </xf>
    <xf numFmtId="0" fontId="2" fillId="0" borderId="6" xfId="0" applyFont="1" applyBorder="1"/>
    <xf numFmtId="0" fontId="2" fillId="0" borderId="0" xfId="0" applyFont="1" applyBorder="1"/>
    <xf numFmtId="0" fontId="2" fillId="0" borderId="7" xfId="0" applyFont="1" applyBorder="1"/>
    <xf numFmtId="0" fontId="2" fillId="0" borderId="6" xfId="0" applyFont="1" applyBorder="1" applyAlignment="1">
      <alignment vertical="center"/>
    </xf>
    <xf numFmtId="0" fontId="2" fillId="0" borderId="0" xfId="0" applyFont="1" applyBorder="1" applyAlignment="1">
      <alignment horizontal="right"/>
    </xf>
    <xf numFmtId="165" fontId="4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6" xfId="0" applyFont="1" applyBorder="1" applyAlignment="1">
      <alignment horizontal="centerContinuous"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/>
    <xf numFmtId="0" fontId="2" fillId="0" borderId="10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3" fillId="0" borderId="0" xfId="0" applyFont="1" applyBorder="1" applyAlignment="1">
      <alignment horizontal="centerContinuous"/>
    </xf>
    <xf numFmtId="0" fontId="2" fillId="0" borderId="6" xfId="0" applyFont="1" applyBorder="1" applyAlignment="1">
      <alignment horizontal="centerContinuous"/>
    </xf>
    <xf numFmtId="0" fontId="2" fillId="0" borderId="8" xfId="0" applyFont="1" applyBorder="1"/>
    <xf numFmtId="0" fontId="3" fillId="0" borderId="0" xfId="0" applyFont="1" applyAlignment="1">
      <alignment horizontal="centerContinuous"/>
    </xf>
    <xf numFmtId="0" fontId="2" fillId="0" borderId="0" xfId="0" applyFont="1" applyAlignment="1">
      <alignment horizontal="centerContinuous"/>
    </xf>
    <xf numFmtId="4" fontId="2" fillId="0" borderId="0" xfId="0" applyNumberFormat="1" applyFont="1" applyAlignment="1">
      <alignment horizontal="centerContinuous"/>
    </xf>
    <xf numFmtId="0" fontId="2" fillId="0" borderId="4" xfId="0" applyFont="1" applyBorder="1" applyAlignment="1">
      <alignment horizontal="centerContinuous"/>
    </xf>
    <xf numFmtId="4" fontId="2" fillId="0" borderId="14" xfId="0" applyNumberFormat="1" applyFont="1" applyBorder="1"/>
    <xf numFmtId="1" fontId="2" fillId="0" borderId="6" xfId="0" applyNumberFormat="1" applyFont="1" applyBorder="1" applyAlignment="1">
      <alignment horizontal="centerContinuous"/>
    </xf>
    <xf numFmtId="0" fontId="2" fillId="0" borderId="1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Continuous"/>
    </xf>
    <xf numFmtId="0" fontId="2" fillId="0" borderId="16" xfId="0" applyFont="1" applyBorder="1"/>
    <xf numFmtId="0" fontId="2" fillId="0" borderId="15" xfId="0" applyFont="1" applyBorder="1"/>
    <xf numFmtId="4" fontId="2" fillId="0" borderId="6" xfId="0" applyNumberFormat="1" applyFont="1" applyBorder="1"/>
    <xf numFmtId="4" fontId="2" fillId="0" borderId="0" xfId="0" applyNumberFormat="1" applyFont="1" applyBorder="1"/>
    <xf numFmtId="4" fontId="2" fillId="0" borderId="15" xfId="0" applyNumberFormat="1" applyFont="1" applyBorder="1"/>
    <xf numFmtId="0" fontId="2" fillId="0" borderId="6" xfId="0" applyFont="1" applyBorder="1" applyAlignment="1">
      <alignment horizontal="centerContinuous" vertical="center"/>
    </xf>
    <xf numFmtId="4" fontId="2" fillId="0" borderId="3" xfId="0" applyNumberFormat="1" applyFont="1" applyBorder="1" applyAlignment="1">
      <alignment vertical="center"/>
    </xf>
    <xf numFmtId="4" fontId="2" fillId="0" borderId="3" xfId="0" applyNumberFormat="1" applyFont="1" applyBorder="1"/>
    <xf numFmtId="0" fontId="2" fillId="0" borderId="0" xfId="0" applyFont="1" applyBorder="1" applyAlignment="1">
      <alignment horizontal="centerContinuous" vertical="center"/>
    </xf>
    <xf numFmtId="4" fontId="2" fillId="0" borderId="4" xfId="0" applyNumberFormat="1" applyFont="1" applyBorder="1" applyAlignment="1">
      <alignment vertical="center"/>
    </xf>
    <xf numFmtId="4" fontId="2" fillId="0" borderId="14" xfId="0" applyNumberFormat="1" applyFont="1" applyBorder="1" applyAlignment="1">
      <alignment vertical="center"/>
    </xf>
    <xf numFmtId="4" fontId="2" fillId="0" borderId="6" xfId="0" applyNumberFormat="1" applyFont="1" applyBorder="1" applyAlignment="1">
      <alignment vertical="center"/>
    </xf>
    <xf numFmtId="4" fontId="2" fillId="0" borderId="0" xfId="0" applyNumberFormat="1" applyFont="1" applyBorder="1" applyAlignment="1">
      <alignment vertical="center"/>
    </xf>
    <xf numFmtId="4" fontId="2" fillId="0" borderId="15" xfId="0" applyNumberFormat="1" applyFont="1" applyBorder="1" applyAlignment="1">
      <alignment vertical="center"/>
    </xf>
    <xf numFmtId="4" fontId="2" fillId="0" borderId="5" xfId="0" applyNumberFormat="1" applyFont="1" applyBorder="1" applyAlignment="1">
      <alignment vertical="center"/>
    </xf>
    <xf numFmtId="14" fontId="2" fillId="0" borderId="7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" fontId="2" fillId="0" borderId="0" xfId="1" applyNumberFormat="1" applyFont="1" applyBorder="1" applyAlignment="1">
      <alignment horizontal="center"/>
    </xf>
    <xf numFmtId="4" fontId="2" fillId="0" borderId="7" xfId="0" applyNumberFormat="1" applyFont="1" applyBorder="1"/>
    <xf numFmtId="0" fontId="2" fillId="0" borderId="0" xfId="0" applyFont="1" applyAlignment="1">
      <alignment vertical="center"/>
    </xf>
    <xf numFmtId="0" fontId="2" fillId="0" borderId="8" xfId="0" applyFont="1" applyBorder="1" applyAlignment="1">
      <alignment horizontal="centerContinuous" vertical="center"/>
    </xf>
    <xf numFmtId="0" fontId="2" fillId="0" borderId="9" xfId="0" applyFont="1" applyBorder="1" applyAlignment="1">
      <alignment horizontal="centerContinuous" vertical="center"/>
    </xf>
    <xf numFmtId="4" fontId="2" fillId="0" borderId="8" xfId="0" applyNumberFormat="1" applyFont="1" applyBorder="1" applyAlignment="1">
      <alignment vertical="center"/>
    </xf>
    <xf numFmtId="4" fontId="2" fillId="0" borderId="9" xfId="0" applyNumberFormat="1" applyFont="1" applyBorder="1" applyAlignment="1">
      <alignment vertical="center"/>
    </xf>
    <xf numFmtId="4" fontId="2" fillId="0" borderId="16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Continuous" vertical="center"/>
    </xf>
    <xf numFmtId="0" fontId="2" fillId="0" borderId="4" xfId="0" applyFont="1" applyBorder="1" applyAlignment="1">
      <alignment horizontal="centerContinuous" vertical="center"/>
    </xf>
    <xf numFmtId="4" fontId="2" fillId="0" borderId="6" xfId="0" applyNumberFormat="1" applyFont="1" applyBorder="1" applyAlignment="1">
      <alignment horizontal="centerContinuous" vertical="center"/>
    </xf>
    <xf numFmtId="4" fontId="2" fillId="0" borderId="0" xfId="0" applyNumberFormat="1" applyFont="1" applyBorder="1" applyAlignment="1">
      <alignment horizontal="centerContinuous" vertical="center"/>
    </xf>
    <xf numFmtId="4" fontId="2" fillId="0" borderId="7" xfId="0" applyNumberFormat="1" applyFont="1" applyBorder="1" applyAlignment="1">
      <alignment horizontal="centerContinuous" vertical="center"/>
    </xf>
    <xf numFmtId="0" fontId="2" fillId="0" borderId="0" xfId="0" applyFont="1" applyBorder="1" applyAlignment="1">
      <alignment horizontal="center" vertical="center"/>
    </xf>
    <xf numFmtId="4" fontId="2" fillId="0" borderId="0" xfId="0" applyNumberFormat="1" applyFont="1" applyBorder="1" applyAlignment="1">
      <alignment horizontal="center" vertical="center"/>
    </xf>
    <xf numFmtId="4" fontId="2" fillId="0" borderId="7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4" fontId="2" fillId="0" borderId="9" xfId="0" applyNumberFormat="1" applyFont="1" applyBorder="1" applyAlignment="1">
      <alignment horizontal="center" vertical="center"/>
    </xf>
    <xf numFmtId="4" fontId="2" fillId="0" borderId="10" xfId="0" applyNumberFormat="1" applyFont="1" applyBorder="1" applyAlignment="1">
      <alignment horizontal="center" vertical="center"/>
    </xf>
    <xf numFmtId="4" fontId="2" fillId="0" borderId="7" xfId="0" applyNumberFormat="1" applyFont="1" applyBorder="1" applyAlignment="1">
      <alignment vertical="center"/>
    </xf>
    <xf numFmtId="4" fontId="2" fillId="0" borderId="10" xfId="0" applyNumberFormat="1" applyFont="1" applyBorder="1" applyAlignment="1">
      <alignment vertical="center"/>
    </xf>
    <xf numFmtId="14" fontId="2" fillId="0" borderId="0" xfId="0" applyNumberFormat="1" applyFont="1" applyAlignment="1">
      <alignment horizontal="center"/>
    </xf>
    <xf numFmtId="1" fontId="2" fillId="0" borderId="0" xfId="1" applyNumberFormat="1" applyFont="1" applyAlignment="1">
      <alignment horizontal="center"/>
    </xf>
    <xf numFmtId="0" fontId="3" fillId="2" borderId="1" xfId="0" applyFont="1" applyFill="1" applyBorder="1" applyAlignment="1">
      <alignment horizontal="centerContinuous" vertical="center"/>
    </xf>
    <xf numFmtId="0" fontId="2" fillId="2" borderId="1" xfId="0" applyFont="1" applyFill="1" applyBorder="1" applyAlignment="1">
      <alignment horizontal="centerContinuous" vertical="center"/>
    </xf>
    <xf numFmtId="0" fontId="2" fillId="2" borderId="19" xfId="0" applyFont="1" applyFill="1" applyBorder="1" applyAlignment="1">
      <alignment horizontal="centerContinuous" vertical="center"/>
    </xf>
    <xf numFmtId="0" fontId="3" fillId="2" borderId="0" xfId="0" applyFont="1" applyFill="1" applyBorder="1" applyAlignment="1">
      <alignment horizontal="centerContinuous" vertical="center"/>
    </xf>
    <xf numFmtId="0" fontId="2" fillId="2" borderId="0" xfId="0" applyFont="1" applyFill="1" applyBorder="1" applyAlignment="1">
      <alignment horizontal="centerContinuous" vertical="center"/>
    </xf>
    <xf numFmtId="0" fontId="2" fillId="2" borderId="20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6" fillId="0" borderId="0" xfId="0" applyFont="1" applyAlignment="1">
      <alignment horizontal="center"/>
    </xf>
    <xf numFmtId="0" fontId="6" fillId="0" borderId="0" xfId="0" applyFont="1"/>
    <xf numFmtId="4" fontId="6" fillId="0" borderId="0" xfId="0" applyNumberFormat="1" applyFont="1"/>
    <xf numFmtId="1" fontId="6" fillId="0" borderId="0" xfId="1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0" borderId="0" xfId="0" applyNumberFormat="1" applyFont="1"/>
    <xf numFmtId="0" fontId="2" fillId="0" borderId="3" xfId="0" applyNumberFormat="1" applyFont="1" applyBorder="1"/>
    <xf numFmtId="0" fontId="2" fillId="0" borderId="6" xfId="0" applyNumberFormat="1" applyFont="1" applyBorder="1"/>
    <xf numFmtId="0" fontId="2" fillId="0" borderId="6" xfId="0" applyNumberFormat="1" applyFont="1" applyBorder="1" applyAlignment="1">
      <alignment horizontal="centerContinuous"/>
    </xf>
    <xf numFmtId="0" fontId="2" fillId="0" borderId="8" xfId="0" applyNumberFormat="1" applyFont="1" applyBorder="1"/>
    <xf numFmtId="0" fontId="2" fillId="0" borderId="3" xfId="0" applyNumberFormat="1" applyFont="1" applyBorder="1" applyAlignment="1">
      <alignment horizontal="centerContinuous"/>
    </xf>
    <xf numFmtId="0" fontId="2" fillId="0" borderId="8" xfId="0" applyNumberFormat="1" applyFont="1" applyBorder="1" applyAlignment="1">
      <alignment horizontal="centerContinuous"/>
    </xf>
    <xf numFmtId="0" fontId="2" fillId="0" borderId="6" xfId="0" applyNumberFormat="1" applyFont="1" applyBorder="1" applyAlignment="1">
      <alignment horizontal="centerContinuous" vertical="center"/>
    </xf>
    <xf numFmtId="0" fontId="2" fillId="0" borderId="6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Continuous" vertical="center"/>
    </xf>
    <xf numFmtId="0" fontId="2" fillId="0" borderId="8" xfId="0" applyNumberFormat="1" applyFont="1" applyBorder="1" applyAlignment="1">
      <alignment horizontal="centerContinuous" vertical="center"/>
    </xf>
    <xf numFmtId="0" fontId="2" fillId="0" borderId="0" xfId="0" applyNumberFormat="1" applyFont="1" applyBorder="1" applyAlignment="1">
      <alignment horizontal="centerContinuous" vertical="center"/>
    </xf>
    <xf numFmtId="4" fontId="2" fillId="0" borderId="0" xfId="0" applyNumberFormat="1" applyFont="1" applyBorder="1" applyAlignment="1">
      <alignment horizontal="centerContinuous"/>
    </xf>
    <xf numFmtId="0" fontId="2" fillId="0" borderId="27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1" xfId="0" applyFont="1" applyBorder="1" applyAlignment="1">
      <alignment horizontal="centerContinuous" vertical="center"/>
    </xf>
    <xf numFmtId="0" fontId="2" fillId="0" borderId="1" xfId="0" applyFont="1" applyBorder="1" applyAlignment="1">
      <alignment horizontal="centerContinuous" vertical="center"/>
    </xf>
    <xf numFmtId="0" fontId="2" fillId="0" borderId="19" xfId="0" applyFont="1" applyBorder="1" applyAlignment="1">
      <alignment horizontal="centerContinuous" vertical="center"/>
    </xf>
    <xf numFmtId="0" fontId="2" fillId="0" borderId="28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15" xfId="0" applyFont="1" applyBorder="1" applyAlignment="1">
      <alignment horizontal="centerContinuous" vertical="center"/>
    </xf>
    <xf numFmtId="0" fontId="2" fillId="0" borderId="21" xfId="0" applyFont="1" applyBorder="1" applyAlignment="1">
      <alignment horizontal="centerContinuous" vertical="center"/>
    </xf>
    <xf numFmtId="164" fontId="2" fillId="0" borderId="21" xfId="0" applyNumberFormat="1" applyFont="1" applyBorder="1" applyAlignment="1">
      <alignment horizontal="center" vertical="center"/>
    </xf>
    <xf numFmtId="0" fontId="2" fillId="0" borderId="26" xfId="0" applyFont="1" applyBorder="1" applyAlignment="1">
      <alignment vertical="center"/>
    </xf>
    <xf numFmtId="0" fontId="2" fillId="0" borderId="3" xfId="0" applyFont="1" applyBorder="1" applyAlignment="1">
      <alignment horizontal="centerContinuous"/>
    </xf>
    <xf numFmtId="0" fontId="2" fillId="0" borderId="5" xfId="0" applyFont="1" applyBorder="1" applyAlignment="1">
      <alignment horizontal="centerContinuous"/>
    </xf>
    <xf numFmtId="0" fontId="3" fillId="0" borderId="6" xfId="0" applyFont="1" applyBorder="1" applyAlignment="1">
      <alignment horizontal="centerContinuous"/>
    </xf>
    <xf numFmtId="14" fontId="2" fillId="0" borderId="0" xfId="0" applyNumberFormat="1" applyFont="1" applyBorder="1" applyAlignment="1">
      <alignment horizontal="centerContinuous"/>
    </xf>
    <xf numFmtId="164" fontId="2" fillId="0" borderId="0" xfId="0" applyNumberFormat="1" applyFont="1" applyBorder="1" applyAlignment="1">
      <alignment horizontal="centerContinuous"/>
    </xf>
    <xf numFmtId="0" fontId="3" fillId="2" borderId="23" xfId="0" applyFont="1" applyFill="1" applyBorder="1" applyAlignment="1">
      <alignment horizontal="centerContinuous" vertical="center"/>
    </xf>
    <xf numFmtId="0" fontId="3" fillId="2" borderId="0" xfId="0" applyFont="1" applyFill="1" applyAlignment="1">
      <alignment horizontal="centerContinuous" vertical="center"/>
    </xf>
    <xf numFmtId="0" fontId="2" fillId="2" borderId="0" xfId="0" applyFont="1" applyFill="1" applyAlignment="1">
      <alignment horizontal="centerContinuous" vertical="center"/>
    </xf>
    <xf numFmtId="0" fontId="2" fillId="2" borderId="24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2" borderId="20" xfId="0" applyFont="1" applyFill="1" applyBorder="1" applyAlignment="1">
      <alignment vertical="center"/>
    </xf>
    <xf numFmtId="0" fontId="2" fillId="2" borderId="3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1" fontId="6" fillId="2" borderId="6" xfId="0" applyNumberFormat="1" applyFont="1" applyFill="1" applyBorder="1" applyAlignment="1"/>
    <xf numFmtId="1" fontId="3" fillId="2" borderId="0" xfId="0" applyNumberFormat="1" applyFont="1" applyFill="1" applyBorder="1" applyAlignment="1"/>
    <xf numFmtId="0" fontId="3" fillId="2" borderId="0" xfId="0" applyFont="1" applyFill="1" applyBorder="1"/>
    <xf numFmtId="0" fontId="2" fillId="2" borderId="0" xfId="0" applyFont="1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2" fillId="2" borderId="9" xfId="0" applyFont="1" applyFill="1" applyBorder="1"/>
    <xf numFmtId="4" fontId="2" fillId="2" borderId="9" xfId="0" applyNumberFormat="1" applyFont="1" applyFill="1" applyBorder="1"/>
    <xf numFmtId="0" fontId="2" fillId="2" borderId="10" xfId="0" applyFont="1" applyFill="1" applyBorder="1"/>
    <xf numFmtId="49" fontId="2" fillId="0" borderId="0" xfId="0" applyNumberFormat="1" applyFont="1" applyAlignment="1">
      <alignment horizontal="center"/>
    </xf>
    <xf numFmtId="0" fontId="7" fillId="2" borderId="24" xfId="0" applyFont="1" applyFill="1" applyBorder="1" applyAlignment="1">
      <alignment horizontal="centerContinuous" vertical="center"/>
    </xf>
    <xf numFmtId="165" fontId="8" fillId="0" borderId="7" xfId="0" applyNumberFormat="1" applyFont="1" applyBorder="1" applyAlignment="1">
      <alignment horizontal="center"/>
    </xf>
    <xf numFmtId="165" fontId="8" fillId="0" borderId="0" xfId="0" applyNumberFormat="1" applyFont="1" applyBorder="1" applyAlignment="1">
      <alignment horizontal="centerContinuous"/>
    </xf>
    <xf numFmtId="0" fontId="8" fillId="0" borderId="0" xfId="0" applyFont="1" applyBorder="1" applyAlignment="1">
      <alignment horizontal="centerContinuous"/>
    </xf>
    <xf numFmtId="0" fontId="8" fillId="0" borderId="0" xfId="0" applyFont="1" applyBorder="1" applyAlignment="1">
      <alignment horizontal="center"/>
    </xf>
    <xf numFmtId="0" fontId="9" fillId="0" borderId="0" xfId="0" applyNumberFormat="1" applyFont="1" applyAlignment="1">
      <alignment horizontal="centerContinuous"/>
    </xf>
    <xf numFmtId="0" fontId="7" fillId="0" borderId="0" xfId="0" applyNumberFormat="1" applyFont="1" applyBorder="1" applyAlignment="1">
      <alignment horizontal="centerContinuous" vertical="center"/>
    </xf>
    <xf numFmtId="0" fontId="10" fillId="0" borderId="6" xfId="0" applyNumberFormat="1" applyFont="1" applyBorder="1" applyAlignment="1">
      <alignment horizontal="centerContinuous"/>
    </xf>
    <xf numFmtId="0" fontId="6" fillId="0" borderId="6" xfId="0" applyNumberFormat="1" applyFont="1" applyBorder="1" applyAlignment="1">
      <alignment horizontal="centerContinuous"/>
    </xf>
    <xf numFmtId="0" fontId="7" fillId="0" borderId="6" xfId="0" applyFont="1" applyBorder="1" applyAlignment="1">
      <alignment horizontal="centerContinuous"/>
    </xf>
    <xf numFmtId="0" fontId="11" fillId="0" borderId="0" xfId="0" applyFont="1" applyAlignment="1">
      <alignment horizontal="centerContinuous"/>
    </xf>
    <xf numFmtId="0" fontId="12" fillId="0" borderId="0" xfId="0" applyFont="1" applyAlignment="1">
      <alignment horizontal="centerContinuous"/>
    </xf>
    <xf numFmtId="0" fontId="13" fillId="0" borderId="0" xfId="0" applyFont="1" applyAlignment="1">
      <alignment horizontal="centerContinuous"/>
    </xf>
    <xf numFmtId="0" fontId="13" fillId="0" borderId="0" xfId="0" applyFont="1"/>
    <xf numFmtId="0" fontId="13" fillId="0" borderId="3" xfId="0" applyFont="1" applyBorder="1"/>
    <xf numFmtId="0" fontId="13" fillId="0" borderId="4" xfId="0" applyFont="1" applyBorder="1"/>
    <xf numFmtId="0" fontId="13" fillId="0" borderId="5" xfId="0" applyFont="1" applyBorder="1"/>
    <xf numFmtId="0" fontId="12" fillId="0" borderId="6" xfId="0" applyFont="1" applyBorder="1" applyAlignment="1">
      <alignment horizontal="centerContinuous"/>
    </xf>
    <xf numFmtId="0" fontId="13" fillId="0" borderId="0" xfId="0" applyFont="1" applyBorder="1" applyAlignment="1">
      <alignment horizontal="centerContinuous"/>
    </xf>
    <xf numFmtId="0" fontId="13" fillId="0" borderId="7" xfId="0" applyFont="1" applyBorder="1" applyAlignment="1">
      <alignment horizontal="centerContinuous"/>
    </xf>
    <xf numFmtId="0" fontId="13" fillId="0" borderId="6" xfId="0" applyFont="1" applyBorder="1"/>
    <xf numFmtId="0" fontId="13" fillId="0" borderId="0" xfId="0" applyFont="1" applyBorder="1"/>
    <xf numFmtId="0" fontId="13" fillId="0" borderId="7" xfId="0" applyFont="1" applyBorder="1"/>
    <xf numFmtId="0" fontId="13" fillId="0" borderId="6" xfId="0" applyFont="1" applyBorder="1" applyAlignment="1">
      <alignment horizontal="centerContinuous"/>
    </xf>
    <xf numFmtId="0" fontId="14" fillId="0" borderId="7" xfId="0" applyNumberFormat="1" applyFont="1" applyBorder="1" applyAlignment="1">
      <alignment horizontal="center"/>
    </xf>
    <xf numFmtId="14" fontId="14" fillId="0" borderId="0" xfId="0" applyNumberFormat="1" applyFont="1" applyBorder="1" applyAlignment="1">
      <alignment horizontal="centerContinuous"/>
    </xf>
    <xf numFmtId="0" fontId="14" fillId="0" borderId="7" xfId="0" applyFont="1" applyBorder="1" applyAlignment="1">
      <alignment horizontal="center"/>
    </xf>
    <xf numFmtId="0" fontId="13" fillId="0" borderId="8" xfId="0" applyFont="1" applyBorder="1"/>
    <xf numFmtId="0" fontId="13" fillId="0" borderId="9" xfId="0" applyFont="1" applyBorder="1"/>
    <xf numFmtId="0" fontId="13" fillId="0" borderId="10" xfId="0" applyFont="1" applyBorder="1"/>
    <xf numFmtId="14" fontId="13" fillId="0" borderId="0" xfId="0" applyNumberFormat="1" applyFont="1" applyBorder="1" applyAlignment="1">
      <alignment horizontal="centerContinuous"/>
    </xf>
    <xf numFmtId="14" fontId="13" fillId="0" borderId="7" xfId="0" applyNumberFormat="1" applyFont="1" applyBorder="1" applyAlignment="1">
      <alignment horizontal="centerContinuous"/>
    </xf>
    <xf numFmtId="164" fontId="13" fillId="0" borderId="0" xfId="0" applyNumberFormat="1" applyFont="1" applyBorder="1" applyAlignment="1">
      <alignment horizontal="centerContinuous"/>
    </xf>
    <xf numFmtId="4" fontId="13" fillId="0" borderId="0" xfId="0" applyNumberFormat="1" applyFont="1" applyBorder="1" applyAlignment="1">
      <alignment horizontal="centerContinuous"/>
    </xf>
    <xf numFmtId="0" fontId="13" fillId="0" borderId="9" xfId="0" applyFont="1" applyBorder="1" applyAlignment="1">
      <alignment horizontal="center"/>
    </xf>
    <xf numFmtId="0" fontId="13" fillId="0" borderId="14" xfId="0" applyFont="1" applyBorder="1"/>
    <xf numFmtId="0" fontId="13" fillId="0" borderId="7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14" fontId="13" fillId="0" borderId="0" xfId="0" applyNumberFormat="1" applyFont="1" applyBorder="1" applyAlignment="1">
      <alignment horizontal="center"/>
    </xf>
    <xf numFmtId="4" fontId="13" fillId="0" borderId="0" xfId="0" applyNumberFormat="1" applyFont="1" applyBorder="1"/>
    <xf numFmtId="0" fontId="10" fillId="0" borderId="6" xfId="0" applyFont="1" applyBorder="1" applyAlignment="1">
      <alignment horizontal="centerContinuous"/>
    </xf>
    <xf numFmtId="165" fontId="2" fillId="0" borderId="0" xfId="0" applyNumberFormat="1" applyFont="1"/>
    <xf numFmtId="4" fontId="15" fillId="0" borderId="0" xfId="0" applyNumberFormat="1" applyFont="1" applyBorder="1" applyAlignment="1">
      <alignment vertical="center"/>
    </xf>
    <xf numFmtId="165" fontId="2" fillId="0" borderId="0" xfId="0" applyNumberFormat="1" applyFont="1" applyBorder="1" applyAlignment="1">
      <alignment horizontal="center"/>
    </xf>
    <xf numFmtId="165" fontId="2" fillId="0" borderId="7" xfId="0" applyNumberFormat="1" applyFont="1" applyBorder="1" applyAlignment="1">
      <alignment horizontal="center"/>
    </xf>
    <xf numFmtId="0" fontId="15" fillId="0" borderId="6" xfId="0" applyNumberFormat="1" applyFont="1" applyBorder="1" applyAlignment="1">
      <alignment horizontal="centerContinuous" vertical="center"/>
    </xf>
    <xf numFmtId="4" fontId="15" fillId="0" borderId="7" xfId="0" applyNumberFormat="1" applyFont="1" applyBorder="1" applyAlignment="1">
      <alignment vertical="center"/>
    </xf>
    <xf numFmtId="0" fontId="2" fillId="0" borderId="8" xfId="0" applyFont="1" applyBorder="1" applyAlignment="1">
      <alignment horizontal="centerContinuous"/>
    </xf>
    <xf numFmtId="4" fontId="6" fillId="0" borderId="0" xfId="0" applyNumberFormat="1" applyFont="1" applyBorder="1"/>
    <xf numFmtId="4" fontId="6" fillId="0" borderId="7" xfId="0" applyNumberFormat="1" applyFont="1" applyBorder="1"/>
    <xf numFmtId="4" fontId="2" fillId="0" borderId="9" xfId="0" applyNumberFormat="1" applyFont="1" applyBorder="1"/>
    <xf numFmtId="4" fontId="2" fillId="0" borderId="10" xfId="0" applyNumberFormat="1" applyFont="1" applyBorder="1"/>
    <xf numFmtId="0" fontId="2" fillId="0" borderId="0" xfId="0" quotePrefix="1" applyFont="1" applyAlignment="1">
      <alignment horizontal="center"/>
    </xf>
    <xf numFmtId="0" fontId="2" fillId="0" borderId="9" xfId="0" applyFont="1" applyBorder="1" applyAlignment="1">
      <alignment horizontal="center"/>
    </xf>
    <xf numFmtId="0" fontId="6" fillId="3" borderId="29" xfId="0" applyNumberFormat="1" applyFont="1" applyFill="1" applyBorder="1" applyAlignment="1">
      <alignment vertical="center"/>
    </xf>
    <xf numFmtId="1" fontId="3" fillId="3" borderId="30" xfId="0" applyNumberFormat="1" applyFont="1" applyFill="1" applyBorder="1" applyAlignment="1">
      <alignment vertical="center"/>
    </xf>
    <xf numFmtId="0" fontId="3" fillId="3" borderId="30" xfId="0" applyFont="1" applyFill="1" applyBorder="1" applyAlignment="1">
      <alignment vertical="center"/>
    </xf>
    <xf numFmtId="0" fontId="2" fillId="3" borderId="30" xfId="0" applyFont="1" applyFill="1" applyBorder="1" applyAlignment="1">
      <alignment vertical="center"/>
    </xf>
    <xf numFmtId="0" fontId="2" fillId="4" borderId="30" xfId="0" applyFont="1" applyFill="1" applyBorder="1" applyAlignment="1">
      <alignment vertical="center"/>
    </xf>
    <xf numFmtId="0" fontId="2" fillId="4" borderId="31" xfId="0" applyFont="1" applyFill="1" applyBorder="1" applyAlignment="1">
      <alignment vertical="center"/>
    </xf>
    <xf numFmtId="0" fontId="3" fillId="2" borderId="11" xfId="0" applyNumberFormat="1" applyFont="1" applyFill="1" applyBorder="1" applyAlignment="1">
      <alignment horizontal="centerContinuous" vertical="center"/>
    </xf>
    <xf numFmtId="0" fontId="7" fillId="2" borderId="6" xfId="0" applyNumberFormat="1" applyFont="1" applyFill="1" applyBorder="1" applyAlignment="1">
      <alignment horizontal="centerContinuous" vertical="center"/>
    </xf>
    <xf numFmtId="0" fontId="2" fillId="2" borderId="12" xfId="0" applyNumberFormat="1" applyFont="1" applyFill="1" applyBorder="1" applyAlignment="1">
      <alignment vertical="center"/>
    </xf>
    <xf numFmtId="0" fontId="2" fillId="0" borderId="15" xfId="0" applyNumberFormat="1" applyFont="1" applyBorder="1" applyAlignment="1">
      <alignment vertic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13" xfId="0" applyNumberFormat="1" applyFont="1" applyBorder="1" applyAlignment="1">
      <alignment vertical="center"/>
    </xf>
    <xf numFmtId="0" fontId="6" fillId="4" borderId="30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Continuous" vertical="center"/>
    </xf>
    <xf numFmtId="0" fontId="2" fillId="2" borderId="7" xfId="0" applyFont="1" applyFill="1" applyBorder="1" applyAlignment="1">
      <alignment horizontal="centerContinuous" vertical="center"/>
    </xf>
    <xf numFmtId="0" fontId="2" fillId="2" borderId="18" xfId="0" applyFont="1" applyFill="1" applyBorder="1" applyAlignment="1">
      <alignment vertical="center"/>
    </xf>
    <xf numFmtId="0" fontId="2" fillId="0" borderId="15" xfId="0" applyFont="1" applyBorder="1" applyAlignment="1">
      <alignment vertical="center"/>
    </xf>
    <xf numFmtId="0" fontId="2" fillId="0" borderId="15" xfId="0" applyFont="1" applyBorder="1" applyAlignment="1">
      <alignment horizontal="center" vertical="center"/>
    </xf>
    <xf numFmtId="0" fontId="2" fillId="3" borderId="31" xfId="0" applyFont="1" applyFill="1" applyBorder="1" applyAlignment="1">
      <alignment vertical="center"/>
    </xf>
    <xf numFmtId="14" fontId="2" fillId="0" borderId="0" xfId="0" applyNumberFormat="1" applyFont="1"/>
    <xf numFmtId="0" fontId="2" fillId="0" borderId="32" xfId="0" applyFont="1" applyBorder="1" applyAlignment="1">
      <alignment vertical="center"/>
    </xf>
    <xf numFmtId="4" fontId="2" fillId="0" borderId="9" xfId="0" applyNumberFormat="1" applyFont="1" applyBorder="1" applyAlignment="1">
      <alignment horizontal="centerContinuous" vertical="center"/>
    </xf>
    <xf numFmtId="4" fontId="15" fillId="0" borderId="10" xfId="0" applyNumberFormat="1" applyFont="1" applyBorder="1" applyAlignment="1">
      <alignment vertical="center"/>
    </xf>
    <xf numFmtId="0" fontId="2" fillId="0" borderId="6" xfId="0" applyFont="1" applyBorder="1" applyAlignment="1">
      <alignment horizontal="centerContinuous" vertical="center" wrapText="1"/>
    </xf>
    <xf numFmtId="0" fontId="2" fillId="0" borderId="0" xfId="0" applyFont="1" applyBorder="1" applyAlignment="1">
      <alignment horizontal="centerContinuous" wrapText="1"/>
    </xf>
    <xf numFmtId="0" fontId="19" fillId="0" borderId="0" xfId="0" applyNumberFormat="1" applyFont="1" applyBorder="1" applyAlignment="1">
      <alignment horizontal="centerContinuous" vertical="center"/>
    </xf>
    <xf numFmtId="0" fontId="20" fillId="0" borderId="0" xfId="0" applyFont="1" applyBorder="1" applyAlignment="1">
      <alignment horizontal="centerContinuous"/>
    </xf>
    <xf numFmtId="4" fontId="15" fillId="0" borderId="0" xfId="0" applyNumberFormat="1" applyFont="1" applyBorder="1" applyAlignment="1">
      <alignment horizontal="centerContinuous" vertical="center"/>
    </xf>
    <xf numFmtId="0" fontId="6" fillId="0" borderId="6" xfId="0" applyFont="1" applyBorder="1" applyAlignment="1">
      <alignment horizontal="left"/>
    </xf>
    <xf numFmtId="0" fontId="2" fillId="0" borderId="6" xfId="0" applyFont="1" applyBorder="1" applyAlignment="1">
      <alignment horizontal="left" vertical="center"/>
    </xf>
    <xf numFmtId="14" fontId="2" fillId="0" borderId="0" xfId="0" applyNumberFormat="1" applyFont="1" applyAlignment="1">
      <alignment horizontal="centerContinuous"/>
    </xf>
  </cellXfs>
  <cellStyles count="2">
    <cellStyle name="Normal" xfId="0" builtinId="0"/>
    <cellStyle name="Pourcentage" xfId="1" builtinId="5"/>
  </cellStyles>
  <dxfs count="17">
    <dxf>
      <font>
        <b/>
        <i/>
        <condense val="0"/>
        <extend val="0"/>
      </font>
    </dxf>
    <dxf>
      <font>
        <b/>
        <i/>
        <condense val="0"/>
        <extend val="0"/>
      </font>
    </dxf>
    <dxf>
      <font>
        <b/>
        <i/>
        <condense val="0"/>
        <extend val="0"/>
      </font>
    </dxf>
    <dxf>
      <font>
        <b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/>
        <i val="0"/>
        <strike/>
        <condense val="0"/>
        <extend val="0"/>
        <color indexed="8"/>
      </font>
      <fill>
        <patternFill>
          <bgColor indexed="33"/>
        </patternFill>
      </fill>
    </dxf>
    <dxf>
      <font>
        <b/>
        <i/>
        <condense val="0"/>
        <extend val="0"/>
      </font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/>
        <i val="0"/>
        <strike/>
        <condense val="0"/>
        <extend val="0"/>
        <color indexed="8"/>
      </font>
      <fill>
        <patternFill>
          <bgColor indexed="33"/>
        </patternFill>
      </fill>
    </dxf>
    <dxf>
      <font>
        <b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/>
        <i val="0"/>
        <strike/>
        <condense val="0"/>
        <extend val="0"/>
        <color indexed="8"/>
      </font>
      <fill>
        <patternFill>
          <bgColor indexed="33"/>
        </patternFill>
      </fill>
    </dxf>
    <dxf>
      <font>
        <b/>
        <i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11244"/>
  <dimension ref="A1:W449"/>
  <sheetViews>
    <sheetView showGridLines="0" showZeros="0" topLeftCell="A325" workbookViewId="0">
      <selection activeCell="G4" sqref="G4"/>
    </sheetView>
  </sheetViews>
  <sheetFormatPr baseColWidth="10" defaultRowHeight="11.25" x14ac:dyDescent="0.2"/>
  <cols>
    <col min="1" max="1" width="6.33203125" style="99" customWidth="1"/>
    <col min="2" max="2" width="32.5" style="9" customWidth="1"/>
    <col min="3" max="3" width="2.5" style="9" bestFit="1" customWidth="1"/>
    <col min="4" max="13" width="11.83203125" style="9" customWidth="1"/>
    <col min="14" max="16384" width="12" style="9"/>
  </cols>
  <sheetData>
    <row r="1" spans="1:13" x14ac:dyDescent="0.2">
      <c r="A1" s="98"/>
      <c r="B1" s="1"/>
      <c r="C1" s="1"/>
      <c r="D1" s="2"/>
      <c r="E1" s="3"/>
      <c r="F1" s="3"/>
      <c r="G1" s="4"/>
      <c r="H1" s="5"/>
      <c r="I1" s="6"/>
      <c r="J1" s="4"/>
      <c r="K1" s="7"/>
      <c r="L1" s="8"/>
      <c r="M1" s="8"/>
    </row>
    <row r="2" spans="1:13" ht="15.75" x14ac:dyDescent="0.25">
      <c r="D2" s="157" t="s">
        <v>36</v>
      </c>
      <c r="E2" s="10"/>
      <c r="F2" s="10"/>
      <c r="G2" s="10"/>
      <c r="H2" s="10"/>
      <c r="I2" s="10"/>
      <c r="J2" s="10"/>
      <c r="K2" s="11"/>
    </row>
    <row r="3" spans="1:13" x14ac:dyDescent="0.2">
      <c r="D3" s="12"/>
      <c r="E3" s="13"/>
      <c r="F3" s="13"/>
      <c r="G3" s="13"/>
      <c r="H3" s="13"/>
      <c r="I3" s="13"/>
      <c r="J3" s="13"/>
      <c r="K3" s="14"/>
    </row>
    <row r="4" spans="1:13" ht="12.75" customHeight="1" x14ac:dyDescent="0.2">
      <c r="D4" s="15"/>
      <c r="E4" s="13"/>
      <c r="F4" s="13" t="s">
        <v>9</v>
      </c>
      <c r="G4" s="10" t="str">
        <f>NomSociété</f>
        <v>Société Test</v>
      </c>
      <c r="H4" s="10"/>
      <c r="I4" s="10"/>
      <c r="J4" s="10"/>
      <c r="K4" s="14"/>
    </row>
    <row r="5" spans="1:13" x14ac:dyDescent="0.2">
      <c r="D5" s="15"/>
      <c r="E5" s="13"/>
      <c r="F5" s="13"/>
      <c r="G5" s="13"/>
      <c r="H5" s="13"/>
      <c r="I5" s="13"/>
      <c r="J5" s="13"/>
      <c r="K5" s="14"/>
    </row>
    <row r="6" spans="1:13" x14ac:dyDescent="0.2">
      <c r="D6" s="15"/>
      <c r="E6" s="13"/>
      <c r="F6" s="16" t="s">
        <v>10</v>
      </c>
      <c r="G6" s="17">
        <v>41091</v>
      </c>
      <c r="H6" s="18" t="s">
        <v>11</v>
      </c>
      <c r="I6" s="17">
        <v>41455</v>
      </c>
      <c r="J6" s="13"/>
      <c r="K6" s="14"/>
      <c r="M6" s="195"/>
    </row>
    <row r="7" spans="1:13" x14ac:dyDescent="0.2">
      <c r="D7" s="19" t="str">
        <f>IF(G6&gt;I6,"Attention Date impossible !!!!",IF(G6&gt;I8,"Attention Date impossible !!!!",""))</f>
        <v/>
      </c>
      <c r="E7" s="10"/>
      <c r="F7" s="10"/>
      <c r="G7" s="10"/>
      <c r="H7" s="10"/>
      <c r="I7" s="10"/>
      <c r="J7" s="10"/>
      <c r="K7" s="11"/>
    </row>
    <row r="8" spans="1:13" x14ac:dyDescent="0.2">
      <c r="D8" s="15"/>
      <c r="E8" s="10"/>
      <c r="F8" s="10" t="s">
        <v>45</v>
      </c>
      <c r="G8" s="10"/>
      <c r="H8" s="10"/>
      <c r="I8" s="17">
        <v>41455</v>
      </c>
      <c r="J8" s="13"/>
      <c r="K8" s="14"/>
    </row>
    <row r="9" spans="1:13" x14ac:dyDescent="0.2">
      <c r="D9" s="15"/>
      <c r="E9" s="13"/>
      <c r="F9" s="13"/>
      <c r="G9" s="13"/>
      <c r="H9" s="13"/>
      <c r="I9" s="13"/>
      <c r="J9" s="13"/>
      <c r="K9" s="14"/>
    </row>
    <row r="10" spans="1:13" x14ac:dyDescent="0.2">
      <c r="D10" s="15"/>
      <c r="E10" s="13"/>
      <c r="F10" s="13"/>
      <c r="G10" s="13"/>
      <c r="H10" s="13"/>
      <c r="I10" s="13"/>
      <c r="J10" s="13"/>
      <c r="K10" s="14"/>
    </row>
    <row r="11" spans="1:13" x14ac:dyDescent="0.2">
      <c r="D11" s="15"/>
      <c r="E11" s="13"/>
      <c r="F11" s="16" t="s">
        <v>13</v>
      </c>
      <c r="G11" s="18" t="s">
        <v>8</v>
      </c>
      <c r="H11" s="13" t="s">
        <v>21</v>
      </c>
      <c r="I11" s="13"/>
      <c r="J11" s="13"/>
      <c r="K11" s="14"/>
    </row>
    <row r="12" spans="1:13" x14ac:dyDescent="0.2">
      <c r="D12" s="15"/>
      <c r="E12" s="13"/>
      <c r="F12" s="13"/>
      <c r="G12" s="18" t="s">
        <v>12</v>
      </c>
      <c r="H12" s="13" t="s">
        <v>22</v>
      </c>
      <c r="I12" s="13"/>
      <c r="J12" s="13"/>
      <c r="K12" s="14"/>
    </row>
    <row r="13" spans="1:13" x14ac:dyDescent="0.2">
      <c r="D13" s="15"/>
      <c r="E13" s="13"/>
      <c r="F13" s="13"/>
      <c r="G13" s="18" t="s">
        <v>16</v>
      </c>
      <c r="H13" s="13" t="s">
        <v>17</v>
      </c>
      <c r="I13" s="13"/>
      <c r="J13" s="13"/>
      <c r="K13" s="14"/>
    </row>
    <row r="14" spans="1:13" x14ac:dyDescent="0.2">
      <c r="D14" s="20"/>
      <c r="E14" s="21"/>
      <c r="F14" s="21"/>
      <c r="G14" s="21"/>
      <c r="H14" s="21"/>
      <c r="I14" s="21"/>
      <c r="J14" s="21"/>
      <c r="K14" s="22"/>
    </row>
    <row r="16" spans="1:13" x14ac:dyDescent="0.2">
      <c r="A16" s="100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5"/>
    </row>
    <row r="17" spans="1:13" x14ac:dyDescent="0.2">
      <c r="A17" s="101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4"/>
    </row>
    <row r="18" spans="1:13" x14ac:dyDescent="0.2">
      <c r="A18" s="101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4"/>
    </row>
    <row r="19" spans="1:13" x14ac:dyDescent="0.2">
      <c r="A19" s="101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4"/>
    </row>
    <row r="20" spans="1:13" ht="22.5" x14ac:dyDescent="0.45">
      <c r="A20" s="155" t="str">
        <f>G4</f>
        <v>Société Test</v>
      </c>
      <c r="B20" s="26"/>
      <c r="C20" s="26"/>
      <c r="D20" s="26"/>
      <c r="E20" s="10"/>
      <c r="F20" s="10"/>
      <c r="G20" s="10"/>
      <c r="H20" s="10"/>
      <c r="I20" s="10"/>
      <c r="J20" s="10"/>
      <c r="K20" s="10"/>
      <c r="L20" s="10"/>
      <c r="M20" s="11"/>
    </row>
    <row r="21" spans="1:13" x14ac:dyDescent="0.2">
      <c r="A21" s="102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1"/>
    </row>
    <row r="22" spans="1:13" x14ac:dyDescent="0.2">
      <c r="A22" s="102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1"/>
    </row>
    <row r="23" spans="1:13" x14ac:dyDescent="0.2">
      <c r="A23" s="102" t="str">
        <f>"Liste des immobilisations et des amortissements au " &amp; TEXT($I$6,"j mmmm aaaa")</f>
        <v>Liste des immobilisations et des amortissements au 30 juin 2013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1"/>
    </row>
    <row r="24" spans="1:13" x14ac:dyDescent="0.2">
      <c r="A24" s="102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1"/>
    </row>
    <row r="25" spans="1:13" x14ac:dyDescent="0.2">
      <c r="A25" s="102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1"/>
    </row>
    <row r="26" spans="1:13" x14ac:dyDescent="0.2">
      <c r="A26" s="102" t="str">
        <f>"Calcul des amortissements au " &amp; TEXT($I$8,"j mmmm aaaa")</f>
        <v>Calcul des amortissements au 30 juin 2013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1"/>
    </row>
    <row r="27" spans="1:13" x14ac:dyDescent="0.2">
      <c r="A27" s="101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</row>
    <row r="28" spans="1:13" x14ac:dyDescent="0.2">
      <c r="A28" s="101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</row>
    <row r="29" spans="1:13" x14ac:dyDescent="0.2">
      <c r="A29" s="101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4"/>
    </row>
    <row r="30" spans="1:13" x14ac:dyDescent="0.2">
      <c r="A30" s="103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2"/>
    </row>
    <row r="31" spans="1:13" x14ac:dyDescent="0.2">
      <c r="G31" s="8"/>
      <c r="J31" s="8"/>
      <c r="K31" s="8"/>
      <c r="L31" s="8"/>
      <c r="M31" s="8"/>
    </row>
    <row r="32" spans="1:13" x14ac:dyDescent="0.2">
      <c r="G32" s="8"/>
      <c r="J32" s="8"/>
      <c r="K32" s="8"/>
      <c r="L32" s="8"/>
      <c r="M32" s="8"/>
    </row>
    <row r="33" spans="1:13" ht="18" x14ac:dyDescent="0.25">
      <c r="A33" s="153" t="str">
        <f>G4 &amp; "   -   VARIATIONS DE L'ACTIF IMMOBILISE"</f>
        <v>Société Test   -   VARIATIONS DE L'ACTIF IMMOBILISE</v>
      </c>
      <c r="B33" s="30"/>
      <c r="C33" s="30"/>
      <c r="D33" s="30"/>
      <c r="E33" s="30"/>
      <c r="F33" s="30"/>
      <c r="G33" s="31"/>
      <c r="H33" s="30"/>
      <c r="I33" s="30"/>
      <c r="J33" s="31"/>
      <c r="K33" s="31"/>
      <c r="L33" s="31"/>
      <c r="M33" s="31"/>
    </row>
    <row r="34" spans="1:13" ht="12" customHeight="1" x14ac:dyDescent="0.2">
      <c r="B34" s="29"/>
      <c r="C34" s="29"/>
      <c r="D34" s="30"/>
      <c r="E34" s="30"/>
      <c r="F34" s="30"/>
      <c r="G34" s="31"/>
      <c r="H34" s="30"/>
      <c r="I34" s="30"/>
      <c r="J34" s="31"/>
      <c r="K34" s="31"/>
      <c r="L34" s="31"/>
      <c r="M34" s="31"/>
    </row>
    <row r="35" spans="1:13" ht="12" customHeight="1" x14ac:dyDescent="0.2">
      <c r="B35" s="29"/>
      <c r="C35" s="29"/>
      <c r="D35" s="30"/>
      <c r="E35" s="30"/>
      <c r="F35" s="30"/>
      <c r="G35" s="31"/>
      <c r="H35" s="30"/>
      <c r="I35" s="30"/>
      <c r="J35" s="31"/>
      <c r="K35" s="31"/>
      <c r="L35" s="31"/>
      <c r="M35" s="31"/>
    </row>
    <row r="36" spans="1:13" x14ac:dyDescent="0.2">
      <c r="G36" s="8"/>
      <c r="J36" s="8"/>
      <c r="K36" s="8"/>
      <c r="L36" s="8"/>
      <c r="M36" s="8"/>
    </row>
    <row r="37" spans="1:13" x14ac:dyDescent="0.2">
      <c r="A37" s="104"/>
      <c r="B37" s="32"/>
      <c r="C37" s="32"/>
      <c r="D37" s="32"/>
      <c r="E37" s="23"/>
      <c r="F37" s="24"/>
      <c r="G37" s="4"/>
      <c r="H37" s="24"/>
      <c r="I37" s="23"/>
      <c r="J37" s="4"/>
      <c r="K37" s="4"/>
      <c r="L37" s="4"/>
      <c r="M37" s="33"/>
    </row>
    <row r="38" spans="1:13" x14ac:dyDescent="0.2">
      <c r="A38" s="102" t="s">
        <v>32</v>
      </c>
      <c r="B38" s="10"/>
      <c r="C38" s="10"/>
      <c r="D38" s="10"/>
      <c r="E38" s="27" t="s">
        <v>29</v>
      </c>
      <c r="F38" s="10"/>
      <c r="G38" s="10"/>
      <c r="H38" s="10"/>
      <c r="I38" s="27" t="s">
        <v>30</v>
      </c>
      <c r="J38" s="10"/>
      <c r="K38" s="10"/>
      <c r="L38" s="10"/>
      <c r="M38" s="35" t="s">
        <v>27</v>
      </c>
    </row>
    <row r="39" spans="1:13" x14ac:dyDescent="0.2">
      <c r="A39" s="102" t="s">
        <v>43</v>
      </c>
      <c r="B39" s="10"/>
      <c r="C39" s="10"/>
      <c r="D39" s="10"/>
      <c r="E39" s="36" t="str">
        <f>"Au " &amp; TEXT($G$6,"j/m/aaaa")</f>
        <v>Au 1/7/2012</v>
      </c>
      <c r="F39" s="18" t="s">
        <v>24</v>
      </c>
      <c r="G39" s="18" t="s">
        <v>25</v>
      </c>
      <c r="H39" s="18" t="str">
        <f>"Au " &amp; TEXT(I6,"j/m/aaaa")</f>
        <v>Au 30/6/2013</v>
      </c>
      <c r="I39" s="36" t="str">
        <f>E39</f>
        <v>Au 1/7/2012</v>
      </c>
      <c r="J39" s="18" t="s">
        <v>31</v>
      </c>
      <c r="K39" s="18" t="str">
        <f>G39</f>
        <v>Cessions</v>
      </c>
      <c r="L39" s="18" t="str">
        <f>H39</f>
        <v>Au 30/6/2013</v>
      </c>
      <c r="M39" s="35" t="s">
        <v>28</v>
      </c>
    </row>
    <row r="40" spans="1:13" x14ac:dyDescent="0.2">
      <c r="A40" s="105"/>
      <c r="B40" s="37"/>
      <c r="C40" s="37"/>
      <c r="D40" s="37"/>
      <c r="E40" s="28"/>
      <c r="F40" s="21"/>
      <c r="G40" s="21"/>
      <c r="H40" s="21"/>
      <c r="I40" s="28"/>
      <c r="J40" s="21"/>
      <c r="K40" s="21"/>
      <c r="L40" s="21"/>
      <c r="M40" s="38"/>
    </row>
    <row r="41" spans="1:13" x14ac:dyDescent="0.2">
      <c r="A41" s="102"/>
      <c r="B41" s="10"/>
      <c r="C41" s="10"/>
      <c r="D41" s="10"/>
      <c r="E41" s="12"/>
      <c r="F41" s="13"/>
      <c r="G41" s="13"/>
      <c r="H41" s="13"/>
      <c r="I41" s="12"/>
      <c r="J41" s="13"/>
      <c r="K41" s="13"/>
      <c r="L41" s="13"/>
      <c r="M41" s="39"/>
    </row>
    <row r="42" spans="1:13" x14ac:dyDescent="0.2">
      <c r="A42" s="156" t="s">
        <v>40</v>
      </c>
      <c r="B42" s="10"/>
      <c r="C42" s="10"/>
      <c r="D42" s="10"/>
      <c r="E42" s="12"/>
      <c r="F42" s="13"/>
      <c r="G42" s="13"/>
      <c r="H42" s="13"/>
      <c r="I42" s="12"/>
      <c r="J42" s="13"/>
      <c r="K42" s="13"/>
      <c r="L42" s="13"/>
      <c r="M42" s="39"/>
    </row>
    <row r="43" spans="1:13" x14ac:dyDescent="0.2">
      <c r="A43" s="102" t="s">
        <v>46</v>
      </c>
      <c r="B43" s="10"/>
      <c r="C43" s="10"/>
      <c r="D43" s="10"/>
      <c r="E43" s="40">
        <f>G174</f>
        <v>23099.09</v>
      </c>
      <c r="F43" s="41">
        <f>G175</f>
        <v>0</v>
      </c>
      <c r="G43" s="41">
        <f>G176</f>
        <v>0</v>
      </c>
      <c r="H43" s="41">
        <f>E43+F43-G43</f>
        <v>23099.09</v>
      </c>
      <c r="I43" s="40">
        <f>J172</f>
        <v>19815.869999999995</v>
      </c>
      <c r="J43" s="41">
        <f>K172</f>
        <v>1256.74</v>
      </c>
      <c r="K43" s="41">
        <f>L176</f>
        <v>0</v>
      </c>
      <c r="L43" s="41">
        <f>I43+J43-K43</f>
        <v>21072.609999999997</v>
      </c>
      <c r="M43" s="42">
        <f>H43-L43</f>
        <v>2026.4800000000032</v>
      </c>
    </row>
    <row r="44" spans="1:13" x14ac:dyDescent="0.2">
      <c r="A44" s="102" t="s">
        <v>256</v>
      </c>
      <c r="B44" s="10"/>
      <c r="C44" s="10"/>
      <c r="D44" s="10"/>
      <c r="E44" s="40"/>
      <c r="F44" s="41"/>
      <c r="G44" s="41"/>
      <c r="H44" s="41">
        <f>E44+F44-G44</f>
        <v>0</v>
      </c>
      <c r="I44" s="40"/>
      <c r="J44" s="41"/>
      <c r="K44" s="41"/>
      <c r="L44" s="41"/>
      <c r="M44" s="42">
        <f>H44-L44</f>
        <v>0</v>
      </c>
    </row>
    <row r="45" spans="1:13" x14ac:dyDescent="0.2">
      <c r="A45" s="106" t="s">
        <v>14</v>
      </c>
      <c r="B45" s="10"/>
      <c r="C45" s="10"/>
      <c r="D45" s="10"/>
      <c r="E45" s="44">
        <f t="shared" ref="E45:M45" si="0">SUM(E43:E44)</f>
        <v>23099.09</v>
      </c>
      <c r="F45" s="4">
        <f t="shared" si="0"/>
        <v>0</v>
      </c>
      <c r="G45" s="4">
        <f t="shared" si="0"/>
        <v>0</v>
      </c>
      <c r="H45" s="7">
        <f t="shared" si="0"/>
        <v>23099.09</v>
      </c>
      <c r="I45" s="45">
        <f t="shared" si="0"/>
        <v>19815.869999999995</v>
      </c>
      <c r="J45" s="4">
        <f t="shared" si="0"/>
        <v>1256.74</v>
      </c>
      <c r="K45" s="4">
        <f t="shared" si="0"/>
        <v>0</v>
      </c>
      <c r="L45" s="4">
        <f t="shared" si="0"/>
        <v>21072.609999999997</v>
      </c>
      <c r="M45" s="33">
        <f t="shared" si="0"/>
        <v>2026.4800000000032</v>
      </c>
    </row>
    <row r="46" spans="1:13" x14ac:dyDescent="0.2">
      <c r="A46" s="102"/>
      <c r="B46" s="10"/>
      <c r="C46" s="10"/>
      <c r="D46" s="10"/>
      <c r="E46" s="40"/>
      <c r="F46" s="41"/>
      <c r="G46" s="41"/>
      <c r="H46" s="41"/>
      <c r="I46" s="40"/>
      <c r="J46" s="41"/>
      <c r="K46" s="41"/>
      <c r="L46" s="41"/>
      <c r="M46" s="42"/>
    </row>
    <row r="47" spans="1:13" x14ac:dyDescent="0.2">
      <c r="A47" s="156" t="s">
        <v>48</v>
      </c>
      <c r="B47" s="10"/>
      <c r="C47" s="10"/>
      <c r="D47" s="10"/>
      <c r="E47" s="40"/>
      <c r="F47" s="41"/>
      <c r="G47" s="41"/>
      <c r="H47" s="41"/>
      <c r="I47" s="40"/>
      <c r="J47" s="41"/>
      <c r="K47" s="41"/>
      <c r="L47" s="41"/>
      <c r="M47" s="42"/>
    </row>
    <row r="48" spans="1:13" x14ac:dyDescent="0.2">
      <c r="A48" s="102" t="s">
        <v>168</v>
      </c>
      <c r="B48" s="10"/>
      <c r="C48" s="10"/>
      <c r="D48" s="10"/>
      <c r="E48" s="40">
        <f>G185</f>
        <v>39485.82</v>
      </c>
      <c r="F48" s="41">
        <f>G186</f>
        <v>0</v>
      </c>
      <c r="G48" s="41">
        <f>G187</f>
        <v>0</v>
      </c>
      <c r="H48" s="41">
        <f t="shared" ref="H48:H57" si="1">E48+F48-G48</f>
        <v>39485.82</v>
      </c>
      <c r="I48" s="40"/>
      <c r="J48" s="41"/>
      <c r="K48" s="41"/>
      <c r="L48" s="41">
        <f t="shared" ref="L48:L57" si="2">I48+J48-K48</f>
        <v>0</v>
      </c>
      <c r="M48" s="42">
        <f t="shared" ref="M48:M57" si="3">H48-L48</f>
        <v>39485.82</v>
      </c>
    </row>
    <row r="49" spans="1:13" x14ac:dyDescent="0.2">
      <c r="A49" s="102" t="s">
        <v>202</v>
      </c>
      <c r="B49" s="10"/>
      <c r="C49" s="10"/>
      <c r="D49" s="10"/>
      <c r="E49" s="40">
        <f>G202</f>
        <v>15492.96</v>
      </c>
      <c r="F49" s="41">
        <f>G203</f>
        <v>0</v>
      </c>
      <c r="G49" s="41">
        <f>G204</f>
        <v>0</v>
      </c>
      <c r="H49" s="41">
        <f t="shared" si="1"/>
        <v>15492.96</v>
      </c>
      <c r="I49" s="40">
        <f>J200</f>
        <v>15492.96</v>
      </c>
      <c r="J49" s="41">
        <f>K200</f>
        <v>0</v>
      </c>
      <c r="K49" s="41">
        <f>L204</f>
        <v>0</v>
      </c>
      <c r="L49" s="41">
        <f t="shared" si="2"/>
        <v>15492.96</v>
      </c>
      <c r="M49" s="42">
        <f t="shared" si="3"/>
        <v>0</v>
      </c>
    </row>
    <row r="50" spans="1:13" x14ac:dyDescent="0.2">
      <c r="A50" s="102" t="s">
        <v>169</v>
      </c>
      <c r="B50" s="10"/>
      <c r="C50" s="10"/>
      <c r="D50" s="10"/>
      <c r="E50" s="40">
        <f>G213</f>
        <v>248854.25</v>
      </c>
      <c r="F50" s="41">
        <f>G214</f>
        <v>0</v>
      </c>
      <c r="G50" s="41">
        <f>G215</f>
        <v>0</v>
      </c>
      <c r="H50" s="41">
        <f t="shared" si="1"/>
        <v>248854.25</v>
      </c>
      <c r="I50" s="40">
        <f>J211</f>
        <v>102568.86</v>
      </c>
      <c r="J50" s="41">
        <f>K211</f>
        <v>9954.17</v>
      </c>
      <c r="K50" s="41">
        <f>L215</f>
        <v>0</v>
      </c>
      <c r="L50" s="41">
        <f t="shared" si="2"/>
        <v>112523.03</v>
      </c>
      <c r="M50" s="42">
        <f t="shared" si="3"/>
        <v>136331.22</v>
      </c>
    </row>
    <row r="51" spans="1:13" x14ac:dyDescent="0.2">
      <c r="A51" s="102" t="s">
        <v>233</v>
      </c>
      <c r="B51" s="10"/>
      <c r="C51" s="10"/>
      <c r="D51" s="10"/>
      <c r="E51" s="40">
        <f>G227</f>
        <v>16385.18</v>
      </c>
      <c r="F51" s="41">
        <f>G228</f>
        <v>0</v>
      </c>
      <c r="G51" s="41">
        <f>G229</f>
        <v>0</v>
      </c>
      <c r="H51" s="41">
        <f t="shared" si="1"/>
        <v>16385.18</v>
      </c>
      <c r="I51" s="40">
        <f>J225</f>
        <v>16265.61</v>
      </c>
      <c r="J51" s="41">
        <f>K225</f>
        <v>119.57</v>
      </c>
      <c r="K51" s="41">
        <f>L229</f>
        <v>0</v>
      </c>
      <c r="L51" s="41">
        <f t="shared" si="2"/>
        <v>16385.18</v>
      </c>
      <c r="M51" s="42">
        <f t="shared" si="3"/>
        <v>0</v>
      </c>
    </row>
    <row r="52" spans="1:13" x14ac:dyDescent="0.2">
      <c r="A52" s="102" t="s">
        <v>105</v>
      </c>
      <c r="B52" s="10"/>
      <c r="C52" s="10"/>
      <c r="D52" s="10"/>
      <c r="E52" s="40">
        <f>G314</f>
        <v>412660.77999999997</v>
      </c>
      <c r="F52" s="41">
        <f>G315</f>
        <v>68753.81</v>
      </c>
      <c r="G52" s="41">
        <f>G316</f>
        <v>0</v>
      </c>
      <c r="H52" s="41">
        <f t="shared" si="1"/>
        <v>481414.58999999997</v>
      </c>
      <c r="I52" s="40">
        <f>J312</f>
        <v>406354.35</v>
      </c>
      <c r="J52" s="41">
        <f>K312</f>
        <v>12557.95</v>
      </c>
      <c r="K52" s="41">
        <f>L316</f>
        <v>0</v>
      </c>
      <c r="L52" s="41">
        <f t="shared" si="2"/>
        <v>418912.3</v>
      </c>
      <c r="M52" s="42">
        <f t="shared" si="3"/>
        <v>62502.289999999979</v>
      </c>
    </row>
    <row r="53" spans="1:13" x14ac:dyDescent="0.2">
      <c r="A53" s="102" t="s">
        <v>47</v>
      </c>
      <c r="B53" s="10"/>
      <c r="C53" s="10"/>
      <c r="D53" s="10"/>
      <c r="E53" s="40">
        <f>G344</f>
        <v>35574.51</v>
      </c>
      <c r="F53" s="41">
        <f>G345</f>
        <v>3915</v>
      </c>
      <c r="G53" s="41">
        <f>G346</f>
        <v>0</v>
      </c>
      <c r="H53" s="41">
        <f t="shared" si="1"/>
        <v>39489.51</v>
      </c>
      <c r="I53" s="40">
        <f>J342</f>
        <v>35574.51</v>
      </c>
      <c r="J53" s="41">
        <f>K342</f>
        <v>555.61</v>
      </c>
      <c r="K53" s="41">
        <f>L346</f>
        <v>0</v>
      </c>
      <c r="L53" s="41">
        <f t="shared" si="2"/>
        <v>36130.120000000003</v>
      </c>
      <c r="M53" s="42">
        <f t="shared" si="3"/>
        <v>3359.3899999999994</v>
      </c>
    </row>
    <row r="54" spans="1:13" x14ac:dyDescent="0.2">
      <c r="A54" s="102" t="s">
        <v>254</v>
      </c>
      <c r="B54" s="10"/>
      <c r="C54" s="10"/>
      <c r="D54" s="10"/>
      <c r="E54" s="40">
        <f>G355</f>
        <v>2120</v>
      </c>
      <c r="F54" s="41">
        <f>G356</f>
        <v>0</v>
      </c>
      <c r="G54" s="41">
        <f>G357</f>
        <v>0</v>
      </c>
      <c r="H54" s="41">
        <f t="shared" si="1"/>
        <v>2120</v>
      </c>
      <c r="I54" s="40">
        <f>J353</f>
        <v>1542.66</v>
      </c>
      <c r="J54" s="41">
        <f>K353</f>
        <v>212</v>
      </c>
      <c r="K54" s="41">
        <f>L357</f>
        <v>0</v>
      </c>
      <c r="L54" s="41">
        <f t="shared" si="2"/>
        <v>1754.66</v>
      </c>
      <c r="M54" s="42">
        <f t="shared" si="3"/>
        <v>365.33999999999992</v>
      </c>
    </row>
    <row r="55" spans="1:13" x14ac:dyDescent="0.2">
      <c r="A55" s="102" t="s">
        <v>26</v>
      </c>
      <c r="B55" s="10"/>
      <c r="C55" s="10"/>
      <c r="D55" s="10"/>
      <c r="E55" s="40">
        <f>G373</f>
        <v>91268</v>
      </c>
      <c r="F55" s="41">
        <f>G374</f>
        <v>0</v>
      </c>
      <c r="G55" s="41">
        <f>G375</f>
        <v>0</v>
      </c>
      <c r="H55" s="41">
        <f t="shared" si="1"/>
        <v>91268</v>
      </c>
      <c r="I55" s="40">
        <f>J371</f>
        <v>25510.42</v>
      </c>
      <c r="J55" s="41">
        <f>K371</f>
        <v>30422.640000000007</v>
      </c>
      <c r="K55" s="41">
        <f>L375</f>
        <v>0</v>
      </c>
      <c r="L55" s="41">
        <f t="shared" si="2"/>
        <v>55933.060000000005</v>
      </c>
      <c r="M55" s="42">
        <f t="shared" si="3"/>
        <v>35334.939999999995</v>
      </c>
    </row>
    <row r="56" spans="1:13" x14ac:dyDescent="0.2">
      <c r="A56" s="102" t="s">
        <v>123</v>
      </c>
      <c r="B56" s="10"/>
      <c r="C56" s="10"/>
      <c r="D56" s="10"/>
      <c r="E56" s="40">
        <f>G403</f>
        <v>23785.370000000006</v>
      </c>
      <c r="F56" s="41">
        <f>G404</f>
        <v>562.5</v>
      </c>
      <c r="G56" s="41">
        <f>G405</f>
        <v>0</v>
      </c>
      <c r="H56" s="41">
        <f t="shared" si="1"/>
        <v>24347.870000000006</v>
      </c>
      <c r="I56" s="40">
        <f>J401</f>
        <v>19899.300000000007</v>
      </c>
      <c r="J56" s="41">
        <f>K401</f>
        <v>2510.2399999999998</v>
      </c>
      <c r="K56" s="41">
        <f>L405</f>
        <v>0</v>
      </c>
      <c r="L56" s="41">
        <f t="shared" si="2"/>
        <v>22409.540000000008</v>
      </c>
      <c r="M56" s="42">
        <f t="shared" si="3"/>
        <v>1938.3299999999981</v>
      </c>
    </row>
    <row r="57" spans="1:13" x14ac:dyDescent="0.2">
      <c r="A57" s="102" t="s">
        <v>124</v>
      </c>
      <c r="B57" s="10"/>
      <c r="C57" s="10"/>
      <c r="D57" s="10"/>
      <c r="E57" s="40">
        <f>G429</f>
        <v>17131.650000000001</v>
      </c>
      <c r="F57" s="41">
        <f>G430</f>
        <v>0</v>
      </c>
      <c r="G57" s="41">
        <f>G431</f>
        <v>0</v>
      </c>
      <c r="H57" s="41">
        <f t="shared" si="1"/>
        <v>17131.650000000001</v>
      </c>
      <c r="I57" s="40">
        <f>J427</f>
        <v>16997.390000000003</v>
      </c>
      <c r="J57" s="41">
        <f>K427</f>
        <v>125.97</v>
      </c>
      <c r="K57" s="41">
        <f>L431</f>
        <v>0</v>
      </c>
      <c r="L57" s="41">
        <f t="shared" si="2"/>
        <v>17123.360000000004</v>
      </c>
      <c r="M57" s="42">
        <f t="shared" si="3"/>
        <v>8.2899999999972351</v>
      </c>
    </row>
    <row r="58" spans="1:13" ht="12" customHeight="1" x14ac:dyDescent="0.2">
      <c r="A58" s="106" t="s">
        <v>14</v>
      </c>
      <c r="B58" s="10"/>
      <c r="C58" s="10"/>
      <c r="D58" s="46"/>
      <c r="E58" s="44">
        <f ca="1">SUM(E48:INDIRECT(ADDRESS(ROW()-1,COLUMN())))</f>
        <v>902758.52</v>
      </c>
      <c r="F58" s="47">
        <f ca="1">SUM(F48:INDIRECT(ADDRESS(ROW()-1,COLUMN())))</f>
        <v>73231.31</v>
      </c>
      <c r="G58" s="47">
        <f ca="1">SUM(G48:INDIRECT(ADDRESS(ROW()-1,COLUMN())))</f>
        <v>0</v>
      </c>
      <c r="H58" s="47">
        <f ca="1">SUM(H48:INDIRECT(ADDRESS(ROW()-1,COLUMN())))</f>
        <v>975989.83000000007</v>
      </c>
      <c r="I58" s="44">
        <f ca="1">SUM(I48:INDIRECT(ADDRESS(ROW()-1,COLUMN())))</f>
        <v>640206.06000000017</v>
      </c>
      <c r="J58" s="47">
        <f ca="1">SUM(J48:INDIRECT(ADDRESS(ROW()-1,COLUMN())))</f>
        <v>56458.150000000009</v>
      </c>
      <c r="K58" s="47">
        <f ca="1">SUM(K48:INDIRECT(ADDRESS(ROW()-1,COLUMN())))</f>
        <v>0</v>
      </c>
      <c r="L58" s="47">
        <f ca="1">SUM(L48:INDIRECT(ADDRESS(ROW()-1,COLUMN())))</f>
        <v>696664.21000000008</v>
      </c>
      <c r="M58" s="48">
        <f ca="1">SUM(M48:INDIRECT(ADDRESS(ROW()-1,COLUMN())))</f>
        <v>279325.61999999994</v>
      </c>
    </row>
    <row r="59" spans="1:13" ht="12" customHeight="1" x14ac:dyDescent="0.2">
      <c r="A59" s="106"/>
      <c r="B59" s="10"/>
      <c r="C59" s="10"/>
      <c r="D59" s="46"/>
      <c r="E59" s="49"/>
      <c r="F59" s="50"/>
      <c r="G59" s="50"/>
      <c r="H59" s="50"/>
      <c r="I59" s="49"/>
      <c r="J59" s="50"/>
      <c r="K59" s="50"/>
      <c r="L59" s="50"/>
      <c r="M59" s="51"/>
    </row>
    <row r="60" spans="1:13" ht="12" customHeight="1" x14ac:dyDescent="0.2">
      <c r="A60" s="156" t="s">
        <v>41</v>
      </c>
      <c r="B60" s="10"/>
      <c r="C60" s="10"/>
      <c r="D60" s="10"/>
      <c r="E60" s="49"/>
      <c r="F60" s="50"/>
      <c r="G60" s="50"/>
      <c r="H60" s="50"/>
      <c r="I60" s="49"/>
      <c r="J60" s="50"/>
      <c r="K60" s="50"/>
      <c r="L60" s="50"/>
      <c r="M60" s="51"/>
    </row>
    <row r="61" spans="1:13" ht="12" customHeight="1" x14ac:dyDescent="0.2">
      <c r="A61" s="102" t="s">
        <v>264</v>
      </c>
      <c r="B61" s="10"/>
      <c r="C61" s="10"/>
      <c r="D61" s="10"/>
      <c r="E61" s="49"/>
      <c r="F61" s="50"/>
      <c r="G61" s="50"/>
      <c r="H61" s="50">
        <f>E61+F61-G61</f>
        <v>0</v>
      </c>
      <c r="I61" s="49"/>
      <c r="J61" s="50"/>
      <c r="K61" s="50"/>
      <c r="L61" s="50"/>
      <c r="M61" s="51">
        <f>H61-L61</f>
        <v>0</v>
      </c>
    </row>
    <row r="62" spans="1:13" ht="12" customHeight="1" x14ac:dyDescent="0.2">
      <c r="A62" s="106" t="s">
        <v>229</v>
      </c>
      <c r="B62" s="10"/>
      <c r="C62" s="10"/>
      <c r="D62" s="46"/>
      <c r="E62" s="49">
        <f>G442</f>
        <v>356</v>
      </c>
      <c r="F62" s="50">
        <f>G443</f>
        <v>0</v>
      </c>
      <c r="G62" s="50">
        <f>G444</f>
        <v>0</v>
      </c>
      <c r="H62" s="50">
        <f>E62+F62-G62</f>
        <v>356</v>
      </c>
      <c r="I62" s="49"/>
      <c r="J62" s="50"/>
      <c r="K62" s="50"/>
      <c r="L62" s="50"/>
      <c r="M62" s="51">
        <f>H62-L62</f>
        <v>356</v>
      </c>
    </row>
    <row r="63" spans="1:13" ht="12" customHeight="1" x14ac:dyDescent="0.2">
      <c r="A63" s="106" t="s">
        <v>14</v>
      </c>
      <c r="B63" s="10"/>
      <c r="C63" s="10"/>
      <c r="D63" s="46"/>
      <c r="E63" s="44">
        <f ca="1">SUM(E61:INDIRECT(ADDRESS(ROW()-1,COLUMN())))</f>
        <v>356</v>
      </c>
      <c r="F63" s="47">
        <f ca="1">SUM(F61:INDIRECT(ADDRESS(ROW()-1,COLUMN())))</f>
        <v>0</v>
      </c>
      <c r="G63" s="47">
        <f ca="1">SUM(G61:INDIRECT(ADDRESS(ROW()-1,COLUMN())))</f>
        <v>0</v>
      </c>
      <c r="H63" s="52">
        <f ca="1">SUM(H61:INDIRECT(ADDRESS(ROW()-1,COLUMN())))</f>
        <v>356</v>
      </c>
      <c r="I63" s="44">
        <f ca="1">SUM(I61:INDIRECT(ADDRESS(ROW()-1,COLUMN())))</f>
        <v>0</v>
      </c>
      <c r="J63" s="47">
        <f ca="1">SUM(J61:INDIRECT(ADDRESS(ROW()-1,COLUMN())))</f>
        <v>0</v>
      </c>
      <c r="K63" s="47">
        <f ca="1">SUM(K61:INDIRECT(ADDRESS(ROW()-1,COLUMN())))</f>
        <v>0</v>
      </c>
      <c r="L63" s="47">
        <f ca="1">SUM(L61:INDIRECT(ADDRESS(ROW()-1,COLUMN())))</f>
        <v>0</v>
      </c>
      <c r="M63" s="48">
        <f ca="1">SUM(M61:INDIRECT(ADDRESS(ROW()-1,COLUMN())))</f>
        <v>356</v>
      </c>
    </row>
    <row r="64" spans="1:13" ht="12" customHeight="1" x14ac:dyDescent="0.2">
      <c r="A64" s="107"/>
      <c r="B64" s="18"/>
      <c r="C64" s="18"/>
      <c r="D64" s="53"/>
      <c r="E64" s="54"/>
      <c r="F64" s="54"/>
      <c r="G64" s="41"/>
      <c r="H64" s="55"/>
      <c r="I64" s="56"/>
      <c r="J64" s="41"/>
      <c r="K64" s="41"/>
      <c r="L64" s="57"/>
      <c r="M64" s="57"/>
    </row>
    <row r="65" spans="1:13" s="58" customFormat="1" ht="20.100000000000001" customHeight="1" x14ac:dyDescent="0.2">
      <c r="A65" s="108" t="s">
        <v>42</v>
      </c>
      <c r="B65" s="46"/>
      <c r="C65" s="46"/>
      <c r="D65" s="46"/>
      <c r="E65" s="49">
        <f t="shared" ref="E65:M65" ca="1" si="4">E45+E58+E63</f>
        <v>926213.61</v>
      </c>
      <c r="F65" s="50">
        <f t="shared" ca="1" si="4"/>
        <v>73231.31</v>
      </c>
      <c r="G65" s="50">
        <f t="shared" ca="1" si="4"/>
        <v>0</v>
      </c>
      <c r="H65" s="50">
        <f t="shared" ca="1" si="4"/>
        <v>999444.92</v>
      </c>
      <c r="I65" s="49">
        <f t="shared" ca="1" si="4"/>
        <v>660021.93000000017</v>
      </c>
      <c r="J65" s="50">
        <f t="shared" ca="1" si="4"/>
        <v>57714.890000000007</v>
      </c>
      <c r="K65" s="50">
        <f t="shared" ca="1" si="4"/>
        <v>0</v>
      </c>
      <c r="L65" s="50">
        <f t="shared" ca="1" si="4"/>
        <v>717736.82000000007</v>
      </c>
      <c r="M65" s="51">
        <f t="shared" ca="1" si="4"/>
        <v>281708.09999999992</v>
      </c>
    </row>
    <row r="66" spans="1:13" ht="12" customHeight="1" x14ac:dyDescent="0.2">
      <c r="A66" s="109"/>
      <c r="B66" s="37"/>
      <c r="C66" s="37"/>
      <c r="D66" s="60"/>
      <c r="E66" s="61"/>
      <c r="F66" s="62"/>
      <c r="G66" s="62"/>
      <c r="H66" s="62"/>
      <c r="I66" s="61"/>
      <c r="J66" s="62"/>
      <c r="K66" s="62"/>
      <c r="L66" s="62"/>
      <c r="M66" s="63"/>
    </row>
    <row r="67" spans="1:13" ht="12" customHeight="1" x14ac:dyDescent="0.2">
      <c r="A67" s="110"/>
      <c r="B67" s="10"/>
      <c r="C67" s="10"/>
      <c r="D67" s="46"/>
      <c r="E67" s="50"/>
      <c r="F67" s="50"/>
      <c r="G67" s="50"/>
      <c r="H67" s="50"/>
      <c r="I67" s="50"/>
      <c r="J67" s="50"/>
      <c r="K67" s="50"/>
      <c r="L67" s="50"/>
      <c r="M67" s="50"/>
    </row>
    <row r="68" spans="1:13" ht="12" customHeight="1" x14ac:dyDescent="0.2">
      <c r="B68" s="154" t="str">
        <f>G4 &amp; "   -   Ventilation des Dotations aux amortissements de l'exercice " &amp; TEXT(G6,"aaaa") &amp; "/" &amp;TEXT(I6,"aaaa")</f>
        <v>Société Test   -   Ventilation des Dotations aux amortissements de l'exercice 2012/2013</v>
      </c>
      <c r="C68" s="46"/>
      <c r="D68" s="46"/>
      <c r="E68" s="67"/>
      <c r="F68" s="67"/>
      <c r="G68" s="67"/>
      <c r="H68" s="67"/>
      <c r="I68" s="67"/>
      <c r="J68" s="67"/>
      <c r="K68" s="67"/>
      <c r="L68" s="67"/>
      <c r="M68" s="67"/>
    </row>
    <row r="69" spans="1:13" ht="12" customHeight="1" x14ac:dyDescent="0.2">
      <c r="A69" s="110"/>
      <c r="B69" s="10"/>
      <c r="C69" s="10"/>
      <c r="D69" s="46"/>
      <c r="E69" s="50"/>
      <c r="F69" s="50"/>
      <c r="G69" s="50"/>
      <c r="H69" s="50"/>
      <c r="I69" s="50"/>
      <c r="J69" s="50"/>
      <c r="K69" s="50"/>
      <c r="L69" s="50"/>
      <c r="M69" s="50"/>
    </row>
    <row r="70" spans="1:13" ht="12" customHeight="1" x14ac:dyDescent="0.2">
      <c r="A70" s="110"/>
      <c r="B70" s="10"/>
      <c r="C70" s="10"/>
      <c r="D70" s="46"/>
      <c r="E70" s="50"/>
      <c r="F70" s="50"/>
      <c r="G70" s="50"/>
      <c r="H70" s="50"/>
      <c r="I70" s="50"/>
      <c r="J70" s="50"/>
      <c r="K70" s="50"/>
      <c r="L70" s="50"/>
      <c r="M70" s="50"/>
    </row>
    <row r="71" spans="1:13" ht="12" customHeight="1" x14ac:dyDescent="0.2">
      <c r="A71" s="110"/>
      <c r="B71" s="10"/>
      <c r="C71" s="10"/>
      <c r="D71" s="46"/>
      <c r="E71" s="50"/>
      <c r="F71" s="50"/>
      <c r="G71" s="50"/>
      <c r="H71" s="50"/>
      <c r="I71" s="50"/>
      <c r="J71" s="50"/>
      <c r="K71" s="50"/>
      <c r="L71" s="50"/>
      <c r="M71" s="50"/>
    </row>
    <row r="72" spans="1:13" ht="12" customHeight="1" x14ac:dyDescent="0.2">
      <c r="D72" s="64"/>
      <c r="E72" s="32"/>
      <c r="F72" s="32"/>
      <c r="G72" s="65"/>
      <c r="H72" s="44"/>
      <c r="I72" s="47"/>
      <c r="J72" s="52"/>
      <c r="L72" s="50"/>
      <c r="M72" s="50"/>
    </row>
    <row r="73" spans="1:13" ht="12" customHeight="1" x14ac:dyDescent="0.2">
      <c r="D73" s="43"/>
      <c r="E73" s="10"/>
      <c r="F73" s="10"/>
      <c r="G73" s="46"/>
      <c r="H73" s="66" t="s">
        <v>130</v>
      </c>
      <c r="I73" s="67"/>
      <c r="J73" s="68"/>
    </row>
    <row r="74" spans="1:13" ht="12" customHeight="1" x14ac:dyDescent="0.2">
      <c r="D74" s="43"/>
      <c r="E74" s="10"/>
      <c r="F74" s="10"/>
      <c r="G74" s="69" t="s">
        <v>164</v>
      </c>
      <c r="H74" s="36" t="s">
        <v>126</v>
      </c>
      <c r="I74" s="70" t="s">
        <v>127</v>
      </c>
      <c r="J74" s="71" t="s">
        <v>128</v>
      </c>
    </row>
    <row r="75" spans="1:13" ht="12" customHeight="1" x14ac:dyDescent="0.2">
      <c r="D75" s="43"/>
      <c r="E75" s="10"/>
      <c r="F75" s="10"/>
      <c r="G75" s="46"/>
      <c r="H75" s="72"/>
      <c r="I75" s="73"/>
      <c r="J75" s="74"/>
    </row>
    <row r="76" spans="1:13" ht="12" customHeight="1" x14ac:dyDescent="0.2">
      <c r="D76" s="43"/>
      <c r="E76" s="10"/>
      <c r="F76" s="10"/>
      <c r="G76" s="46"/>
      <c r="H76" s="36"/>
      <c r="I76" s="70"/>
      <c r="J76" s="71"/>
    </row>
    <row r="77" spans="1:13" x14ac:dyDescent="0.2">
      <c r="D77" s="236" t="s">
        <v>40</v>
      </c>
      <c r="E77" s="10"/>
      <c r="F77" s="10"/>
      <c r="G77" s="10"/>
      <c r="H77" s="12"/>
      <c r="I77" s="13"/>
      <c r="J77" s="14"/>
    </row>
    <row r="78" spans="1:13" x14ac:dyDescent="0.2">
      <c r="D78" s="34" t="s">
        <v>46</v>
      </c>
      <c r="E78" s="10"/>
      <c r="F78" s="10"/>
      <c r="G78" s="18">
        <v>280500</v>
      </c>
      <c r="H78" s="40">
        <f>I78+J78</f>
        <v>1256.74</v>
      </c>
      <c r="I78" s="41">
        <f>SUMIF($H157:$H171,"L",K$157:K$171)</f>
        <v>1256.74</v>
      </c>
      <c r="J78" s="57">
        <f>SUMIF($H157:$H171,"D",K$157:K$171)</f>
        <v>0</v>
      </c>
    </row>
    <row r="79" spans="1:13" x14ac:dyDescent="0.2">
      <c r="D79" s="43" t="s">
        <v>14</v>
      </c>
      <c r="E79" s="10"/>
      <c r="F79" s="10"/>
      <c r="G79" s="18">
        <v>681110</v>
      </c>
      <c r="H79" s="44">
        <f>SUM(H78:H78)</f>
        <v>1256.74</v>
      </c>
      <c r="I79" s="4">
        <f>SUM(I78:I78)</f>
        <v>1256.74</v>
      </c>
      <c r="J79" s="7">
        <f>SUM(J78:J78)</f>
        <v>0</v>
      </c>
    </row>
    <row r="80" spans="1:13" x14ac:dyDescent="0.2">
      <c r="D80" s="34"/>
      <c r="E80" s="10"/>
      <c r="F80" s="10"/>
      <c r="G80" s="10"/>
      <c r="H80" s="40"/>
      <c r="I80" s="41"/>
      <c r="J80" s="57"/>
    </row>
    <row r="81" spans="1:13" x14ac:dyDescent="0.2">
      <c r="D81" s="236" t="s">
        <v>48</v>
      </c>
      <c r="E81" s="10"/>
      <c r="F81" s="10"/>
      <c r="G81" s="10"/>
      <c r="H81" s="40"/>
      <c r="I81" s="41"/>
      <c r="J81" s="57"/>
    </row>
    <row r="82" spans="1:13" x14ac:dyDescent="0.2">
      <c r="D82" s="27" t="s">
        <v>212</v>
      </c>
      <c r="E82" s="10"/>
      <c r="F82" s="10"/>
      <c r="G82" s="10">
        <v>281200</v>
      </c>
      <c r="H82" s="40">
        <f t="shared" ref="H82:H90" si="5">I82+J82</f>
        <v>0</v>
      </c>
      <c r="I82" s="41">
        <f>SUMIF($H192:$H198,"L",K$192:K$198)</f>
        <v>0</v>
      </c>
      <c r="J82" s="57">
        <f>SUMIF($H192:$H198,"D",K$192:K$198)</f>
        <v>0</v>
      </c>
    </row>
    <row r="83" spans="1:13" x14ac:dyDescent="0.2">
      <c r="D83" s="34" t="s">
        <v>172</v>
      </c>
      <c r="E83" s="10"/>
      <c r="F83" s="10"/>
      <c r="G83" s="18">
        <v>281310</v>
      </c>
      <c r="H83" s="40">
        <f t="shared" si="5"/>
        <v>9954.17</v>
      </c>
      <c r="I83" s="41">
        <f>SUMIF($H209:$H210,"L",K$209:K$210)</f>
        <v>9954.17</v>
      </c>
      <c r="J83" s="57">
        <f>SUMIF($H209:$H210,"D",K$209:K$210)</f>
        <v>0</v>
      </c>
    </row>
    <row r="84" spans="1:13" x14ac:dyDescent="0.2">
      <c r="D84" s="34" t="s">
        <v>234</v>
      </c>
      <c r="E84" s="10"/>
      <c r="F84" s="10"/>
      <c r="G84" s="18">
        <v>281350</v>
      </c>
      <c r="H84" s="40">
        <f t="shared" si="5"/>
        <v>119.57</v>
      </c>
      <c r="I84" s="41">
        <f>SUMIF($H220:$H224,"L",K$220:K$224)</f>
        <v>119.57</v>
      </c>
      <c r="J84" s="57">
        <f>SUMIF($H220:$H224,"D",K$220:K$224)</f>
        <v>0</v>
      </c>
    </row>
    <row r="85" spans="1:13" x14ac:dyDescent="0.2">
      <c r="D85" s="34" t="s">
        <v>105</v>
      </c>
      <c r="E85" s="10"/>
      <c r="F85" s="10"/>
      <c r="G85" s="18">
        <v>281540</v>
      </c>
      <c r="H85" s="40">
        <f t="shared" si="5"/>
        <v>12557.949999999999</v>
      </c>
      <c r="I85" s="41">
        <f>SUMIF($H234:$H311,"L",K$234:K$311)</f>
        <v>12272.279999999999</v>
      </c>
      <c r="J85" s="57">
        <f>SUMIF($H234:$H311,"D",K$234:K$311)</f>
        <v>285.67</v>
      </c>
    </row>
    <row r="86" spans="1:13" x14ac:dyDescent="0.2">
      <c r="D86" s="34" t="s">
        <v>47</v>
      </c>
      <c r="E86" s="10"/>
      <c r="F86" s="10"/>
      <c r="G86" s="18">
        <v>281541</v>
      </c>
      <c r="H86" s="40">
        <f t="shared" si="5"/>
        <v>555.61</v>
      </c>
      <c r="I86" s="41">
        <f>SUMIF($H321:$H341,"L",K$321:K$341)</f>
        <v>555.61</v>
      </c>
      <c r="J86" s="57">
        <f>SUMIF($H321:$H341,"D",K$321:K$341)</f>
        <v>0</v>
      </c>
    </row>
    <row r="87" spans="1:13" x14ac:dyDescent="0.2">
      <c r="D87" s="34" t="s">
        <v>254</v>
      </c>
      <c r="E87" s="10"/>
      <c r="F87" s="10"/>
      <c r="G87" s="18">
        <v>281810</v>
      </c>
      <c r="H87" s="40">
        <f t="shared" si="5"/>
        <v>212</v>
      </c>
      <c r="I87" s="41">
        <f>SUMIF($H351:$H352,"L",K$351:K$352)</f>
        <v>212</v>
      </c>
      <c r="J87" s="57">
        <f>SUMIF($H351:$H352,"D",K$351:K$352)</f>
        <v>0</v>
      </c>
    </row>
    <row r="88" spans="1:13" x14ac:dyDescent="0.2">
      <c r="D88" s="34" t="s">
        <v>26</v>
      </c>
      <c r="E88" s="10"/>
      <c r="F88" s="10"/>
      <c r="G88" s="18">
        <v>281820</v>
      </c>
      <c r="H88" s="40">
        <f>I88+J88</f>
        <v>30422.640000000007</v>
      </c>
      <c r="I88" s="41">
        <f>SUMIF($H362:$H370,"L",K$362:K$370)</f>
        <v>30422.640000000007</v>
      </c>
      <c r="J88" s="57">
        <f>SUMIF($H362:$H370,"D",K$362:K$370)</f>
        <v>0</v>
      </c>
    </row>
    <row r="89" spans="1:13" x14ac:dyDescent="0.2">
      <c r="D89" s="34" t="s">
        <v>123</v>
      </c>
      <c r="E89" s="10"/>
      <c r="F89" s="10"/>
      <c r="G89" s="18">
        <v>281830</v>
      </c>
      <c r="H89" s="40">
        <f t="shared" si="5"/>
        <v>2510.2399999999998</v>
      </c>
      <c r="I89" s="41">
        <f>SUMIF($H380:$H400,"L",K$380:K$400)</f>
        <v>0</v>
      </c>
      <c r="J89" s="57">
        <f>SUMIF($H380:$H400,"D",K$380:K$400)</f>
        <v>2510.2399999999998</v>
      </c>
    </row>
    <row r="90" spans="1:13" x14ac:dyDescent="0.2">
      <c r="D90" s="34" t="s">
        <v>124</v>
      </c>
      <c r="E90" s="10"/>
      <c r="F90" s="10"/>
      <c r="G90" s="18">
        <v>281840</v>
      </c>
      <c r="H90" s="40">
        <f t="shared" si="5"/>
        <v>125.97</v>
      </c>
      <c r="I90" s="41">
        <f>SUMIF($H410:$H426,"L",K$410:K$426)</f>
        <v>125.97</v>
      </c>
      <c r="J90" s="57">
        <f>SUMIF($H410:$H426,"D",K$410:K$426)</f>
        <v>0</v>
      </c>
    </row>
    <row r="91" spans="1:13" ht="12" customHeight="1" x14ac:dyDescent="0.2">
      <c r="D91" s="43" t="s">
        <v>14</v>
      </c>
      <c r="E91" s="10"/>
      <c r="F91" s="10"/>
      <c r="G91" s="69">
        <v>681120</v>
      </c>
      <c r="H91" s="44">
        <f>SUM(H82:H90)</f>
        <v>56458.15</v>
      </c>
      <c r="I91" s="47">
        <f>SUM(I82:I90)</f>
        <v>53662.240000000005</v>
      </c>
      <c r="J91" s="52">
        <f>SUM(J82:J90)</f>
        <v>2795.91</v>
      </c>
    </row>
    <row r="92" spans="1:13" ht="12" customHeight="1" x14ac:dyDescent="0.2">
      <c r="D92" s="43"/>
      <c r="E92" s="10"/>
      <c r="F92" s="10"/>
      <c r="G92" s="46"/>
      <c r="H92" s="49"/>
      <c r="I92" s="50"/>
      <c r="J92" s="75"/>
      <c r="L92" s="50"/>
      <c r="M92" s="50"/>
    </row>
    <row r="93" spans="1:13" ht="12" customHeight="1" x14ac:dyDescent="0.2">
      <c r="D93" s="237" t="s">
        <v>129</v>
      </c>
      <c r="E93" s="10"/>
      <c r="F93" s="10"/>
      <c r="G93" s="46"/>
      <c r="H93" s="49">
        <f>H79+H91</f>
        <v>57714.89</v>
      </c>
      <c r="I93" s="50">
        <f>I79+I91</f>
        <v>54918.98</v>
      </c>
      <c r="J93" s="75">
        <f>J79+J91</f>
        <v>2795.91</v>
      </c>
      <c r="L93" s="50"/>
      <c r="M93" s="50"/>
    </row>
    <row r="94" spans="1:13" ht="12" customHeight="1" x14ac:dyDescent="0.2">
      <c r="D94" s="59"/>
      <c r="E94" s="37"/>
      <c r="F94" s="37"/>
      <c r="G94" s="60"/>
      <c r="H94" s="61"/>
      <c r="I94" s="62"/>
      <c r="J94" s="76"/>
      <c r="L94" s="50"/>
      <c r="M94" s="50"/>
    </row>
    <row r="95" spans="1:13" ht="12" customHeight="1" x14ac:dyDescent="0.2">
      <c r="A95" s="110"/>
      <c r="B95" s="10"/>
      <c r="C95" s="10"/>
      <c r="D95" s="46"/>
      <c r="E95" s="50"/>
      <c r="F95" s="50"/>
      <c r="G95" s="50"/>
      <c r="H95" s="50"/>
      <c r="I95" s="50"/>
      <c r="J95" s="50"/>
      <c r="K95" s="50"/>
      <c r="L95" s="50"/>
      <c r="M95" s="50"/>
    </row>
    <row r="96" spans="1:13" ht="12" customHeight="1" x14ac:dyDescent="0.2">
      <c r="A96" s="110"/>
      <c r="B96" s="10"/>
      <c r="C96" s="10"/>
      <c r="D96" s="46"/>
      <c r="I96" s="50"/>
      <c r="J96" s="50"/>
      <c r="K96" s="50"/>
      <c r="L96" s="50"/>
      <c r="M96" s="50"/>
    </row>
    <row r="97" spans="1:13" ht="12" customHeight="1" x14ac:dyDescent="0.2">
      <c r="A97" s="110"/>
      <c r="I97" s="50"/>
      <c r="J97" s="50"/>
      <c r="K97" s="50"/>
      <c r="L97" s="50"/>
      <c r="M97" s="50"/>
    </row>
    <row r="98" spans="1:13" ht="12" customHeight="1" x14ac:dyDescent="0.2">
      <c r="A98" s="110"/>
      <c r="E98" s="124" t="s">
        <v>277</v>
      </c>
      <c r="F98" s="32"/>
      <c r="G98" s="32"/>
      <c r="H98" s="32"/>
      <c r="I98" s="125"/>
      <c r="J98" s="50"/>
      <c r="K98" s="50"/>
      <c r="L98" s="50"/>
      <c r="M98" s="50"/>
    </row>
    <row r="99" spans="1:13" ht="12" customHeight="1" x14ac:dyDescent="0.2">
      <c r="A99" s="110"/>
      <c r="E99" s="231" t="s">
        <v>271</v>
      </c>
      <c r="F99" s="232"/>
      <c r="G99" s="18" t="s">
        <v>269</v>
      </c>
      <c r="H99" s="18"/>
      <c r="I99" s="75">
        <f>SUMIF($C$155:$C$446,G99,$K$155:$K$446)</f>
        <v>31161.390000000007</v>
      </c>
      <c r="J99" s="50"/>
      <c r="K99" s="50"/>
      <c r="L99" s="50"/>
      <c r="M99" s="50"/>
    </row>
    <row r="100" spans="1:13" ht="12" customHeight="1" x14ac:dyDescent="0.2">
      <c r="A100" s="110"/>
      <c r="E100" s="231" t="s">
        <v>272</v>
      </c>
      <c r="F100" s="232"/>
      <c r="G100" s="18" t="s">
        <v>8</v>
      </c>
      <c r="H100" s="18"/>
      <c r="I100" s="75">
        <f>SUMIF($C$155:$C$446,G100,$K$155:$K$446)</f>
        <v>12557.95</v>
      </c>
      <c r="J100" s="50"/>
      <c r="K100" s="50"/>
      <c r="L100" s="50"/>
      <c r="M100" s="50"/>
    </row>
    <row r="101" spans="1:13" ht="12" customHeight="1" x14ac:dyDescent="0.2">
      <c r="A101" s="110"/>
      <c r="B101" s="10"/>
      <c r="C101" s="10"/>
      <c r="D101" s="46"/>
      <c r="E101" s="231" t="s">
        <v>273</v>
      </c>
      <c r="F101" s="232"/>
      <c r="G101" s="18" t="s">
        <v>265</v>
      </c>
      <c r="H101" s="18"/>
      <c r="I101" s="75">
        <f>SUMIF($C$155:$C$446,G101,$K$155:$K$446)</f>
        <v>13995.550000000001</v>
      </c>
      <c r="J101" s="50"/>
      <c r="K101" s="50"/>
      <c r="L101" s="50"/>
      <c r="M101" s="50"/>
    </row>
    <row r="102" spans="1:13" ht="12" customHeight="1" x14ac:dyDescent="0.2">
      <c r="A102" s="110"/>
      <c r="B102" s="10"/>
      <c r="C102" s="10"/>
      <c r="D102" s="46"/>
      <c r="E102" s="59" t="s">
        <v>139</v>
      </c>
      <c r="F102" s="229"/>
      <c r="G102" s="21"/>
      <c r="H102" s="21"/>
      <c r="I102" s="230">
        <f>SUM(I99:I101)</f>
        <v>57714.890000000014</v>
      </c>
      <c r="J102" s="50"/>
      <c r="K102" s="50"/>
      <c r="L102" s="50"/>
      <c r="M102" s="50"/>
    </row>
    <row r="103" spans="1:13" ht="12" customHeight="1" x14ac:dyDescent="0.2">
      <c r="A103" s="110"/>
      <c r="B103" s="10"/>
      <c r="C103" s="10"/>
      <c r="D103" s="46"/>
      <c r="E103" s="46"/>
      <c r="F103" s="67"/>
      <c r="G103" s="13"/>
      <c r="H103" s="196"/>
      <c r="I103" s="50"/>
      <c r="J103" s="50"/>
      <c r="K103" s="50"/>
      <c r="L103" s="50"/>
      <c r="M103" s="50"/>
    </row>
    <row r="104" spans="1:13" ht="12" customHeight="1" x14ac:dyDescent="0.2">
      <c r="A104" s="110"/>
      <c r="B104" s="10"/>
      <c r="C104" s="10"/>
      <c r="D104" s="46"/>
      <c r="E104" s="46"/>
      <c r="F104" s="67"/>
      <c r="G104" s="13"/>
      <c r="H104" s="196"/>
      <c r="I104" s="50"/>
      <c r="J104" s="50"/>
      <c r="K104" s="50"/>
      <c r="L104" s="50"/>
      <c r="M104" s="50"/>
    </row>
    <row r="105" spans="1:13" ht="12" customHeight="1" x14ac:dyDescent="0.2">
      <c r="A105" s="110"/>
      <c r="B105" s="234">
        <f>IF(I102&lt;&gt;H93,"Attention !!! Certaines acquisitions n'ont pas été affectées dans les sections analytiques",)</f>
        <v>0</v>
      </c>
      <c r="C105" s="10"/>
      <c r="D105" s="46"/>
      <c r="E105" s="46"/>
      <c r="F105" s="67"/>
      <c r="G105" s="10"/>
      <c r="H105" s="235"/>
      <c r="I105" s="67"/>
      <c r="J105" s="67"/>
      <c r="K105" s="67"/>
      <c r="L105" s="67"/>
      <c r="M105" s="67"/>
    </row>
    <row r="106" spans="1:13" ht="12" customHeight="1" x14ac:dyDescent="0.2">
      <c r="A106" s="110"/>
      <c r="B106" s="10"/>
      <c r="C106" s="10"/>
      <c r="D106" s="46"/>
      <c r="E106" s="46"/>
      <c r="F106" s="67"/>
      <c r="G106" s="13"/>
      <c r="H106" s="196"/>
      <c r="I106" s="50"/>
      <c r="J106" s="50"/>
      <c r="K106" s="50"/>
      <c r="L106" s="50"/>
      <c r="M106" s="50"/>
    </row>
    <row r="107" spans="1:13" ht="12" customHeight="1" x14ac:dyDescent="0.2">
      <c r="A107" s="110"/>
      <c r="B107" s="10"/>
      <c r="C107" s="10"/>
      <c r="D107" s="46"/>
      <c r="E107" s="50"/>
      <c r="F107" s="50"/>
      <c r="G107" s="50"/>
      <c r="H107" s="50"/>
      <c r="I107" s="50"/>
      <c r="J107" s="50"/>
      <c r="K107" s="50"/>
      <c r="L107" s="50"/>
      <c r="M107" s="50"/>
    </row>
    <row r="108" spans="1:13" ht="12" customHeight="1" x14ac:dyDescent="0.2">
      <c r="A108" s="110"/>
      <c r="B108" s="10"/>
      <c r="C108" s="10"/>
      <c r="D108" s="46"/>
      <c r="E108" s="50"/>
      <c r="F108" s="50"/>
      <c r="G108" s="50"/>
      <c r="H108" s="50"/>
      <c r="I108" s="50"/>
      <c r="J108" s="50"/>
      <c r="K108" s="50"/>
      <c r="L108" s="50"/>
      <c r="M108" s="50"/>
    </row>
    <row r="109" spans="1:13" ht="12" customHeight="1" x14ac:dyDescent="0.2">
      <c r="A109" s="233" t="str">
        <f>G4 &amp; "   -   Exercice " &amp; TEXT(G6,"aaaa") &amp; "/" &amp;TEXT(I6,"aaaa") &amp; "   -   Dotations prévisionnelles sur 10 ans"</f>
        <v>Société Test   -   Exercice 2012/2013   -   Dotations prévisionnelles sur 10 ans</v>
      </c>
      <c r="B109" s="10"/>
      <c r="C109" s="10"/>
      <c r="D109" s="46"/>
      <c r="E109" s="67"/>
      <c r="F109" s="67"/>
      <c r="G109" s="67"/>
      <c r="H109" s="67"/>
      <c r="I109" s="67"/>
      <c r="J109" s="67"/>
      <c r="K109" s="67"/>
      <c r="L109" s="67"/>
      <c r="M109" s="67"/>
    </row>
    <row r="110" spans="1:13" ht="12" customHeight="1" x14ac:dyDescent="0.2">
      <c r="A110" s="110"/>
      <c r="B110" s="10"/>
      <c r="C110" s="10"/>
      <c r="D110" s="46"/>
      <c r="E110" s="50"/>
      <c r="F110" s="50"/>
      <c r="G110" s="50"/>
      <c r="H110" s="50"/>
      <c r="I110" s="50"/>
      <c r="J110" s="50"/>
      <c r="K110" s="50"/>
      <c r="L110" s="50"/>
      <c r="M110" s="50"/>
    </row>
    <row r="111" spans="1:13" ht="12" customHeight="1" x14ac:dyDescent="0.2">
      <c r="A111" s="110"/>
      <c r="B111" s="10"/>
      <c r="C111" s="10"/>
      <c r="D111" s="46"/>
      <c r="E111" s="50"/>
      <c r="F111" s="50"/>
      <c r="G111" s="50"/>
      <c r="H111" s="50"/>
      <c r="I111" s="50"/>
      <c r="J111" s="50"/>
      <c r="K111" s="50"/>
      <c r="L111" s="50"/>
      <c r="M111" s="50"/>
    </row>
    <row r="112" spans="1:13" ht="12" customHeight="1" x14ac:dyDescent="0.2">
      <c r="A112" s="110"/>
      <c r="B112" s="10"/>
      <c r="C112" s="10"/>
      <c r="D112" s="46"/>
      <c r="E112" s="50"/>
      <c r="F112" s="50"/>
      <c r="G112" s="50"/>
      <c r="H112" s="50"/>
      <c r="I112" s="50"/>
      <c r="J112" s="50"/>
      <c r="K112" s="50"/>
      <c r="L112" s="50"/>
      <c r="M112" s="50"/>
    </row>
    <row r="113" spans="1:13" ht="12" customHeight="1" x14ac:dyDescent="0.2">
      <c r="A113" s="110"/>
      <c r="B113" s="10"/>
      <c r="C113" s="10"/>
      <c r="D113" s="46"/>
      <c r="E113" s="50"/>
      <c r="F113" s="50"/>
      <c r="G113" s="50"/>
      <c r="H113" s="50"/>
      <c r="I113" s="50"/>
      <c r="J113" s="50"/>
      <c r="K113" s="50"/>
      <c r="L113" s="50"/>
      <c r="M113" s="50"/>
    </row>
    <row r="114" spans="1:13" ht="12" customHeight="1" x14ac:dyDescent="0.2">
      <c r="A114" s="124"/>
      <c r="B114" s="65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52"/>
    </row>
    <row r="115" spans="1:13" ht="12" customHeight="1" x14ac:dyDescent="0.2">
      <c r="A115" s="106"/>
      <c r="B115" s="10"/>
      <c r="C115" s="13"/>
      <c r="D115" s="197">
        <f>I6+1</f>
        <v>41456</v>
      </c>
      <c r="E115" s="197">
        <f t="shared" ref="E115:M115" si="6">D117+1</f>
        <v>41821</v>
      </c>
      <c r="F115" s="197">
        <f t="shared" si="6"/>
        <v>42186</v>
      </c>
      <c r="G115" s="197">
        <f t="shared" si="6"/>
        <v>42552</v>
      </c>
      <c r="H115" s="197">
        <f t="shared" si="6"/>
        <v>42917</v>
      </c>
      <c r="I115" s="197">
        <f t="shared" si="6"/>
        <v>43282</v>
      </c>
      <c r="J115" s="197">
        <f t="shared" si="6"/>
        <v>43647</v>
      </c>
      <c r="K115" s="197">
        <f t="shared" si="6"/>
        <v>44013</v>
      </c>
      <c r="L115" s="197">
        <f t="shared" si="6"/>
        <v>44378</v>
      </c>
      <c r="M115" s="198">
        <f t="shared" si="6"/>
        <v>44743</v>
      </c>
    </row>
    <row r="116" spans="1:13" ht="12" customHeight="1" x14ac:dyDescent="0.2">
      <c r="A116" s="106"/>
      <c r="B116" s="10"/>
      <c r="C116" s="13"/>
      <c r="D116" s="18" t="s">
        <v>11</v>
      </c>
      <c r="E116" s="18" t="s">
        <v>11</v>
      </c>
      <c r="F116" s="18" t="s">
        <v>11</v>
      </c>
      <c r="G116" s="18" t="s">
        <v>11</v>
      </c>
      <c r="H116" s="18" t="s">
        <v>11</v>
      </c>
      <c r="I116" s="18" t="s">
        <v>11</v>
      </c>
      <c r="J116" s="18" t="s">
        <v>11</v>
      </c>
      <c r="K116" s="18" t="s">
        <v>11</v>
      </c>
      <c r="L116" s="18" t="s">
        <v>11</v>
      </c>
      <c r="M116" s="55" t="s">
        <v>11</v>
      </c>
    </row>
    <row r="117" spans="1:13" ht="12" customHeight="1" x14ac:dyDescent="0.2">
      <c r="A117" s="106"/>
      <c r="B117" s="10"/>
      <c r="C117" s="13"/>
      <c r="D117" s="197">
        <f t="shared" ref="D117:M117" si="7">EOMONTH(D115,11)</f>
        <v>41820</v>
      </c>
      <c r="E117" s="197">
        <f t="shared" si="7"/>
        <v>42185</v>
      </c>
      <c r="F117" s="197">
        <f t="shared" si="7"/>
        <v>42551</v>
      </c>
      <c r="G117" s="197">
        <f t="shared" si="7"/>
        <v>42916</v>
      </c>
      <c r="H117" s="197">
        <f t="shared" si="7"/>
        <v>43281</v>
      </c>
      <c r="I117" s="197">
        <f t="shared" si="7"/>
        <v>43646</v>
      </c>
      <c r="J117" s="197">
        <f t="shared" si="7"/>
        <v>44012</v>
      </c>
      <c r="K117" s="197">
        <f t="shared" si="7"/>
        <v>44377</v>
      </c>
      <c r="L117" s="197">
        <f t="shared" si="7"/>
        <v>44742</v>
      </c>
      <c r="M117" s="198">
        <f t="shared" si="7"/>
        <v>45107</v>
      </c>
    </row>
    <row r="118" spans="1:13" ht="12" customHeight="1" x14ac:dyDescent="0.2">
      <c r="A118" s="106"/>
      <c r="B118" s="10"/>
      <c r="C118" s="13"/>
      <c r="D118" s="50"/>
      <c r="E118" s="50"/>
      <c r="F118" s="50"/>
      <c r="G118" s="50"/>
      <c r="H118" s="50"/>
      <c r="I118" s="50"/>
      <c r="J118" s="50"/>
      <c r="K118" s="50"/>
      <c r="L118" s="50"/>
      <c r="M118" s="75"/>
    </row>
    <row r="119" spans="1:13" ht="12" customHeight="1" x14ac:dyDescent="0.2">
      <c r="A119" s="106"/>
      <c r="B119" s="10"/>
      <c r="C119" s="13"/>
      <c r="D119" s="50"/>
      <c r="E119" s="50"/>
      <c r="F119" s="50"/>
      <c r="G119" s="50"/>
      <c r="H119" s="50"/>
      <c r="I119" s="50"/>
      <c r="J119" s="50"/>
      <c r="K119" s="50"/>
      <c r="L119" s="50"/>
      <c r="M119" s="75"/>
    </row>
    <row r="120" spans="1:13" ht="12" customHeight="1" x14ac:dyDescent="0.2">
      <c r="A120" s="102" t="s">
        <v>46</v>
      </c>
      <c r="B120" s="10"/>
      <c r="C120" s="10"/>
      <c r="D120" s="50">
        <f t="shared" ref="D120:M120" si="8">N172</f>
        <v>1198.3899999999999</v>
      </c>
      <c r="E120" s="50">
        <f t="shared" si="8"/>
        <v>828.09</v>
      </c>
      <c r="F120" s="50">
        <f t="shared" si="8"/>
        <v>0</v>
      </c>
      <c r="G120" s="50">
        <f t="shared" si="8"/>
        <v>0</v>
      </c>
      <c r="H120" s="50">
        <f t="shared" si="8"/>
        <v>0</v>
      </c>
      <c r="I120" s="50">
        <f t="shared" si="8"/>
        <v>0</v>
      </c>
      <c r="J120" s="50">
        <f t="shared" si="8"/>
        <v>0</v>
      </c>
      <c r="K120" s="50">
        <f t="shared" si="8"/>
        <v>0</v>
      </c>
      <c r="L120" s="50">
        <f t="shared" si="8"/>
        <v>0</v>
      </c>
      <c r="M120" s="75">
        <f t="shared" si="8"/>
        <v>0</v>
      </c>
    </row>
    <row r="121" spans="1:13" ht="12" customHeight="1" x14ac:dyDescent="0.2">
      <c r="A121" s="102" t="s">
        <v>270</v>
      </c>
      <c r="B121" s="10"/>
      <c r="C121" s="10"/>
      <c r="D121" s="50">
        <f t="shared" ref="D121:M121" si="9">N200</f>
        <v>0</v>
      </c>
      <c r="E121" s="50">
        <f t="shared" si="9"/>
        <v>0</v>
      </c>
      <c r="F121" s="50">
        <f t="shared" si="9"/>
        <v>0</v>
      </c>
      <c r="G121" s="50">
        <f t="shared" si="9"/>
        <v>0</v>
      </c>
      <c r="H121" s="50">
        <f t="shared" si="9"/>
        <v>0</v>
      </c>
      <c r="I121" s="50">
        <f t="shared" si="9"/>
        <v>0</v>
      </c>
      <c r="J121" s="50">
        <f t="shared" si="9"/>
        <v>0</v>
      </c>
      <c r="K121" s="50">
        <f t="shared" si="9"/>
        <v>0</v>
      </c>
      <c r="L121" s="50">
        <f t="shared" si="9"/>
        <v>0</v>
      </c>
      <c r="M121" s="75">
        <f t="shared" si="9"/>
        <v>0</v>
      </c>
    </row>
    <row r="122" spans="1:13" ht="12" customHeight="1" x14ac:dyDescent="0.2">
      <c r="A122" s="102" t="s">
        <v>169</v>
      </c>
      <c r="B122" s="10"/>
      <c r="C122" s="10"/>
      <c r="D122" s="50">
        <f t="shared" ref="D122:M122" si="10">N211</f>
        <v>9954.17</v>
      </c>
      <c r="E122" s="50">
        <f t="shared" si="10"/>
        <v>9954.17</v>
      </c>
      <c r="F122" s="50">
        <f t="shared" si="10"/>
        <v>9954.17</v>
      </c>
      <c r="G122" s="50">
        <f t="shared" si="10"/>
        <v>9954.17</v>
      </c>
      <c r="H122" s="50">
        <f t="shared" si="10"/>
        <v>9954.17</v>
      </c>
      <c r="I122" s="50">
        <f t="shared" si="10"/>
        <v>9954.17</v>
      </c>
      <c r="J122" s="50">
        <f t="shared" si="10"/>
        <v>9954.17</v>
      </c>
      <c r="K122" s="50">
        <f t="shared" si="10"/>
        <v>9954.17</v>
      </c>
      <c r="L122" s="50">
        <f t="shared" si="10"/>
        <v>9954.17</v>
      </c>
      <c r="M122" s="75">
        <f t="shared" si="10"/>
        <v>9954.17</v>
      </c>
    </row>
    <row r="123" spans="1:13" ht="12" customHeight="1" x14ac:dyDescent="0.2">
      <c r="A123" s="102" t="s">
        <v>235</v>
      </c>
      <c r="B123" s="10"/>
      <c r="C123" s="10"/>
      <c r="D123" s="50">
        <f t="shared" ref="D123:M123" si="11">N225</f>
        <v>0</v>
      </c>
      <c r="E123" s="50">
        <f t="shared" si="11"/>
        <v>0</v>
      </c>
      <c r="F123" s="50">
        <f t="shared" si="11"/>
        <v>0</v>
      </c>
      <c r="G123" s="50">
        <f t="shared" si="11"/>
        <v>0</v>
      </c>
      <c r="H123" s="50">
        <f t="shared" si="11"/>
        <v>0</v>
      </c>
      <c r="I123" s="50">
        <f t="shared" si="11"/>
        <v>0</v>
      </c>
      <c r="J123" s="50">
        <f t="shared" si="11"/>
        <v>0</v>
      </c>
      <c r="K123" s="50">
        <f t="shared" si="11"/>
        <v>0</v>
      </c>
      <c r="L123" s="50">
        <f t="shared" si="11"/>
        <v>0</v>
      </c>
      <c r="M123" s="75">
        <f t="shared" si="11"/>
        <v>0</v>
      </c>
    </row>
    <row r="124" spans="1:13" ht="12" customHeight="1" x14ac:dyDescent="0.2">
      <c r="A124" s="102" t="s">
        <v>105</v>
      </c>
      <c r="B124" s="10"/>
      <c r="C124" s="10"/>
      <c r="D124" s="50">
        <f t="shared" ref="D124:M124" si="12">N312</f>
        <v>15912.45</v>
      </c>
      <c r="E124" s="50">
        <f t="shared" si="12"/>
        <v>15386.57</v>
      </c>
      <c r="F124" s="50">
        <f t="shared" si="12"/>
        <v>13750.76</v>
      </c>
      <c r="G124" s="50">
        <f t="shared" si="12"/>
        <v>13750.76</v>
      </c>
      <c r="H124" s="50">
        <f t="shared" si="12"/>
        <v>3701.75</v>
      </c>
      <c r="I124" s="50">
        <f t="shared" si="12"/>
        <v>0</v>
      </c>
      <c r="J124" s="50">
        <f t="shared" si="12"/>
        <v>0</v>
      </c>
      <c r="K124" s="50">
        <f t="shared" si="12"/>
        <v>0</v>
      </c>
      <c r="L124" s="50">
        <f t="shared" si="12"/>
        <v>0</v>
      </c>
      <c r="M124" s="75">
        <f t="shared" si="12"/>
        <v>0</v>
      </c>
    </row>
    <row r="125" spans="1:13" ht="12" customHeight="1" x14ac:dyDescent="0.2">
      <c r="A125" s="102" t="s">
        <v>47</v>
      </c>
      <c r="B125" s="10"/>
      <c r="C125" s="10"/>
      <c r="D125" s="50">
        <f t="shared" ref="D125:M125" si="13">N342</f>
        <v>783</v>
      </c>
      <c r="E125" s="50">
        <f t="shared" si="13"/>
        <v>783</v>
      </c>
      <c r="F125" s="50">
        <f t="shared" si="13"/>
        <v>783</v>
      </c>
      <c r="G125" s="50">
        <f t="shared" si="13"/>
        <v>783</v>
      </c>
      <c r="H125" s="50">
        <f t="shared" si="13"/>
        <v>0</v>
      </c>
      <c r="I125" s="50">
        <f t="shared" si="13"/>
        <v>0</v>
      </c>
      <c r="J125" s="50">
        <f t="shared" si="13"/>
        <v>0</v>
      </c>
      <c r="K125" s="50">
        <f t="shared" si="13"/>
        <v>0</v>
      </c>
      <c r="L125" s="50">
        <f t="shared" si="13"/>
        <v>0</v>
      </c>
      <c r="M125" s="75">
        <f t="shared" si="13"/>
        <v>0</v>
      </c>
    </row>
    <row r="126" spans="1:13" ht="12" customHeight="1" x14ac:dyDescent="0.2">
      <c r="A126" s="102" t="s">
        <v>254</v>
      </c>
      <c r="B126" s="10"/>
      <c r="C126" s="10"/>
      <c r="D126" s="50">
        <f t="shared" ref="D126:M126" si="14">N353</f>
        <v>212</v>
      </c>
      <c r="E126" s="50">
        <f t="shared" si="14"/>
        <v>153.34</v>
      </c>
      <c r="F126" s="50">
        <f t="shared" si="14"/>
        <v>0</v>
      </c>
      <c r="G126" s="50">
        <f t="shared" si="14"/>
        <v>0</v>
      </c>
      <c r="H126" s="50">
        <f t="shared" si="14"/>
        <v>0</v>
      </c>
      <c r="I126" s="50">
        <f t="shared" si="14"/>
        <v>0</v>
      </c>
      <c r="J126" s="50">
        <f t="shared" si="14"/>
        <v>0</v>
      </c>
      <c r="K126" s="50">
        <f t="shared" si="14"/>
        <v>0</v>
      </c>
      <c r="L126" s="50">
        <f t="shared" si="14"/>
        <v>0</v>
      </c>
      <c r="M126" s="75">
        <f t="shared" si="14"/>
        <v>0</v>
      </c>
    </row>
    <row r="127" spans="1:13" ht="12" customHeight="1" x14ac:dyDescent="0.2">
      <c r="A127" s="102" t="s">
        <v>26</v>
      </c>
      <c r="B127" s="10"/>
      <c r="C127" s="10"/>
      <c r="D127" s="50">
        <f>N371</f>
        <v>30377.590000000004</v>
      </c>
      <c r="E127" s="50">
        <f t="shared" ref="E127:M127" si="15">O371</f>
        <v>4957.3499999999995</v>
      </c>
      <c r="F127" s="50">
        <f t="shared" si="15"/>
        <v>0</v>
      </c>
      <c r="G127" s="50">
        <f t="shared" si="15"/>
        <v>0</v>
      </c>
      <c r="H127" s="50">
        <f t="shared" si="15"/>
        <v>0</v>
      </c>
      <c r="I127" s="50">
        <f t="shared" si="15"/>
        <v>0</v>
      </c>
      <c r="J127" s="50">
        <f t="shared" si="15"/>
        <v>0</v>
      </c>
      <c r="K127" s="50">
        <f t="shared" si="15"/>
        <v>0</v>
      </c>
      <c r="L127" s="50">
        <f t="shared" si="15"/>
        <v>0</v>
      </c>
      <c r="M127" s="50">
        <f t="shared" si="15"/>
        <v>0</v>
      </c>
    </row>
    <row r="128" spans="1:13" ht="12" customHeight="1" x14ac:dyDescent="0.2">
      <c r="A128" s="102" t="s">
        <v>123</v>
      </c>
      <c r="B128" s="10"/>
      <c r="C128" s="10"/>
      <c r="D128" s="50">
        <f t="shared" ref="D128:M128" si="16">N401</f>
        <v>1754.36</v>
      </c>
      <c r="E128" s="50">
        <f t="shared" si="16"/>
        <v>183.97</v>
      </c>
      <c r="F128" s="50">
        <f t="shared" si="16"/>
        <v>0</v>
      </c>
      <c r="G128" s="50">
        <f t="shared" si="16"/>
        <v>0</v>
      </c>
      <c r="H128" s="50">
        <f t="shared" si="16"/>
        <v>0</v>
      </c>
      <c r="I128" s="50">
        <f t="shared" si="16"/>
        <v>0</v>
      </c>
      <c r="J128" s="50">
        <f t="shared" si="16"/>
        <v>0</v>
      </c>
      <c r="K128" s="50">
        <f t="shared" si="16"/>
        <v>0</v>
      </c>
      <c r="L128" s="50">
        <f t="shared" si="16"/>
        <v>0</v>
      </c>
      <c r="M128" s="75">
        <f t="shared" si="16"/>
        <v>0</v>
      </c>
    </row>
    <row r="129" spans="1:13" ht="12" customHeight="1" x14ac:dyDescent="0.2">
      <c r="A129" s="102" t="s">
        <v>124</v>
      </c>
      <c r="B129" s="10"/>
      <c r="C129" s="10"/>
      <c r="D129" s="50">
        <f t="shared" ref="D129:M129" si="17">N427</f>
        <v>8.2899999999999991</v>
      </c>
      <c r="E129" s="50">
        <f t="shared" si="17"/>
        <v>0</v>
      </c>
      <c r="F129" s="50">
        <f t="shared" si="17"/>
        <v>0</v>
      </c>
      <c r="G129" s="50">
        <f t="shared" si="17"/>
        <v>0</v>
      </c>
      <c r="H129" s="50">
        <f t="shared" si="17"/>
        <v>0</v>
      </c>
      <c r="I129" s="50">
        <f t="shared" si="17"/>
        <v>0</v>
      </c>
      <c r="J129" s="50">
        <f t="shared" si="17"/>
        <v>0</v>
      </c>
      <c r="K129" s="50">
        <f t="shared" si="17"/>
        <v>0</v>
      </c>
      <c r="L129" s="50">
        <f t="shared" si="17"/>
        <v>0</v>
      </c>
      <c r="M129" s="75">
        <f t="shared" si="17"/>
        <v>0</v>
      </c>
    </row>
    <row r="130" spans="1:13" ht="12" customHeight="1" x14ac:dyDescent="0.2">
      <c r="A130" s="199" t="s">
        <v>14</v>
      </c>
      <c r="B130" s="10"/>
      <c r="C130" s="10"/>
      <c r="D130" s="196">
        <f t="shared" ref="D130:I130" si="18">SUM(D120:D129)</f>
        <v>60200.250000000007</v>
      </c>
      <c r="E130" s="196">
        <f t="shared" si="18"/>
        <v>32246.49</v>
      </c>
      <c r="F130" s="196">
        <f t="shared" si="18"/>
        <v>24487.93</v>
      </c>
      <c r="G130" s="196">
        <f t="shared" si="18"/>
        <v>24487.93</v>
      </c>
      <c r="H130" s="196">
        <f t="shared" si="18"/>
        <v>13655.92</v>
      </c>
      <c r="I130" s="196">
        <f t="shared" si="18"/>
        <v>9954.17</v>
      </c>
      <c r="J130" s="196">
        <f>SUM(J120:J129)</f>
        <v>9954.17</v>
      </c>
      <c r="K130" s="196">
        <f>SUM(K120:K129)</f>
        <v>9954.17</v>
      </c>
      <c r="L130" s="196">
        <f>SUM(L120:L129)</f>
        <v>9954.17</v>
      </c>
      <c r="M130" s="200">
        <f>SUM(M120:M129)</f>
        <v>9954.17</v>
      </c>
    </row>
    <row r="131" spans="1:13" ht="12" customHeight="1" x14ac:dyDescent="0.2">
      <c r="A131" s="201"/>
      <c r="B131" s="60"/>
      <c r="C131" s="62"/>
      <c r="D131" s="62"/>
      <c r="E131" s="62"/>
      <c r="F131" s="62"/>
      <c r="G131" s="62"/>
      <c r="H131" s="62"/>
      <c r="I131" s="62"/>
      <c r="J131" s="62"/>
      <c r="K131" s="62"/>
      <c r="L131" s="62"/>
      <c r="M131" s="76"/>
    </row>
    <row r="132" spans="1:13" ht="12" customHeight="1" x14ac:dyDescent="0.2">
      <c r="A132" s="10"/>
      <c r="B132" s="46"/>
      <c r="C132" s="50"/>
      <c r="D132" s="50"/>
      <c r="E132" s="50"/>
      <c r="F132" s="50"/>
      <c r="G132" s="50"/>
      <c r="H132" s="50"/>
      <c r="I132" s="50"/>
      <c r="J132" s="50"/>
      <c r="K132" s="50"/>
      <c r="L132" s="50"/>
      <c r="M132" s="50"/>
    </row>
    <row r="133" spans="1:13" ht="12" customHeight="1" x14ac:dyDescent="0.2">
      <c r="A133" s="124"/>
      <c r="B133" s="65"/>
      <c r="C133" s="47"/>
      <c r="D133" s="47"/>
      <c r="E133" s="47"/>
      <c r="F133" s="47"/>
      <c r="G133" s="47"/>
      <c r="H133" s="47"/>
      <c r="I133" s="47"/>
      <c r="J133" s="47"/>
      <c r="K133" s="47"/>
      <c r="L133" s="47"/>
      <c r="M133" s="52"/>
    </row>
    <row r="134" spans="1:13" ht="12" customHeight="1" x14ac:dyDescent="0.2">
      <c r="A134" s="101"/>
      <c r="B134" s="46" t="s">
        <v>271</v>
      </c>
      <c r="C134" s="18" t="s">
        <v>269</v>
      </c>
      <c r="D134" s="50">
        <f>SUMIF($C$155:$C$446,$C134,N$155:N$446)</f>
        <v>31343.730000000003</v>
      </c>
      <c r="E134" s="50">
        <f>SUMIF($C$155:$C$446,C134,$O$155:$O$446)</f>
        <v>5740.35</v>
      </c>
      <c r="F134" s="50">
        <f>SUMIF($C$155:$C$446,C134,$P$155:$P$446)</f>
        <v>783</v>
      </c>
      <c r="G134" s="50">
        <f>SUMIF($C$155:$C$446,C134,$Q$155:$Q$446)</f>
        <v>783</v>
      </c>
      <c r="H134" s="50">
        <f>SUMIF($C$155:$C$446,C134,$R$155:$R$446)</f>
        <v>227.39</v>
      </c>
      <c r="I134" s="50">
        <f>SUMIF($C$155:$C$446,C134,$R$155:$R$446)</f>
        <v>227.39</v>
      </c>
      <c r="J134" s="50">
        <f>SUMIF($C$155:$C$446,C134,$R$155:$R$446)</f>
        <v>227.39</v>
      </c>
      <c r="K134" s="50">
        <f>SUMIF($C$155:$C$446,#REF!,$R$155:$R$446)</f>
        <v>0</v>
      </c>
      <c r="L134" s="50">
        <f>SUMIF($C$155:$C$446,D134,$R$155:$R$446)</f>
        <v>0</v>
      </c>
      <c r="M134" s="75">
        <f>SUMIF($C$155:$C$446,E134,$R$155:$R$446)</f>
        <v>0</v>
      </c>
    </row>
    <row r="135" spans="1:13" ht="12" customHeight="1" x14ac:dyDescent="0.2">
      <c r="A135" s="101"/>
      <c r="B135" s="46" t="s">
        <v>272</v>
      </c>
      <c r="C135" s="18" t="s">
        <v>8</v>
      </c>
      <c r="D135" s="50">
        <f>SUMIF($C$155:$C$446,$C135,N$155:N$446)</f>
        <v>15912.45</v>
      </c>
      <c r="E135" s="50">
        <f t="shared" ref="E135:M136" si="19">SUMIF($C$155:$C$446,$C135,O$155:O$446)</f>
        <v>15386.57</v>
      </c>
      <c r="F135" s="50">
        <f t="shared" si="19"/>
        <v>13750.76</v>
      </c>
      <c r="G135" s="50">
        <f t="shared" si="19"/>
        <v>13750.76</v>
      </c>
      <c r="H135" s="50">
        <f t="shared" si="19"/>
        <v>3701.75</v>
      </c>
      <c r="I135" s="50">
        <f t="shared" si="19"/>
        <v>0</v>
      </c>
      <c r="J135" s="50">
        <f t="shared" si="19"/>
        <v>0</v>
      </c>
      <c r="K135" s="50">
        <f t="shared" si="19"/>
        <v>0</v>
      </c>
      <c r="L135" s="50">
        <f t="shared" si="19"/>
        <v>0</v>
      </c>
      <c r="M135" s="75">
        <f t="shared" si="19"/>
        <v>0</v>
      </c>
    </row>
    <row r="136" spans="1:13" ht="12" customHeight="1" x14ac:dyDescent="0.2">
      <c r="A136" s="101"/>
      <c r="B136" s="46" t="s">
        <v>273</v>
      </c>
      <c r="C136" s="18" t="s">
        <v>265</v>
      </c>
      <c r="D136" s="50">
        <f>SUMIF($C$155:$C$446,$C136,N$155:N$446)</f>
        <v>12944.07</v>
      </c>
      <c r="E136" s="50">
        <f t="shared" si="19"/>
        <v>11119.57</v>
      </c>
      <c r="F136" s="50">
        <f t="shared" si="19"/>
        <v>9954.17</v>
      </c>
      <c r="G136" s="50">
        <f t="shared" si="19"/>
        <v>9954.17</v>
      </c>
      <c r="H136" s="50">
        <f t="shared" si="19"/>
        <v>9954.17</v>
      </c>
      <c r="I136" s="50">
        <f t="shared" si="19"/>
        <v>9954.17</v>
      </c>
      <c r="J136" s="50">
        <f t="shared" si="19"/>
        <v>9954.17</v>
      </c>
      <c r="K136" s="50">
        <f t="shared" si="19"/>
        <v>9954.17</v>
      </c>
      <c r="L136" s="50">
        <f t="shared" si="19"/>
        <v>9954.17</v>
      </c>
      <c r="M136" s="75">
        <f t="shared" si="19"/>
        <v>9954.17</v>
      </c>
    </row>
    <row r="137" spans="1:13" ht="12" customHeight="1" x14ac:dyDescent="0.2">
      <c r="A137" s="27"/>
      <c r="B137" s="46" t="s">
        <v>139</v>
      </c>
      <c r="C137" s="67"/>
      <c r="D137" s="196">
        <f t="shared" ref="D137:M137" si="20">SUM(D134:D136)</f>
        <v>60200.250000000007</v>
      </c>
      <c r="E137" s="196">
        <f t="shared" si="20"/>
        <v>32246.489999999998</v>
      </c>
      <c r="F137" s="196">
        <f t="shared" si="20"/>
        <v>24487.93</v>
      </c>
      <c r="G137" s="196">
        <f t="shared" si="20"/>
        <v>24487.93</v>
      </c>
      <c r="H137" s="196">
        <f t="shared" si="20"/>
        <v>13883.31</v>
      </c>
      <c r="I137" s="196">
        <f t="shared" si="20"/>
        <v>10181.56</v>
      </c>
      <c r="J137" s="196">
        <f t="shared" si="20"/>
        <v>10181.56</v>
      </c>
      <c r="K137" s="196">
        <f t="shared" si="20"/>
        <v>9954.17</v>
      </c>
      <c r="L137" s="196">
        <f t="shared" si="20"/>
        <v>9954.17</v>
      </c>
      <c r="M137" s="200">
        <f t="shared" si="20"/>
        <v>9954.17</v>
      </c>
    </row>
    <row r="138" spans="1:13" ht="12" customHeight="1" x14ac:dyDescent="0.2">
      <c r="A138" s="201"/>
      <c r="B138" s="60"/>
      <c r="C138" s="62"/>
      <c r="D138" s="62"/>
      <c r="E138" s="62"/>
      <c r="F138" s="62"/>
      <c r="G138" s="62"/>
      <c r="H138" s="62"/>
      <c r="I138" s="62"/>
      <c r="J138" s="62"/>
      <c r="K138" s="62"/>
      <c r="L138" s="62"/>
      <c r="M138" s="76"/>
    </row>
    <row r="139" spans="1:13" ht="12" customHeight="1" x14ac:dyDescent="0.2">
      <c r="A139" s="110"/>
      <c r="B139" s="10"/>
      <c r="C139" s="10"/>
      <c r="D139" s="46"/>
      <c r="E139" s="50"/>
      <c r="F139" s="50"/>
      <c r="G139" s="50"/>
      <c r="H139" s="50"/>
      <c r="I139" s="50"/>
      <c r="J139" s="50"/>
      <c r="K139" s="50"/>
      <c r="L139" s="50"/>
      <c r="M139" s="50"/>
    </row>
    <row r="140" spans="1:13" ht="12" customHeight="1" x14ac:dyDescent="0.2">
      <c r="A140" s="110"/>
      <c r="B140" s="10"/>
      <c r="C140" s="10"/>
      <c r="D140" s="46"/>
      <c r="E140" s="50"/>
      <c r="F140" s="50"/>
      <c r="G140" s="50"/>
      <c r="H140" s="50"/>
      <c r="I140" s="50"/>
      <c r="J140" s="50"/>
      <c r="K140" s="50"/>
      <c r="L140" s="50"/>
      <c r="M140" s="50"/>
    </row>
    <row r="141" spans="1:13" ht="12" customHeight="1" x14ac:dyDescent="0.2">
      <c r="A141" s="110"/>
      <c r="B141" s="10"/>
      <c r="C141" s="10"/>
      <c r="D141" s="46"/>
      <c r="E141" s="50"/>
      <c r="F141" s="50"/>
      <c r="G141" s="50"/>
      <c r="H141" s="50"/>
      <c r="I141" s="50"/>
      <c r="J141" s="50"/>
      <c r="K141" s="50"/>
      <c r="L141" s="50"/>
      <c r="M141" s="50"/>
    </row>
    <row r="142" spans="1:13" ht="12" customHeight="1" x14ac:dyDescent="0.2">
      <c r="A142" s="110"/>
      <c r="B142" s="10"/>
      <c r="C142" s="10"/>
      <c r="D142" s="46"/>
      <c r="E142" s="50"/>
      <c r="F142" s="50"/>
      <c r="G142" s="50"/>
      <c r="H142" s="50"/>
      <c r="I142" s="50"/>
      <c r="J142" s="50"/>
      <c r="K142" s="50"/>
      <c r="L142" s="50"/>
      <c r="M142" s="50"/>
    </row>
    <row r="143" spans="1:13" ht="12" customHeight="1" x14ac:dyDescent="0.2">
      <c r="A143" s="110"/>
      <c r="B143" s="10"/>
      <c r="C143" s="10"/>
      <c r="D143" s="46"/>
      <c r="E143" s="50"/>
      <c r="F143" s="50"/>
      <c r="G143" s="50"/>
      <c r="H143" s="50"/>
      <c r="I143" s="50"/>
      <c r="J143" s="50"/>
      <c r="K143" s="50"/>
      <c r="L143" s="50"/>
      <c r="M143" s="50"/>
    </row>
    <row r="144" spans="1:13" ht="12" customHeight="1" x14ac:dyDescent="0.2">
      <c r="A144" s="110"/>
      <c r="B144" s="10"/>
      <c r="C144" s="10"/>
      <c r="D144" s="46"/>
      <c r="E144" s="50"/>
      <c r="F144" s="50"/>
      <c r="G144" s="50"/>
      <c r="H144" s="50"/>
      <c r="I144" s="50"/>
      <c r="J144" s="50"/>
      <c r="K144" s="50"/>
      <c r="L144" s="50"/>
      <c r="M144" s="50"/>
    </row>
    <row r="145" spans="1:23" ht="12" customHeight="1" x14ac:dyDescent="0.2">
      <c r="A145" s="110"/>
      <c r="B145" s="10"/>
      <c r="C145" s="10"/>
      <c r="D145" s="46"/>
      <c r="E145" s="50"/>
      <c r="F145" s="50"/>
      <c r="G145" s="50"/>
      <c r="H145" s="50"/>
      <c r="I145" s="50"/>
      <c r="J145" s="50"/>
      <c r="K145" s="50"/>
      <c r="L145" s="50"/>
      <c r="M145" s="50"/>
    </row>
    <row r="146" spans="1:23" ht="12" customHeight="1" x14ac:dyDescent="0.2">
      <c r="A146" s="110"/>
      <c r="B146" s="10"/>
      <c r="C146" s="10"/>
      <c r="D146" s="46"/>
      <c r="E146" s="50"/>
      <c r="F146" s="50"/>
      <c r="G146" s="50"/>
      <c r="H146" s="50"/>
      <c r="I146" s="50"/>
      <c r="J146" s="50"/>
      <c r="K146" s="50"/>
      <c r="L146" s="50"/>
      <c r="M146" s="50"/>
    </row>
    <row r="147" spans="1:23" ht="12" customHeight="1" thickBot="1" x14ac:dyDescent="0.25">
      <c r="A147" s="110"/>
      <c r="B147" s="10"/>
      <c r="C147" s="10"/>
      <c r="D147" s="46"/>
      <c r="E147" s="50"/>
      <c r="F147" s="50"/>
      <c r="G147" s="50"/>
      <c r="H147" s="50"/>
      <c r="I147" s="50"/>
      <c r="J147" s="50"/>
      <c r="K147" s="50"/>
      <c r="L147" s="50"/>
      <c r="M147" s="50"/>
    </row>
    <row r="148" spans="1:23" x14ac:dyDescent="0.2">
      <c r="A148" s="214"/>
      <c r="B148" s="79"/>
      <c r="C148" s="79"/>
      <c r="D148" s="79"/>
      <c r="E148" s="80"/>
      <c r="F148" s="80"/>
      <c r="G148" s="80"/>
      <c r="H148" s="80"/>
      <c r="I148" s="80"/>
      <c r="J148" s="80"/>
      <c r="K148" s="80"/>
      <c r="L148" s="80"/>
      <c r="M148" s="221"/>
    </row>
    <row r="149" spans="1:23" ht="12.75" customHeight="1" x14ac:dyDescent="0.2">
      <c r="A149" s="215" t="str">
        <f>G4 &amp; "   -   Immobilisations et Amortissements de l'exercice " &amp; TEXT(G6,"aaaa") &amp; "/" &amp;TEXT(I6,"aaaa")</f>
        <v>Société Test   -   Immobilisations et Amortissements de l'exercice 2012/2013</v>
      </c>
      <c r="B149" s="82"/>
      <c r="C149" s="82"/>
      <c r="D149" s="82"/>
      <c r="E149" s="83"/>
      <c r="F149" s="83"/>
      <c r="G149" s="83"/>
      <c r="H149" s="83"/>
      <c r="I149" s="83"/>
      <c r="J149" s="83"/>
      <c r="K149" s="83"/>
      <c r="L149" s="83"/>
      <c r="M149" s="222"/>
    </row>
    <row r="150" spans="1:23" ht="12" thickBot="1" x14ac:dyDescent="0.25">
      <c r="A150" s="216"/>
      <c r="B150" s="85"/>
      <c r="C150" s="85"/>
      <c r="D150" s="85"/>
      <c r="E150" s="85"/>
      <c r="F150" s="85"/>
      <c r="G150" s="85"/>
      <c r="H150" s="85"/>
      <c r="I150" s="85"/>
      <c r="J150" s="85"/>
      <c r="K150" s="85"/>
      <c r="L150" s="85"/>
      <c r="M150" s="223"/>
    </row>
    <row r="151" spans="1:23" x14ac:dyDescent="0.2">
      <c r="A151" s="217"/>
      <c r="B151" s="86"/>
      <c r="C151" s="228"/>
      <c r="D151" s="15"/>
      <c r="E151" s="86"/>
      <c r="F151" s="86"/>
      <c r="G151" s="15"/>
      <c r="H151" s="15"/>
      <c r="I151" s="15"/>
      <c r="J151" s="15"/>
      <c r="K151" s="15"/>
      <c r="L151" s="15"/>
      <c r="M151" s="224"/>
    </row>
    <row r="152" spans="1:23" x14ac:dyDescent="0.2">
      <c r="A152" s="218" t="s">
        <v>267</v>
      </c>
      <c r="B152" s="69" t="s">
        <v>0</v>
      </c>
      <c r="C152" s="225" t="s">
        <v>265</v>
      </c>
      <c r="D152" s="43" t="s">
        <v>18</v>
      </c>
      <c r="E152" s="46"/>
      <c r="F152" s="46"/>
      <c r="G152" s="87" t="s">
        <v>3</v>
      </c>
      <c r="H152" s="87" t="s">
        <v>35</v>
      </c>
      <c r="I152" s="87" t="s">
        <v>33</v>
      </c>
      <c r="J152" s="87" t="s">
        <v>6</v>
      </c>
      <c r="K152" s="87" t="s">
        <v>5</v>
      </c>
      <c r="L152" s="87" t="s">
        <v>6</v>
      </c>
      <c r="M152" s="225" t="s">
        <v>7</v>
      </c>
    </row>
    <row r="153" spans="1:23" x14ac:dyDescent="0.2">
      <c r="A153" s="218" t="s">
        <v>268</v>
      </c>
      <c r="B153" s="69" t="s">
        <v>20</v>
      </c>
      <c r="C153" s="225" t="s">
        <v>266</v>
      </c>
      <c r="D153" s="87" t="s">
        <v>1</v>
      </c>
      <c r="E153" s="69" t="s">
        <v>37</v>
      </c>
      <c r="F153" s="69" t="s">
        <v>2</v>
      </c>
      <c r="G153" s="87" t="s">
        <v>4</v>
      </c>
      <c r="H153" s="87" t="s">
        <v>19</v>
      </c>
      <c r="I153" s="87" t="s">
        <v>34</v>
      </c>
      <c r="J153" s="89">
        <f>G6</f>
        <v>41091</v>
      </c>
      <c r="K153" s="87" t="s">
        <v>44</v>
      </c>
      <c r="L153" s="89">
        <f>I8</f>
        <v>41455</v>
      </c>
      <c r="M153" s="225" t="s">
        <v>4</v>
      </c>
    </row>
    <row r="154" spans="1:23" ht="12" thickBot="1" x14ac:dyDescent="0.25">
      <c r="A154" s="219"/>
      <c r="B154" s="90"/>
      <c r="C154" s="92"/>
      <c r="D154" s="91"/>
      <c r="E154" s="90"/>
      <c r="F154" s="90"/>
      <c r="G154" s="91"/>
      <c r="H154" s="91"/>
      <c r="I154" s="91"/>
      <c r="J154" s="91"/>
      <c r="K154" s="92"/>
      <c r="L154" s="91"/>
      <c r="M154" s="92"/>
    </row>
    <row r="155" spans="1:23" x14ac:dyDescent="0.2">
      <c r="A155" s="101"/>
      <c r="M155" s="14"/>
    </row>
    <row r="156" spans="1:23" ht="24.95" customHeight="1" x14ac:dyDescent="0.2">
      <c r="A156" s="208" t="s">
        <v>77</v>
      </c>
      <c r="B156" s="209"/>
      <c r="C156" s="209"/>
      <c r="D156" s="209"/>
      <c r="E156" s="210"/>
      <c r="F156" s="211"/>
      <c r="G156" s="211"/>
      <c r="H156" s="211"/>
      <c r="I156" s="211"/>
      <c r="J156" s="211"/>
      <c r="K156" s="211"/>
      <c r="L156" s="211"/>
      <c r="M156" s="226"/>
      <c r="N156" s="212" t="str">
        <f>A156 &amp; "   -   Dotations prévisionnelles"</f>
        <v>205000 LOGICIELS   -   Dotations prévisionnelles</v>
      </c>
      <c r="O156" s="212"/>
      <c r="P156" s="212"/>
      <c r="Q156" s="212"/>
      <c r="R156" s="212"/>
      <c r="S156" s="212"/>
      <c r="T156" s="212"/>
      <c r="U156" s="212"/>
      <c r="V156" s="212"/>
      <c r="W156" s="213"/>
    </row>
    <row r="157" spans="1:23" x14ac:dyDescent="0.2">
      <c r="A157" s="107">
        <v>1</v>
      </c>
      <c r="B157" s="1" t="s">
        <v>76</v>
      </c>
      <c r="C157" s="1"/>
      <c r="D157" s="77">
        <v>35703</v>
      </c>
      <c r="E157" s="77">
        <v>35703</v>
      </c>
      <c r="F157" s="77"/>
      <c r="G157" s="8">
        <v>567.58000000000004</v>
      </c>
      <c r="H157" s="1" t="s">
        <v>8</v>
      </c>
      <c r="I157" s="78">
        <v>3</v>
      </c>
      <c r="J157" s="8">
        <v>567.58000000000004</v>
      </c>
      <c r="K157" s="8">
        <f t="shared" ref="K157:K163" si="21">ROUND(Dot_ex(D157,E157,F157,G157,H157,I157,J157,$G$6,$I$6,$I$8),2)</f>
        <v>0</v>
      </c>
      <c r="L157" s="8">
        <f t="shared" ref="L157:L163" si="22">J157+K157</f>
        <v>567.58000000000004</v>
      </c>
      <c r="M157" s="57">
        <f t="shared" ref="M157:M163" si="23">G157-L157</f>
        <v>0</v>
      </c>
      <c r="N157" s="57">
        <f t="shared" ref="N157:N164" si="24">ROUND(Dot_ex($D157,$E157,$F157,$G157,$H157,$I157,$L157,D$115,D$117,D$117),2)</f>
        <v>0</v>
      </c>
      <c r="O157" s="57">
        <f>ROUND(Dot_ex($D157,$E157,$F157,$G157,$H157,$I157,$L157+SUM($N157:N157),E$115,E$117,E$117),2)</f>
        <v>0</v>
      </c>
      <c r="P157" s="57">
        <f>ROUND(Dot_ex($D157,$E157,$F157,$G157,$H157,$I157,$L157+SUM($N157:O157),F$115,F$117,F$117),2)</f>
        <v>0</v>
      </c>
      <c r="Q157" s="57">
        <f>ROUND(Dot_ex($D157,$E157,$F157,$G157,$H157,$I157,$L157+SUM($N157:P157),G$115,G$117,G$117),2)</f>
        <v>0</v>
      </c>
      <c r="R157" s="57">
        <f>ROUND(Dot_ex($D157,$E157,$F157,$G157,$H157,$I157,$L157+SUM($N157:Q157),H$115,H$117,H$117),2)</f>
        <v>0</v>
      </c>
      <c r="S157" s="57">
        <f>ROUND(Dot_ex($D157,$E157,$F157,$G157,$H157,$I157,$L157+SUM($N157:R157),I$115,I$117,I$117),2)</f>
        <v>0</v>
      </c>
      <c r="T157" s="57">
        <f>ROUND(Dot_ex($D157,$E157,$F157,$G157,$H157,$I157,$L157+SUM($N157:S157),J$115,J$117,J$117),2)</f>
        <v>0</v>
      </c>
      <c r="U157" s="57">
        <f>ROUND(Dot_ex($D157,$E157,$F157,$G157,$H157,$I157,$L157+SUM($N157:T157),K$115,K$117,K$117),2)</f>
        <v>0</v>
      </c>
      <c r="V157" s="57">
        <f>ROUND(Dot_ex($D157,$E157,$F157,$G157,$H157,$I157,$L157+SUM($N157:U157),L$115,L$117,L$117),2)</f>
        <v>0</v>
      </c>
      <c r="W157" s="57">
        <f>ROUND(Dot_ex($D157,$E157,$F157,$G157,$H157,$I157,$L157+SUM($N157:V157),M$115,M$117,M$117),2)</f>
        <v>0</v>
      </c>
    </row>
    <row r="158" spans="1:23" x14ac:dyDescent="0.2">
      <c r="A158" s="107">
        <f t="shared" ref="A158:A170" ca="1" si="25">IF(ISNUMBER(A157),A157+1,OFFSET(A158,-Nbre_Ligne_Entre_Compte,0,1,1)+1)</f>
        <v>2</v>
      </c>
      <c r="B158" s="1" t="s">
        <v>75</v>
      </c>
      <c r="C158" s="1"/>
      <c r="D158" s="77">
        <v>35719</v>
      </c>
      <c r="E158" s="77">
        <v>35719</v>
      </c>
      <c r="F158" s="77"/>
      <c r="G158" s="8">
        <v>87.22</v>
      </c>
      <c r="H158" s="1" t="s">
        <v>8</v>
      </c>
      <c r="I158" s="78">
        <v>3</v>
      </c>
      <c r="J158" s="8">
        <v>87.22</v>
      </c>
      <c r="K158" s="8">
        <f t="shared" si="21"/>
        <v>0</v>
      </c>
      <c r="L158" s="8">
        <f t="shared" si="22"/>
        <v>87.22</v>
      </c>
      <c r="M158" s="57">
        <f t="shared" si="23"/>
        <v>0</v>
      </c>
      <c r="N158" s="57">
        <f t="shared" si="24"/>
        <v>0</v>
      </c>
      <c r="O158" s="57">
        <f>ROUND(Dot_ex($D158,$E158,$F158,$G158,$H158,$I158,$L158+SUM($N158:N158),E$115,E$117,E$117),2)</f>
        <v>0</v>
      </c>
      <c r="P158" s="57">
        <f>ROUND(Dot_ex($D158,$E158,$F158,$G158,$H158,$I158,$L158+SUM($N158:O158),F$115,F$117,F$117),2)</f>
        <v>0</v>
      </c>
      <c r="Q158" s="57">
        <f>ROUND(Dot_ex($D158,$E158,$F158,$G158,$H158,$I158,$L158+SUM($N158:P158),G$115,G$117,G$117),2)</f>
        <v>0</v>
      </c>
      <c r="R158" s="57">
        <f>ROUND(Dot_ex($D158,$E158,$F158,$G158,$H158,$I158,$L158+SUM($N158:Q158),H$115,H$117,H$117),2)</f>
        <v>0</v>
      </c>
      <c r="S158" s="57">
        <f>ROUND(Dot_ex($D158,$E158,$F158,$G158,$H158,$I158,$L158+SUM($N158:R158),I$115,I$117,I$117),2)</f>
        <v>0</v>
      </c>
      <c r="T158" s="57">
        <f>ROUND(Dot_ex($D158,$E158,$F158,$G158,$H158,$I158,$L158+SUM($N158:S158),J$115,J$117,J$117),2)</f>
        <v>0</v>
      </c>
      <c r="U158" s="57">
        <f>ROUND(Dot_ex($D158,$E158,$F158,$G158,$H158,$I158,$L158+SUM($N158:T158),K$115,K$117,K$117),2)</f>
        <v>0</v>
      </c>
      <c r="V158" s="57">
        <f>ROUND(Dot_ex($D158,$E158,$F158,$G158,$H158,$I158,$L158+SUM($N158:U158),L$115,L$117,L$117),2)</f>
        <v>0</v>
      </c>
      <c r="W158" s="57">
        <f>ROUND(Dot_ex($D158,$E158,$F158,$G158,$H158,$I158,$L158+SUM($N158:V158),M$115,M$117,M$117),2)</f>
        <v>0</v>
      </c>
    </row>
    <row r="159" spans="1:23" x14ac:dyDescent="0.2">
      <c r="A159" s="107">
        <f t="shared" ca="1" si="25"/>
        <v>3</v>
      </c>
      <c r="B159" s="1" t="s">
        <v>140</v>
      </c>
      <c r="C159" s="1"/>
      <c r="D159" s="77">
        <v>36372</v>
      </c>
      <c r="E159" s="77">
        <v>36372</v>
      </c>
      <c r="F159" s="77"/>
      <c r="G159" s="8">
        <v>2744.08</v>
      </c>
      <c r="H159" s="1" t="s">
        <v>8</v>
      </c>
      <c r="I159" s="78">
        <v>3</v>
      </c>
      <c r="J159" s="8">
        <v>2744.08</v>
      </c>
      <c r="K159" s="8">
        <f t="shared" si="21"/>
        <v>0</v>
      </c>
      <c r="L159" s="8">
        <f t="shared" si="22"/>
        <v>2744.08</v>
      </c>
      <c r="M159" s="57">
        <f t="shared" si="23"/>
        <v>0</v>
      </c>
      <c r="N159" s="57">
        <f t="shared" si="24"/>
        <v>0</v>
      </c>
      <c r="O159" s="57">
        <f>ROUND(Dot_ex($D159,$E159,$F159,$G159,$H159,$I159,$L159+SUM($N159:N159),E$115,E$117,E$117),2)</f>
        <v>0</v>
      </c>
      <c r="P159" s="57">
        <f>ROUND(Dot_ex($D159,$E159,$F159,$G159,$H159,$I159,$L159+SUM($N159:O159),F$115,F$117,F$117),2)</f>
        <v>0</v>
      </c>
      <c r="Q159" s="57">
        <f>ROUND(Dot_ex($D159,$E159,$F159,$G159,$H159,$I159,$L159+SUM($N159:P159),G$115,G$117,G$117),2)</f>
        <v>0</v>
      </c>
      <c r="R159" s="57">
        <f>ROUND(Dot_ex($D159,$E159,$F159,$G159,$H159,$I159,$L159+SUM($N159:Q159),H$115,H$117,H$117),2)</f>
        <v>0</v>
      </c>
      <c r="S159" s="57">
        <f>ROUND(Dot_ex($D159,$E159,$F159,$G159,$H159,$I159,$L159+SUM($N159:R159),I$115,I$117,I$117),2)</f>
        <v>0</v>
      </c>
      <c r="T159" s="57">
        <f>ROUND(Dot_ex($D159,$E159,$F159,$G159,$H159,$I159,$L159+SUM($N159:S159),J$115,J$117,J$117),2)</f>
        <v>0</v>
      </c>
      <c r="U159" s="57">
        <f>ROUND(Dot_ex($D159,$E159,$F159,$G159,$H159,$I159,$L159+SUM($N159:T159),K$115,K$117,K$117),2)</f>
        <v>0</v>
      </c>
      <c r="V159" s="57">
        <f>ROUND(Dot_ex($D159,$E159,$F159,$G159,$H159,$I159,$L159+SUM($N159:U159),L$115,L$117,L$117),2)</f>
        <v>0</v>
      </c>
      <c r="W159" s="57">
        <f>ROUND(Dot_ex($D159,$E159,$F159,$G159,$H159,$I159,$L159+SUM($N159:V159),M$115,M$117,M$117),2)</f>
        <v>0</v>
      </c>
    </row>
    <row r="160" spans="1:23" x14ac:dyDescent="0.2">
      <c r="A160" s="107">
        <f t="shared" ca="1" si="25"/>
        <v>4</v>
      </c>
      <c r="B160" s="1" t="s">
        <v>141</v>
      </c>
      <c r="C160" s="1"/>
      <c r="D160" s="77">
        <v>36372</v>
      </c>
      <c r="E160" s="77">
        <v>36372</v>
      </c>
      <c r="F160" s="77"/>
      <c r="G160" s="8">
        <v>1676.94</v>
      </c>
      <c r="H160" s="1" t="s">
        <v>8</v>
      </c>
      <c r="I160" s="78">
        <v>3</v>
      </c>
      <c r="J160" s="8">
        <v>1676.94</v>
      </c>
      <c r="K160" s="8">
        <f t="shared" si="21"/>
        <v>0</v>
      </c>
      <c r="L160" s="8">
        <f t="shared" si="22"/>
        <v>1676.94</v>
      </c>
      <c r="M160" s="57">
        <f t="shared" si="23"/>
        <v>0</v>
      </c>
      <c r="N160" s="57">
        <f t="shared" si="24"/>
        <v>0</v>
      </c>
      <c r="O160" s="57">
        <f>ROUND(Dot_ex($D160,$E160,$F160,$G160,$H160,$I160,$L160+SUM($N160:N160),E$115,E$117,E$117),2)</f>
        <v>0</v>
      </c>
      <c r="P160" s="57">
        <f>ROUND(Dot_ex($D160,$E160,$F160,$G160,$H160,$I160,$L160+SUM($N160:O160),F$115,F$117,F$117),2)</f>
        <v>0</v>
      </c>
      <c r="Q160" s="57">
        <f>ROUND(Dot_ex($D160,$E160,$F160,$G160,$H160,$I160,$L160+SUM($N160:P160),G$115,G$117,G$117),2)</f>
        <v>0</v>
      </c>
      <c r="R160" s="57">
        <f>ROUND(Dot_ex($D160,$E160,$F160,$G160,$H160,$I160,$L160+SUM($N160:Q160),H$115,H$117,H$117),2)</f>
        <v>0</v>
      </c>
      <c r="S160" s="57">
        <f>ROUND(Dot_ex($D160,$E160,$F160,$G160,$H160,$I160,$L160+SUM($N160:R160),I$115,I$117,I$117),2)</f>
        <v>0</v>
      </c>
      <c r="T160" s="57">
        <f>ROUND(Dot_ex($D160,$E160,$F160,$G160,$H160,$I160,$L160+SUM($N160:S160),J$115,J$117,J$117),2)</f>
        <v>0</v>
      </c>
      <c r="U160" s="57">
        <f>ROUND(Dot_ex($D160,$E160,$F160,$G160,$H160,$I160,$L160+SUM($N160:T160),K$115,K$117,K$117),2)</f>
        <v>0</v>
      </c>
      <c r="V160" s="57">
        <f>ROUND(Dot_ex($D160,$E160,$F160,$G160,$H160,$I160,$L160+SUM($N160:U160),L$115,L$117,L$117),2)</f>
        <v>0</v>
      </c>
      <c r="W160" s="57">
        <f>ROUND(Dot_ex($D160,$E160,$F160,$G160,$H160,$I160,$L160+SUM($N160:V160),M$115,M$117,M$117),2)</f>
        <v>0</v>
      </c>
    </row>
    <row r="161" spans="1:23" x14ac:dyDescent="0.2">
      <c r="A161" s="107">
        <f t="shared" ca="1" si="25"/>
        <v>5</v>
      </c>
      <c r="B161" s="1" t="s">
        <v>142</v>
      </c>
      <c r="C161" s="1"/>
      <c r="D161" s="77">
        <v>36372</v>
      </c>
      <c r="E161" s="77">
        <v>36372</v>
      </c>
      <c r="F161" s="77"/>
      <c r="G161" s="8">
        <v>1448.27</v>
      </c>
      <c r="H161" s="1" t="s">
        <v>8</v>
      </c>
      <c r="I161" s="78">
        <v>3</v>
      </c>
      <c r="J161" s="8">
        <v>1448.27</v>
      </c>
      <c r="K161" s="8">
        <f t="shared" si="21"/>
        <v>0</v>
      </c>
      <c r="L161" s="8">
        <f t="shared" si="22"/>
        <v>1448.27</v>
      </c>
      <c r="M161" s="57">
        <f t="shared" si="23"/>
        <v>0</v>
      </c>
      <c r="N161" s="57">
        <f t="shared" si="24"/>
        <v>0</v>
      </c>
      <c r="O161" s="57">
        <f>ROUND(Dot_ex($D161,$E161,$F161,$G161,$H161,$I161,$L161+SUM($N161:N161),E$115,E$117,E$117),2)</f>
        <v>0</v>
      </c>
      <c r="P161" s="57">
        <f>ROUND(Dot_ex($D161,$E161,$F161,$G161,$H161,$I161,$L161+SUM($N161:O161),F$115,F$117,F$117),2)</f>
        <v>0</v>
      </c>
      <c r="Q161" s="57">
        <f>ROUND(Dot_ex($D161,$E161,$F161,$G161,$H161,$I161,$L161+SUM($N161:P161),G$115,G$117,G$117),2)</f>
        <v>0</v>
      </c>
      <c r="R161" s="57">
        <f>ROUND(Dot_ex($D161,$E161,$F161,$G161,$H161,$I161,$L161+SUM($N161:Q161),H$115,H$117,H$117),2)</f>
        <v>0</v>
      </c>
      <c r="S161" s="57">
        <f>ROUND(Dot_ex($D161,$E161,$F161,$G161,$H161,$I161,$L161+SUM($N161:R161),I$115,I$117,I$117),2)</f>
        <v>0</v>
      </c>
      <c r="T161" s="57">
        <f>ROUND(Dot_ex($D161,$E161,$F161,$G161,$H161,$I161,$L161+SUM($N161:S161),J$115,J$117,J$117),2)</f>
        <v>0</v>
      </c>
      <c r="U161" s="57">
        <f>ROUND(Dot_ex($D161,$E161,$F161,$G161,$H161,$I161,$L161+SUM($N161:T161),K$115,K$117,K$117),2)</f>
        <v>0</v>
      </c>
      <c r="V161" s="57">
        <f>ROUND(Dot_ex($D161,$E161,$F161,$G161,$H161,$I161,$L161+SUM($N161:U161),L$115,L$117,L$117),2)</f>
        <v>0</v>
      </c>
      <c r="W161" s="57">
        <f>ROUND(Dot_ex($D161,$E161,$F161,$G161,$H161,$I161,$L161+SUM($N161:V161),M$115,M$117,M$117),2)</f>
        <v>0</v>
      </c>
    </row>
    <row r="162" spans="1:23" x14ac:dyDescent="0.2">
      <c r="A162" s="107">
        <f t="shared" ca="1" si="25"/>
        <v>6</v>
      </c>
      <c r="B162" s="1" t="s">
        <v>179</v>
      </c>
      <c r="C162" s="1"/>
      <c r="D162" s="77">
        <v>37414</v>
      </c>
      <c r="E162" s="77">
        <v>37414</v>
      </c>
      <c r="F162" s="77"/>
      <c r="G162" s="8">
        <v>5000</v>
      </c>
      <c r="H162" s="1" t="s">
        <v>8</v>
      </c>
      <c r="I162" s="78">
        <v>3</v>
      </c>
      <c r="J162" s="8">
        <v>5000</v>
      </c>
      <c r="K162" s="8">
        <f t="shared" si="21"/>
        <v>0</v>
      </c>
      <c r="L162" s="8">
        <f t="shared" si="22"/>
        <v>5000</v>
      </c>
      <c r="M162" s="57">
        <f t="shared" si="23"/>
        <v>0</v>
      </c>
      <c r="N162" s="57">
        <f t="shared" si="24"/>
        <v>0</v>
      </c>
      <c r="O162" s="57">
        <f>ROUND(Dot_ex($D162,$E162,$F162,$G162,$H162,$I162,$L162+SUM($N162:N162),E$115,E$117,E$117),2)</f>
        <v>0</v>
      </c>
      <c r="P162" s="57">
        <f>ROUND(Dot_ex($D162,$E162,$F162,$G162,$H162,$I162,$L162+SUM($N162:O162),F$115,F$117,F$117),2)</f>
        <v>0</v>
      </c>
      <c r="Q162" s="57">
        <f>ROUND(Dot_ex($D162,$E162,$F162,$G162,$H162,$I162,$L162+SUM($N162:P162),G$115,G$117,G$117),2)</f>
        <v>0</v>
      </c>
      <c r="R162" s="57">
        <f>ROUND(Dot_ex($D162,$E162,$F162,$G162,$H162,$I162,$L162+SUM($N162:Q162),H$115,H$117,H$117),2)</f>
        <v>0</v>
      </c>
      <c r="S162" s="57">
        <f>ROUND(Dot_ex($D162,$E162,$F162,$G162,$H162,$I162,$L162+SUM($N162:R162),I$115,I$117,I$117),2)</f>
        <v>0</v>
      </c>
      <c r="T162" s="57">
        <f>ROUND(Dot_ex($D162,$E162,$F162,$G162,$H162,$I162,$L162+SUM($N162:S162),J$115,J$117,J$117),2)</f>
        <v>0</v>
      </c>
      <c r="U162" s="57">
        <f>ROUND(Dot_ex($D162,$E162,$F162,$G162,$H162,$I162,$L162+SUM($N162:T162),K$115,K$117,K$117),2)</f>
        <v>0</v>
      </c>
      <c r="V162" s="57">
        <f>ROUND(Dot_ex($D162,$E162,$F162,$G162,$H162,$I162,$L162+SUM($N162:U162),L$115,L$117,L$117),2)</f>
        <v>0</v>
      </c>
      <c r="W162" s="57">
        <f>ROUND(Dot_ex($D162,$E162,$F162,$G162,$H162,$I162,$L162+SUM($N162:V162),M$115,M$117,M$117),2)</f>
        <v>0</v>
      </c>
    </row>
    <row r="163" spans="1:23" x14ac:dyDescent="0.2">
      <c r="A163" s="107">
        <f t="shared" ca="1" si="25"/>
        <v>7</v>
      </c>
      <c r="B163" s="1" t="s">
        <v>263</v>
      </c>
      <c r="C163" s="1" t="s">
        <v>265</v>
      </c>
      <c r="D163" s="77">
        <v>38898</v>
      </c>
      <c r="E163" s="77">
        <v>38898</v>
      </c>
      <c r="F163" s="77"/>
      <c r="G163" s="8">
        <v>5750</v>
      </c>
      <c r="H163" s="1" t="s">
        <v>8</v>
      </c>
      <c r="I163" s="78">
        <v>3</v>
      </c>
      <c r="J163" s="8">
        <v>5750</v>
      </c>
      <c r="K163" s="8">
        <f t="shared" si="21"/>
        <v>0</v>
      </c>
      <c r="L163" s="8">
        <f t="shared" si="22"/>
        <v>5750</v>
      </c>
      <c r="M163" s="57">
        <f t="shared" si="23"/>
        <v>0</v>
      </c>
      <c r="N163" s="57">
        <f t="shared" si="24"/>
        <v>0</v>
      </c>
      <c r="O163" s="57">
        <f>ROUND(Dot_ex($D163,$E163,$F163,$G163,$H163,$I163,$L163+SUM($N163:N163),E$115,E$117,E$117),2)</f>
        <v>0</v>
      </c>
      <c r="P163" s="57">
        <f>ROUND(Dot_ex($D163,$E163,$F163,$G163,$H163,$I163,$L163+SUM($N163:O163),F$115,F$117,F$117),2)</f>
        <v>0</v>
      </c>
      <c r="Q163" s="57">
        <f>ROUND(Dot_ex($D163,$E163,$F163,$G163,$H163,$I163,$L163+SUM($N163:P163),G$115,G$117,G$117),2)</f>
        <v>0</v>
      </c>
      <c r="R163" s="57">
        <f>ROUND(Dot_ex($D163,$E163,$F163,$G163,$H163,$I163,$L163+SUM($N163:Q163),H$115,H$117,H$117),2)</f>
        <v>0</v>
      </c>
      <c r="S163" s="57">
        <f>ROUND(Dot_ex($D163,$E163,$F163,$G163,$H163,$I163,$L163+SUM($N163:R163),I$115,I$117,I$117),2)</f>
        <v>0</v>
      </c>
      <c r="T163" s="57">
        <f>ROUND(Dot_ex($D163,$E163,$F163,$G163,$H163,$I163,$L163+SUM($N163:S163),J$115,J$117,J$117),2)</f>
        <v>0</v>
      </c>
      <c r="U163" s="57">
        <f>ROUND(Dot_ex($D163,$E163,$F163,$G163,$H163,$I163,$L163+SUM($N163:T163),K$115,K$117,K$117),2)</f>
        <v>0</v>
      </c>
      <c r="V163" s="57">
        <f>ROUND(Dot_ex($D163,$E163,$F163,$G163,$H163,$I163,$L163+SUM($N163:U163),L$115,L$117,L$117),2)</f>
        <v>0</v>
      </c>
      <c r="W163" s="57">
        <f>ROUND(Dot_ex($D163,$E163,$F163,$G163,$H163,$I163,$L163+SUM($N163:V163),M$115,M$117,M$117),2)</f>
        <v>0</v>
      </c>
    </row>
    <row r="164" spans="1:23" x14ac:dyDescent="0.2">
      <c r="A164" s="107">
        <f t="shared" ca="1" si="25"/>
        <v>8</v>
      </c>
      <c r="B164" s="206" t="s">
        <v>274</v>
      </c>
      <c r="C164" s="1" t="s">
        <v>265</v>
      </c>
      <c r="D164" s="77">
        <v>38899</v>
      </c>
      <c r="E164" s="77">
        <v>38899</v>
      </c>
      <c r="F164" s="77"/>
      <c r="G164" s="8">
        <v>1200</v>
      </c>
      <c r="H164" s="1" t="s">
        <v>8</v>
      </c>
      <c r="I164" s="78">
        <v>3</v>
      </c>
      <c r="J164" s="8">
        <v>1200</v>
      </c>
      <c r="K164" s="8">
        <f>ROUND(Dot_ex(D164,E164,F164,G164,H164,I164,J164,$G$6,$I$6,$I$8),2)</f>
        <v>0</v>
      </c>
      <c r="L164" s="8">
        <f>J164+K164</f>
        <v>1200</v>
      </c>
      <c r="M164" s="57">
        <f>G164-L164</f>
        <v>0</v>
      </c>
      <c r="N164" s="57">
        <f t="shared" si="24"/>
        <v>0</v>
      </c>
      <c r="O164" s="57">
        <f>ROUND(Dot_ex($D164,$E164,$F164,$G164,$H164,$I164,$L164+SUM($N164:N164),E$115,E$117,E$117),2)</f>
        <v>0</v>
      </c>
      <c r="P164" s="57">
        <f>ROUND(Dot_ex($D164,$E164,$F164,$G164,$H164,$I164,$L164+SUM($N164:O164),F$115,F$117,F$117),2)</f>
        <v>0</v>
      </c>
      <c r="Q164" s="57">
        <f>ROUND(Dot_ex($D164,$E164,$F164,$G164,$H164,$I164,$L164+SUM($N164:P164),G$115,G$117,G$117),2)</f>
        <v>0</v>
      </c>
      <c r="R164" s="57">
        <f>ROUND(Dot_ex($D164,$E164,$F164,$G164,$H164,$I164,$L164+SUM($N164:Q164),H$115,H$117,H$117),2)</f>
        <v>0</v>
      </c>
      <c r="S164" s="57">
        <f>ROUND(Dot_ex($D164,$E164,$F164,$G164,$H164,$I164,$L164+SUM($N164:R164),I$115,I$117,I$117),2)</f>
        <v>0</v>
      </c>
      <c r="T164" s="57">
        <f>ROUND(Dot_ex($D164,$E164,$F164,$G164,$H164,$I164,$L164+SUM($N164:S164),J$115,J$117,J$117),2)</f>
        <v>0</v>
      </c>
      <c r="U164" s="57">
        <f>ROUND(Dot_ex($D164,$E164,$F164,$G164,$H164,$I164,$L164+SUM($N164:T164),K$115,K$117,K$117),2)</f>
        <v>0</v>
      </c>
      <c r="V164" s="57">
        <f>ROUND(Dot_ex($D164,$E164,$F164,$G164,$H164,$I164,$L164+SUM($N164:U164),L$115,L$117,L$117),2)</f>
        <v>0</v>
      </c>
      <c r="W164" s="57">
        <f>ROUND(Dot_ex($D164,$E164,$F164,$G164,$H164,$I164,$L164+SUM($N164:V164),M$115,M$117,M$117),2)</f>
        <v>0</v>
      </c>
    </row>
    <row r="165" spans="1:23" x14ac:dyDescent="0.2">
      <c r="A165" s="107">
        <f t="shared" ca="1" si="25"/>
        <v>9</v>
      </c>
      <c r="B165" s="1" t="s">
        <v>278</v>
      </c>
      <c r="C165" s="1" t="s">
        <v>265</v>
      </c>
      <c r="D165" s="77">
        <v>39976</v>
      </c>
      <c r="E165" s="77">
        <v>39976</v>
      </c>
      <c r="F165" s="77"/>
      <c r="G165" s="8">
        <v>750</v>
      </c>
      <c r="H165" s="1" t="s">
        <v>8</v>
      </c>
      <c r="I165" s="78">
        <v>3</v>
      </c>
      <c r="J165" s="8">
        <v>750</v>
      </c>
      <c r="K165" s="8">
        <f>ROUND(Dot_ex(D165,E165,F165,G165,H165,I165,J165,$G$6,$I$6,$I$8),2)</f>
        <v>0</v>
      </c>
      <c r="L165" s="8">
        <f>J165+K165</f>
        <v>750</v>
      </c>
      <c r="M165" s="57">
        <f>G165-L165</f>
        <v>0</v>
      </c>
      <c r="N165" s="57">
        <f>ROUND(Dot_ex($D165,$E165,$F165,$G165,$H165,$I165,$L165,D$115,D$117,D$117),2)</f>
        <v>0</v>
      </c>
      <c r="O165" s="57">
        <f>ROUND(Dot_ex($D165,$E165,$F165,$G165,$H165,$I165,$L165+SUM($N165:N165),E$115,E$117,E$117),2)</f>
        <v>0</v>
      </c>
      <c r="P165" s="57">
        <f>ROUND(Dot_ex($D165,$E165,$F165,$G165,$H165,$I165,$L165+SUM($N165:O165),F$115,F$117,F$117),2)</f>
        <v>0</v>
      </c>
      <c r="Q165" s="57">
        <f>ROUND(Dot_ex($D165,$E165,$F165,$G165,$H165,$I165,$L165+SUM($N165:P165),G$115,G$117,G$117),2)</f>
        <v>0</v>
      </c>
      <c r="R165" s="57">
        <f>ROUND(Dot_ex($D165,$E165,$F165,$G165,$H165,$I165,$L165+SUM($N165:Q165),H$115,H$117,H$117),2)</f>
        <v>0</v>
      </c>
      <c r="S165" s="57">
        <f>ROUND(Dot_ex($D165,$E165,$F165,$G165,$H165,$I165,$L165+SUM($N165:R165),I$115,I$117,I$117),2)</f>
        <v>0</v>
      </c>
      <c r="T165" s="57">
        <f>ROUND(Dot_ex($D165,$E165,$F165,$G165,$H165,$I165,$L165+SUM($N165:S165),J$115,J$117,J$117),2)</f>
        <v>0</v>
      </c>
      <c r="U165" s="57">
        <f>ROUND(Dot_ex($D165,$E165,$F165,$G165,$H165,$I165,$L165+SUM($N165:T165),K$115,K$117,K$117),2)</f>
        <v>0</v>
      </c>
      <c r="V165" s="57">
        <f>ROUND(Dot_ex($D165,$E165,$F165,$G165,$H165,$I165,$L165+SUM($N165:U165),L$115,L$117,L$117),2)</f>
        <v>0</v>
      </c>
      <c r="W165" s="57">
        <f>ROUND(Dot_ex($D165,$E165,$F165,$G165,$H165,$I165,$L165+SUM($N165:V165),M$115,M$117,M$117),2)</f>
        <v>0</v>
      </c>
    </row>
    <row r="166" spans="1:23" x14ac:dyDescent="0.2">
      <c r="A166" s="107">
        <f t="shared" ca="1" si="25"/>
        <v>10</v>
      </c>
      <c r="B166" s="1" t="s">
        <v>283</v>
      </c>
      <c r="C166" s="1" t="s">
        <v>265</v>
      </c>
      <c r="D166" s="77">
        <v>40207</v>
      </c>
      <c r="E166" s="77">
        <v>40207</v>
      </c>
      <c r="F166" s="77"/>
      <c r="G166" s="8">
        <v>250</v>
      </c>
      <c r="H166" s="1" t="s">
        <v>8</v>
      </c>
      <c r="I166" s="78">
        <v>3</v>
      </c>
      <c r="J166" s="8">
        <v>201.59</v>
      </c>
      <c r="K166" s="8">
        <f>ROUND(Dot_ex(D166,E166,F166,G166,H166,I166,J166,$G$6,$I$6,$I$8),2)</f>
        <v>48.41</v>
      </c>
      <c r="L166" s="8">
        <f>J166+K166</f>
        <v>250</v>
      </c>
      <c r="M166" s="57">
        <f>G166-L166</f>
        <v>0</v>
      </c>
      <c r="N166" s="57">
        <f>ROUND(Dot_ex($D166,$E166,$F166,$G166,$H166,$I166,$L166,D$115,D$117,D$117),2)</f>
        <v>0</v>
      </c>
      <c r="O166" s="57">
        <f>ROUND(Dot_ex($D166,$E166,$F166,$G166,$H166,$I166,$L166+SUM($N166:N166),E$115,E$117,E$117),2)</f>
        <v>0</v>
      </c>
      <c r="P166" s="57">
        <f>ROUND(Dot_ex($D166,$E166,$F166,$G166,$H166,$I166,$L166+SUM($N166:O166),F$115,F$117,F$117),2)</f>
        <v>0</v>
      </c>
      <c r="Q166" s="57">
        <f>ROUND(Dot_ex($D166,$E166,$F166,$G166,$H166,$I166,$L166+SUM($N166:P166),G$115,G$117,G$117),2)</f>
        <v>0</v>
      </c>
      <c r="R166" s="57">
        <f>ROUND(Dot_ex($D166,$E166,$F166,$G166,$H166,$I166,$L166+SUM($N166:Q166),H$115,H$117,H$117),2)</f>
        <v>0</v>
      </c>
      <c r="S166" s="57">
        <f>ROUND(Dot_ex($D166,$E166,$F166,$G166,$H166,$I166,$L166+SUM($N166:R166),I$115,I$117,I$117),2)</f>
        <v>0</v>
      </c>
      <c r="T166" s="57">
        <f>ROUND(Dot_ex($D166,$E166,$F166,$G166,$H166,$I166,$L166+SUM($N166:S166),J$115,J$117,J$117),2)</f>
        <v>0</v>
      </c>
      <c r="U166" s="57">
        <f>ROUND(Dot_ex($D166,$E166,$F166,$G166,$H166,$I166,$L166+SUM($N166:T166),K$115,K$117,K$117),2)</f>
        <v>0</v>
      </c>
      <c r="V166" s="57">
        <f>ROUND(Dot_ex($D166,$E166,$F166,$G166,$H166,$I166,$L166+SUM($N166:U166),L$115,L$117,L$117),2)</f>
        <v>0</v>
      </c>
      <c r="W166" s="57">
        <f>ROUND(Dot_ex($D166,$E166,$F166,$G166,$H166,$I166,$L166+SUM($N166:V166),M$115,M$117,M$117),2)</f>
        <v>0</v>
      </c>
    </row>
    <row r="167" spans="1:23" x14ac:dyDescent="0.2">
      <c r="A167" s="107">
        <f t="shared" ca="1" si="25"/>
        <v>11</v>
      </c>
      <c r="B167" s="1" t="s">
        <v>288</v>
      </c>
      <c r="C167" s="1" t="s">
        <v>265</v>
      </c>
      <c r="D167" s="77">
        <v>40694</v>
      </c>
      <c r="E167" s="77">
        <v>40694</v>
      </c>
      <c r="F167" s="77"/>
      <c r="G167" s="8">
        <v>351</v>
      </c>
      <c r="H167" s="1" t="s">
        <v>8</v>
      </c>
      <c r="I167" s="78">
        <v>3</v>
      </c>
      <c r="J167" s="8">
        <v>126.94</v>
      </c>
      <c r="K167" s="8">
        <f>ROUND(Dot_ex(D167,E167,F167,G167,H167,I167,J167,$G$6,$I$6,$I$8),2)</f>
        <v>117</v>
      </c>
      <c r="L167" s="8">
        <f>J167+K167</f>
        <v>243.94</v>
      </c>
      <c r="M167" s="57">
        <f>G167-L167</f>
        <v>107.06</v>
      </c>
      <c r="N167" s="57">
        <f>ROUND(Dot_ex($D167,$E167,$F167,$G167,$H167,$I167,$L167,D$115,D$117,D$117),2)</f>
        <v>107.06</v>
      </c>
      <c r="O167" s="57">
        <f>ROUND(Dot_ex($D167,$E167,$F167,$G167,$H167,$I167,$L167+SUM($N167:N167),E$115,E$117,E$117),2)</f>
        <v>0</v>
      </c>
      <c r="P167" s="57">
        <f>ROUND(Dot_ex($D167,$E167,$F167,$G167,$H167,$I167,$L167+SUM($N167:O167),F$115,F$117,F$117),2)</f>
        <v>0</v>
      </c>
      <c r="Q167" s="57">
        <f>ROUND(Dot_ex($D167,$E167,$F167,$G167,$H167,$I167,$L167+SUM($N167:P167),G$115,G$117,G$117),2)</f>
        <v>0</v>
      </c>
      <c r="R167" s="57">
        <f>ROUND(Dot_ex($D167,$E167,$F167,$G167,$H167,$I167,$L167+SUM($N167:Q167),H$115,H$117,H$117),2)</f>
        <v>0</v>
      </c>
      <c r="S167" s="57">
        <f>ROUND(Dot_ex($D167,$E167,$F167,$G167,$H167,$I167,$L167+SUM($N167:R167),I$115,I$117,I$117),2)</f>
        <v>0</v>
      </c>
      <c r="T167" s="57">
        <f>ROUND(Dot_ex($D167,$E167,$F167,$G167,$H167,$I167,$L167+SUM($N167:S167),J$115,J$117,J$117),2)</f>
        <v>0</v>
      </c>
      <c r="U167" s="57">
        <f>ROUND(Dot_ex($D167,$E167,$F167,$G167,$H167,$I167,$L167+SUM($N167:T167),K$115,K$117,K$117),2)</f>
        <v>0</v>
      </c>
      <c r="V167" s="57">
        <f>ROUND(Dot_ex($D167,$E167,$F167,$G167,$H167,$I167,$L167+SUM($N167:U167),L$115,L$117,L$117),2)</f>
        <v>0</v>
      </c>
      <c r="W167" s="57">
        <f>ROUND(Dot_ex($D167,$E167,$F167,$G167,$H167,$I167,$L167+SUM($N167:V167),M$115,M$117,M$117),2)</f>
        <v>0</v>
      </c>
    </row>
    <row r="168" spans="1:23" x14ac:dyDescent="0.2">
      <c r="A168" s="107">
        <f t="shared" ca="1" si="25"/>
        <v>12</v>
      </c>
      <c r="B168" s="1" t="s">
        <v>302</v>
      </c>
      <c r="C168" s="1" t="s">
        <v>265</v>
      </c>
      <c r="D168" s="77">
        <v>40992</v>
      </c>
      <c r="E168" s="77">
        <v>40992</v>
      </c>
      <c r="F168" s="77"/>
      <c r="G168" s="8">
        <v>2148</v>
      </c>
      <c r="H168" s="1" t="s">
        <v>8</v>
      </c>
      <c r="I168" s="78">
        <v>3</v>
      </c>
      <c r="J168" s="8">
        <v>193.67</v>
      </c>
      <c r="K168" s="8">
        <f t="shared" ref="K168:K170" si="26">ROUND(Dot_ex(D168,E168,F168,G168,H168,I168,J168,$G$6,$I$6,$I$8),2)</f>
        <v>716</v>
      </c>
      <c r="L168" s="8">
        <f t="shared" ref="L168:L170" si="27">J168+K168</f>
        <v>909.67</v>
      </c>
      <c r="M168" s="57">
        <f t="shared" ref="M168:M170" si="28">G168-L168</f>
        <v>1238.33</v>
      </c>
      <c r="N168" s="57">
        <f t="shared" ref="N168:N170" si="29">ROUND(Dot_ex($D168,$E168,$F168,$G168,$H168,$I168,$L168,D$115,D$117,D$117),2)</f>
        <v>716</v>
      </c>
      <c r="O168" s="57">
        <f>ROUND(Dot_ex($D168,$E168,$F168,$G168,$H168,$I168,$L168+SUM($N168:N168),E$115,E$117,E$117),2)</f>
        <v>522.33000000000004</v>
      </c>
      <c r="P168" s="57">
        <f>ROUND(Dot_ex($D168,$E168,$F168,$G168,$H168,$I168,$L168+SUM($N168:O168),F$115,F$117,F$117),2)</f>
        <v>0</v>
      </c>
      <c r="Q168" s="57">
        <f>ROUND(Dot_ex($D168,$E168,$F168,$G168,$H168,$I168,$L168+SUM($N168:P168),G$115,G$117,G$117),2)</f>
        <v>0</v>
      </c>
      <c r="R168" s="57">
        <f>ROUND(Dot_ex($D168,$E168,$F168,$G168,$H168,$I168,$L168+SUM($N168:Q168),H$115,H$117,H$117),2)</f>
        <v>0</v>
      </c>
      <c r="S168" s="57">
        <f>ROUND(Dot_ex($D168,$E168,$F168,$G168,$H168,$I168,$L168+SUM($N168:R168),I$115,I$117,I$117),2)</f>
        <v>0</v>
      </c>
      <c r="T168" s="57">
        <f>ROUND(Dot_ex($D168,$E168,$F168,$G168,$H168,$I168,$L168+SUM($N168:S168),J$115,J$117,J$117),2)</f>
        <v>0</v>
      </c>
      <c r="U168" s="57">
        <f>ROUND(Dot_ex($D168,$E168,$F168,$G168,$H168,$I168,$L168+SUM($N168:T168),K$115,K$117,K$117),2)</f>
        <v>0</v>
      </c>
      <c r="V168" s="57">
        <f>ROUND(Dot_ex($D168,$E168,$F168,$G168,$H168,$I168,$L168+SUM($N168:U168),L$115,L$117,L$117),2)</f>
        <v>0</v>
      </c>
      <c r="W168" s="57">
        <f>ROUND(Dot_ex($D168,$E168,$F168,$G168,$H168,$I168,$L168+SUM($N168:V168),M$115,M$117,M$117),2)</f>
        <v>0</v>
      </c>
    </row>
    <row r="169" spans="1:23" x14ac:dyDescent="0.2">
      <c r="A169" s="107">
        <f t="shared" ca="1" si="25"/>
        <v>13</v>
      </c>
      <c r="B169" s="1" t="s">
        <v>303</v>
      </c>
      <c r="C169" s="1" t="s">
        <v>265</v>
      </c>
      <c r="D169" s="77">
        <v>40992</v>
      </c>
      <c r="E169" s="77">
        <v>40992</v>
      </c>
      <c r="F169" s="77"/>
      <c r="G169" s="8">
        <v>178</v>
      </c>
      <c r="H169" s="1" t="s">
        <v>8</v>
      </c>
      <c r="I169" s="78">
        <v>3</v>
      </c>
      <c r="J169" s="8">
        <v>16.05</v>
      </c>
      <c r="K169" s="8">
        <f t="shared" si="26"/>
        <v>59.33</v>
      </c>
      <c r="L169" s="8">
        <f t="shared" si="27"/>
        <v>75.38</v>
      </c>
      <c r="M169" s="57">
        <f t="shared" si="28"/>
        <v>102.62</v>
      </c>
      <c r="N169" s="57">
        <f t="shared" si="29"/>
        <v>59.33</v>
      </c>
      <c r="O169" s="57">
        <f>ROUND(Dot_ex($D169,$E169,$F169,$G169,$H169,$I169,$L169+SUM($N169:N169),E$115,E$117,E$117),2)</f>
        <v>43.29</v>
      </c>
      <c r="P169" s="57">
        <f>ROUND(Dot_ex($D169,$E169,$F169,$G169,$H169,$I169,$L169+SUM($N169:O169),F$115,F$117,F$117),2)</f>
        <v>0</v>
      </c>
      <c r="Q169" s="57">
        <f>ROUND(Dot_ex($D169,$E169,$F169,$G169,$H169,$I169,$L169+SUM($N169:P169),G$115,G$117,G$117),2)</f>
        <v>0</v>
      </c>
      <c r="R169" s="57">
        <f>ROUND(Dot_ex($D169,$E169,$F169,$G169,$H169,$I169,$L169+SUM($N169:Q169),H$115,H$117,H$117),2)</f>
        <v>0</v>
      </c>
      <c r="S169" s="57">
        <f>ROUND(Dot_ex($D169,$E169,$F169,$G169,$H169,$I169,$L169+SUM($N169:R169),I$115,I$117,I$117),2)</f>
        <v>0</v>
      </c>
      <c r="T169" s="57">
        <f>ROUND(Dot_ex($D169,$E169,$F169,$G169,$H169,$I169,$L169+SUM($N169:S169),J$115,J$117,J$117),2)</f>
        <v>0</v>
      </c>
      <c r="U169" s="57">
        <f>ROUND(Dot_ex($D169,$E169,$F169,$G169,$H169,$I169,$L169+SUM($N169:T169),K$115,K$117,K$117),2)</f>
        <v>0</v>
      </c>
      <c r="V169" s="57">
        <f>ROUND(Dot_ex($D169,$E169,$F169,$G169,$H169,$I169,$L169+SUM($N169:U169),L$115,L$117,L$117),2)</f>
        <v>0</v>
      </c>
      <c r="W169" s="57">
        <f>ROUND(Dot_ex($D169,$E169,$F169,$G169,$H169,$I169,$L169+SUM($N169:V169),M$115,M$117,M$117),2)</f>
        <v>0</v>
      </c>
    </row>
    <row r="170" spans="1:23" x14ac:dyDescent="0.2">
      <c r="A170" s="107">
        <f t="shared" ca="1" si="25"/>
        <v>14</v>
      </c>
      <c r="B170" s="1" t="s">
        <v>304</v>
      </c>
      <c r="C170" s="1" t="s">
        <v>265</v>
      </c>
      <c r="D170" s="77">
        <v>41029</v>
      </c>
      <c r="E170" s="77">
        <v>41029</v>
      </c>
      <c r="F170" s="77"/>
      <c r="G170" s="8">
        <v>948</v>
      </c>
      <c r="H170" s="1" t="s">
        <v>8</v>
      </c>
      <c r="I170" s="78">
        <v>3</v>
      </c>
      <c r="J170" s="8">
        <v>53.53</v>
      </c>
      <c r="K170" s="8">
        <f t="shared" si="26"/>
        <v>316</v>
      </c>
      <c r="L170" s="8">
        <f t="shared" si="27"/>
        <v>369.53</v>
      </c>
      <c r="M170" s="57">
        <f t="shared" si="28"/>
        <v>578.47</v>
      </c>
      <c r="N170" s="57">
        <f t="shared" si="29"/>
        <v>316</v>
      </c>
      <c r="O170" s="57">
        <f>ROUND(Dot_ex($D170,$E170,$F170,$G170,$H170,$I170,$L170+SUM($N170:N170),E$115,E$117,E$117),2)</f>
        <v>262.47000000000003</v>
      </c>
      <c r="P170" s="57">
        <f>ROUND(Dot_ex($D170,$E170,$F170,$G170,$H170,$I170,$L170+SUM($N170:O170),F$115,F$117,F$117),2)</f>
        <v>0</v>
      </c>
      <c r="Q170" s="57">
        <f>ROUND(Dot_ex($D170,$E170,$F170,$G170,$H170,$I170,$L170+SUM($N170:P170),G$115,G$117,G$117),2)</f>
        <v>0</v>
      </c>
      <c r="R170" s="57">
        <f>ROUND(Dot_ex($D170,$E170,$F170,$G170,$H170,$I170,$L170+SUM($N170:Q170),H$115,H$117,H$117),2)</f>
        <v>0</v>
      </c>
      <c r="S170" s="57">
        <f>ROUND(Dot_ex($D170,$E170,$F170,$G170,$H170,$I170,$L170+SUM($N170:R170),I$115,I$117,I$117),2)</f>
        <v>0</v>
      </c>
      <c r="T170" s="57">
        <f>ROUND(Dot_ex($D170,$E170,$F170,$G170,$H170,$I170,$L170+SUM($N170:S170),J$115,J$117,J$117),2)</f>
        <v>0</v>
      </c>
      <c r="U170" s="57">
        <f>ROUND(Dot_ex($D170,$E170,$F170,$G170,$H170,$I170,$L170+SUM($N170:T170),K$115,K$117,K$117),2)</f>
        <v>0</v>
      </c>
      <c r="V170" s="57">
        <f>ROUND(Dot_ex($D170,$E170,$F170,$G170,$H170,$I170,$L170+SUM($N170:U170),L$115,L$117,L$117),2)</f>
        <v>0</v>
      </c>
      <c r="W170" s="57">
        <f>ROUND(Dot_ex($D170,$E170,$F170,$G170,$H170,$I170,$L170+SUM($N170:V170),M$115,M$117,M$117),2)</f>
        <v>0</v>
      </c>
    </row>
    <row r="171" spans="1:23" x14ac:dyDescent="0.2">
      <c r="A171" s="101"/>
      <c r="H171" s="1"/>
      <c r="I171" s="1"/>
      <c r="J171" s="8"/>
      <c r="K171" s="8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</row>
    <row r="172" spans="1:23" x14ac:dyDescent="0.2">
      <c r="A172" s="101"/>
      <c r="E172" s="94" t="s">
        <v>14</v>
      </c>
      <c r="F172" s="95"/>
      <c r="G172" s="96">
        <f>SUM(G157:G171)</f>
        <v>23099.09</v>
      </c>
      <c r="H172" s="94"/>
      <c r="I172" s="97"/>
      <c r="J172" s="96">
        <f t="shared" ref="J172:W172" si="30">SUM(J157:J171)</f>
        <v>19815.869999999995</v>
      </c>
      <c r="K172" s="96">
        <f t="shared" si="30"/>
        <v>1256.74</v>
      </c>
      <c r="L172" s="96">
        <f t="shared" si="30"/>
        <v>21072.609999999997</v>
      </c>
      <c r="M172" s="203">
        <f t="shared" si="30"/>
        <v>2026.4799999999998</v>
      </c>
      <c r="N172" s="203">
        <f t="shared" si="30"/>
        <v>1198.3899999999999</v>
      </c>
      <c r="O172" s="203">
        <f t="shared" si="30"/>
        <v>828.09</v>
      </c>
      <c r="P172" s="203">
        <f t="shared" si="30"/>
        <v>0</v>
      </c>
      <c r="Q172" s="203">
        <f t="shared" si="30"/>
        <v>0</v>
      </c>
      <c r="R172" s="203">
        <f t="shared" si="30"/>
        <v>0</v>
      </c>
      <c r="S172" s="203">
        <f t="shared" si="30"/>
        <v>0</v>
      </c>
      <c r="T172" s="203">
        <f t="shared" si="30"/>
        <v>0</v>
      </c>
      <c r="U172" s="203">
        <f t="shared" si="30"/>
        <v>0</v>
      </c>
      <c r="V172" s="203">
        <f t="shared" si="30"/>
        <v>0</v>
      </c>
      <c r="W172" s="203">
        <f t="shared" si="30"/>
        <v>0</v>
      </c>
    </row>
    <row r="173" spans="1:23" x14ac:dyDescent="0.2">
      <c r="A173" s="101"/>
      <c r="E173" s="94"/>
      <c r="F173" s="95"/>
      <c r="G173" s="96"/>
      <c r="H173" s="94"/>
      <c r="I173" s="97"/>
      <c r="J173" s="96"/>
      <c r="K173" s="96"/>
      <c r="L173" s="96"/>
      <c r="M173" s="203"/>
      <c r="N173" s="14"/>
      <c r="O173" s="14"/>
      <c r="P173" s="14"/>
      <c r="Q173" s="14"/>
      <c r="R173" s="14"/>
      <c r="S173" s="14"/>
      <c r="T173" s="14"/>
      <c r="U173" s="14"/>
      <c r="V173" s="14"/>
      <c r="W173" s="14"/>
    </row>
    <row r="174" spans="1:23" x14ac:dyDescent="0.2">
      <c r="A174" s="101"/>
      <c r="E174" s="1" t="s">
        <v>23</v>
      </c>
      <c r="G174" s="8">
        <f>SUMIF($D157:$D171,"&lt;"&amp;TEXT($G$6,"jj/mm/aa"),G$157:G$171)</f>
        <v>23099.09</v>
      </c>
      <c r="H174" s="1"/>
      <c r="I174" s="78"/>
      <c r="J174" s="8">
        <f>SUMIF($D157:$D171,"&lt;"&amp;TEXT($G$6,"jj/mm/aa"),J$157:J$171)</f>
        <v>19815.869999999995</v>
      </c>
      <c r="K174" s="8">
        <f>SUMIF($D157:$D171,"&lt;"&amp;TEXT($G$6,"jj/mm/aa"),K$157:K$171)</f>
        <v>1256.74</v>
      </c>
      <c r="L174" s="8">
        <f>SUMIF($D157:$D171,"&lt;"&amp;TEXT($G$6,"jj/mm/aa"),L$157:L$171)</f>
        <v>21072.609999999997</v>
      </c>
      <c r="M174" s="57">
        <f>SUMIF($D157:$D171,"&lt;"&amp;TEXT($G$6,"jj/mm/aa"),M$157:M$171)</f>
        <v>2026.4799999999998</v>
      </c>
      <c r="N174" s="14"/>
      <c r="O174" s="14"/>
      <c r="P174" s="14"/>
      <c r="Q174" s="14"/>
      <c r="R174" s="14"/>
      <c r="S174" s="14"/>
      <c r="T174" s="14"/>
      <c r="U174" s="14"/>
      <c r="V174" s="14"/>
      <c r="W174" s="14"/>
    </row>
    <row r="175" spans="1:23" x14ac:dyDescent="0.2">
      <c r="A175" s="101"/>
      <c r="E175" s="1" t="s">
        <v>38</v>
      </c>
      <c r="G175" s="8">
        <f>SUMIF($D157:$D171,"&gt;="&amp;TEXT($G$6,"jj/mm/aa"),G$157:G$171)</f>
        <v>0</v>
      </c>
      <c r="J175" s="8">
        <f>SUMIF($D157:$D171,"&gt;="&amp;TEXT($G$6,"jj/mm/aa"),J$157:J$171)</f>
        <v>0</v>
      </c>
      <c r="K175" s="8">
        <f>SUMIF($D157:$D171,"&gt;="&amp;TEXT($G$6,"jj/mm/aa"),K$157:K$171)</f>
        <v>0</v>
      </c>
      <c r="L175" s="8">
        <f>SUMIF($D157:$D171,"&gt;="&amp;TEXT($G$6,"jj/mm/aa"),L$157:L$171)</f>
        <v>0</v>
      </c>
      <c r="M175" s="57">
        <f>SUMIF($D157:$D171,"&gt;="&amp;TEXT($G$6,"jj/mm/aa"),M$157:M$171)</f>
        <v>0</v>
      </c>
      <c r="N175" s="14"/>
      <c r="O175" s="14"/>
      <c r="P175" s="14"/>
      <c r="Q175" s="14"/>
      <c r="R175" s="14"/>
      <c r="S175" s="14"/>
      <c r="T175" s="14"/>
      <c r="U175" s="14"/>
      <c r="V175" s="14"/>
      <c r="W175" s="14"/>
    </row>
    <row r="176" spans="1:23" x14ac:dyDescent="0.2">
      <c r="A176" s="101"/>
      <c r="E176" s="1" t="s">
        <v>39</v>
      </c>
      <c r="G176" s="8">
        <f>SUMIF($F157:$F171,"&gt;="&amp;TEXT($G$6,"jj/mm/aa"),G$157:G$171)</f>
        <v>0</v>
      </c>
      <c r="J176" s="8">
        <f>SUMIF($F157:$F171,"&gt;="&amp;TEXT($G$6,"jj/mm/aa"),J$157:J$171)</f>
        <v>0</v>
      </c>
      <c r="K176" s="8">
        <f>SUMIF($F157:$F171,"&gt;="&amp;TEXT($G$6,"jj/mm/aa"),K$157:K$171)</f>
        <v>0</v>
      </c>
      <c r="L176" s="8">
        <f>SUMIF($F157:$F171,"&gt;="&amp;TEXT($G$6,"jj/mm/aa"),L$157:L$171)</f>
        <v>0</v>
      </c>
      <c r="M176" s="57">
        <f>SUMIF($F157:$F171,"&gt;="&amp;TEXT($G$6,"jj/mm/aa"),M$157:M$171)</f>
        <v>0</v>
      </c>
      <c r="N176" s="14"/>
      <c r="O176" s="14"/>
      <c r="P176" s="14"/>
      <c r="Q176" s="14"/>
      <c r="R176" s="14"/>
      <c r="S176" s="14"/>
      <c r="T176" s="14"/>
      <c r="U176" s="14"/>
      <c r="V176" s="14"/>
      <c r="W176" s="14"/>
    </row>
    <row r="177" spans="1:23" x14ac:dyDescent="0.2">
      <c r="A177" s="101"/>
      <c r="E177" s="1" t="s">
        <v>15</v>
      </c>
      <c r="G177" s="8">
        <f>G174+G175-G176</f>
        <v>23099.09</v>
      </c>
      <c r="J177" s="8">
        <f>J174+J175-J176</f>
        <v>19815.869999999995</v>
      </c>
      <c r="K177" s="8">
        <f>K174+K175-K176</f>
        <v>1256.74</v>
      </c>
      <c r="L177" s="8">
        <f>L174+L175-L176</f>
        <v>21072.609999999997</v>
      </c>
      <c r="M177" s="57">
        <f>M174+M175-M176</f>
        <v>2026.4799999999998</v>
      </c>
      <c r="N177" s="14"/>
      <c r="O177" s="14"/>
      <c r="P177" s="14"/>
      <c r="Q177" s="14"/>
      <c r="R177" s="14"/>
      <c r="S177" s="14"/>
      <c r="T177" s="14"/>
      <c r="U177" s="14"/>
      <c r="V177" s="14"/>
      <c r="W177" s="14"/>
    </row>
    <row r="178" spans="1:23" x14ac:dyDescent="0.2">
      <c r="A178" s="101"/>
      <c r="E178" s="1"/>
      <c r="G178" s="8"/>
      <c r="J178" s="8"/>
      <c r="K178" s="8"/>
      <c r="L178" s="8"/>
      <c r="M178" s="57"/>
      <c r="N178" s="14"/>
      <c r="O178" s="14"/>
      <c r="P178" s="14"/>
      <c r="Q178" s="14"/>
      <c r="R178" s="14"/>
      <c r="S178" s="14"/>
      <c r="T178" s="14"/>
      <c r="U178" s="14"/>
      <c r="V178" s="14"/>
      <c r="W178" s="14"/>
    </row>
    <row r="179" spans="1:23" x14ac:dyDescent="0.2">
      <c r="A179" s="101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</row>
    <row r="180" spans="1:23" ht="24.95" customHeight="1" x14ac:dyDescent="0.2">
      <c r="A180" s="208" t="s">
        <v>170</v>
      </c>
      <c r="B180" s="209"/>
      <c r="C180" s="209"/>
      <c r="D180" s="209"/>
      <c r="E180" s="210"/>
      <c r="F180" s="211"/>
      <c r="G180" s="211"/>
      <c r="H180" s="211"/>
      <c r="I180" s="211"/>
      <c r="J180" s="211"/>
      <c r="K180" s="211"/>
      <c r="L180" s="211"/>
      <c r="M180" s="226"/>
      <c r="N180" s="212" t="str">
        <f>A180 &amp; "   -   Dotations prévisionnelles"</f>
        <v>211500 TERRAINS BATIS   -   Dotations prévisionnelles</v>
      </c>
      <c r="O180" s="212"/>
      <c r="P180" s="212"/>
      <c r="Q180" s="212"/>
      <c r="R180" s="212"/>
      <c r="S180" s="212"/>
      <c r="T180" s="212"/>
      <c r="U180" s="212"/>
      <c r="V180" s="212"/>
      <c r="W180" s="213"/>
    </row>
    <row r="181" spans="1:23" x14ac:dyDescent="0.2">
      <c r="A181" s="107">
        <f ca="1">IF(ISNUMBER(A180),A180+1,OFFSET(A181,-Nbre_Ligne_Entre_Compte,0,1,1)+1)</f>
        <v>15</v>
      </c>
      <c r="B181" s="1" t="s">
        <v>171</v>
      </c>
      <c r="C181" s="1"/>
      <c r="D181" s="77">
        <v>36714</v>
      </c>
      <c r="E181" s="77">
        <v>36714</v>
      </c>
      <c r="F181" s="77"/>
      <c r="G181" s="8">
        <v>39485.82</v>
      </c>
      <c r="H181" s="1" t="s">
        <v>16</v>
      </c>
      <c r="I181" s="78"/>
      <c r="J181" s="8"/>
      <c r="K181" s="8">
        <f>ROUND(Dot_ex(D181,E181,F181,G181,H181,I181,J181,$G$6,$I$6,$I$8),2)</f>
        <v>0</v>
      </c>
      <c r="L181" s="8">
        <f>J181+K181</f>
        <v>0</v>
      </c>
      <c r="M181" s="57">
        <f>G181-L181</f>
        <v>39485.82</v>
      </c>
      <c r="N181" s="14"/>
      <c r="O181" s="14"/>
      <c r="P181" s="14"/>
      <c r="Q181" s="14"/>
      <c r="R181" s="14"/>
      <c r="S181" s="14"/>
      <c r="T181" s="14"/>
      <c r="U181" s="14"/>
      <c r="V181" s="14"/>
      <c r="W181" s="14"/>
    </row>
    <row r="182" spans="1:23" x14ac:dyDescent="0.2">
      <c r="A182" s="101"/>
      <c r="H182" s="1"/>
      <c r="I182" s="1"/>
      <c r="J182" s="8"/>
      <c r="K182" s="8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</row>
    <row r="183" spans="1:23" x14ac:dyDescent="0.2">
      <c r="A183" s="101"/>
      <c r="E183" s="94" t="s">
        <v>14</v>
      </c>
      <c r="F183" s="95"/>
      <c r="G183" s="96">
        <f>SUM(G181:G182)</f>
        <v>39485.82</v>
      </c>
      <c r="H183" s="94"/>
      <c r="I183" s="97"/>
      <c r="J183" s="96">
        <f>SUM(J181:J182)</f>
        <v>0</v>
      </c>
      <c r="K183" s="96">
        <f>SUM(K181:K182)</f>
        <v>0</v>
      </c>
      <c r="L183" s="96">
        <f>SUM(L181:L182)</f>
        <v>0</v>
      </c>
      <c r="M183" s="203">
        <f>SUM(M181:M182)</f>
        <v>39485.82</v>
      </c>
      <c r="N183" s="14"/>
      <c r="O183" s="14"/>
      <c r="P183" s="14"/>
      <c r="Q183" s="14"/>
      <c r="R183" s="14"/>
      <c r="S183" s="14"/>
      <c r="T183" s="14"/>
      <c r="U183" s="14"/>
      <c r="V183" s="14"/>
      <c r="W183" s="14"/>
    </row>
    <row r="184" spans="1:23" x14ac:dyDescent="0.2">
      <c r="A184" s="101"/>
      <c r="E184" s="94"/>
      <c r="F184" s="95"/>
      <c r="G184" s="96"/>
      <c r="H184" s="94"/>
      <c r="I184" s="97"/>
      <c r="J184" s="96"/>
      <c r="K184" s="96"/>
      <c r="L184" s="96"/>
      <c r="M184" s="203"/>
      <c r="N184" s="14"/>
      <c r="O184" s="14"/>
      <c r="P184" s="14"/>
      <c r="Q184" s="14"/>
      <c r="R184" s="14"/>
      <c r="S184" s="14"/>
      <c r="T184" s="14"/>
      <c r="U184" s="14"/>
      <c r="V184" s="14"/>
      <c r="W184" s="14"/>
    </row>
    <row r="185" spans="1:23" x14ac:dyDescent="0.2">
      <c r="A185" s="101"/>
      <c r="E185" s="1" t="s">
        <v>23</v>
      </c>
      <c r="G185" s="8">
        <f>SUMIF($D181:$D182,"&lt;"&amp;TEXT($G$6,"jj/mm/aa"),G$181:G$182)</f>
        <v>39485.82</v>
      </c>
      <c r="H185" s="1"/>
      <c r="I185" s="78"/>
      <c r="J185" s="8">
        <f>SUMIF($D181:$D182,"&lt;"&amp;TEXT($G$6,"jj/mm/aa"),J$181:J$182)</f>
        <v>0</v>
      </c>
      <c r="K185" s="8">
        <f>SUMIF($D181:$D182,"&lt;"&amp;TEXT($G$6,"jj/mm/aa"),K$181:K$182)</f>
        <v>0</v>
      </c>
      <c r="L185" s="8">
        <f>SUMIF($D181:$D182,"&lt;"&amp;TEXT($G$6,"jj/mm/aa"),L$181:L$182)</f>
        <v>0</v>
      </c>
      <c r="M185" s="57">
        <f>SUMIF($D181:$D182,"&lt;"&amp;TEXT($G$6,"jj/mm/aa"),M$181:M$182)</f>
        <v>39485.82</v>
      </c>
      <c r="N185" s="14"/>
      <c r="O185" s="14"/>
      <c r="P185" s="14"/>
      <c r="Q185" s="14"/>
      <c r="R185" s="14"/>
      <c r="S185" s="14"/>
      <c r="T185" s="14"/>
      <c r="U185" s="14"/>
      <c r="V185" s="14"/>
      <c r="W185" s="14"/>
    </row>
    <row r="186" spans="1:23" x14ac:dyDescent="0.2">
      <c r="A186" s="101"/>
      <c r="E186" s="1" t="s">
        <v>38</v>
      </c>
      <c r="G186" s="8">
        <f>SUMIF($D181:$D182,"&gt;="&amp;TEXT($G$6,"jj/mm/aa"),G$181:G$182)</f>
        <v>0</v>
      </c>
      <c r="J186" s="8">
        <f>SUMIF($D181:$D182,"&gt;="&amp;TEXT($G$6,"jj/mm/aa"),J$181:J$182)</f>
        <v>0</v>
      </c>
      <c r="K186" s="8">
        <f>SUMIF($D181:$D182,"&gt;="&amp;TEXT($G$6,"jj/mm/aa"),K$181:K$182)</f>
        <v>0</v>
      </c>
      <c r="L186" s="8">
        <f>SUMIF($D181:$D182,"&gt;="&amp;TEXT($G$6,"jj/mm/aa"),L$181:L$182)</f>
        <v>0</v>
      </c>
      <c r="M186" s="57">
        <f>SUMIF($D181:$D182,"&gt;="&amp;TEXT($G$6,"jj/mm/aa"),M$181:M$182)</f>
        <v>0</v>
      </c>
      <c r="N186" s="14"/>
      <c r="O186" s="14"/>
      <c r="P186" s="14"/>
      <c r="Q186" s="14"/>
      <c r="R186" s="14"/>
      <c r="S186" s="14"/>
      <c r="T186" s="14"/>
      <c r="U186" s="14"/>
      <c r="V186" s="14"/>
      <c r="W186" s="14"/>
    </row>
    <row r="187" spans="1:23" x14ac:dyDescent="0.2">
      <c r="A187" s="101"/>
      <c r="E187" s="1" t="s">
        <v>39</v>
      </c>
      <c r="G187" s="8">
        <f>SUMIF($F181:$F182,"&gt;="&amp;TEXT($G$6,"jj/mm/aa"),G$181:G$182)</f>
        <v>0</v>
      </c>
      <c r="J187" s="8">
        <f>SUMIF($F181:$F182,"&gt;="&amp;TEXT($G$6,"jj/mm/aa"),J$181:J$182)</f>
        <v>0</v>
      </c>
      <c r="K187" s="8">
        <f>SUMIF($F181:$F182,"&gt;="&amp;TEXT($G$6,"jj/mm/aa"),K$181:K$182)</f>
        <v>0</v>
      </c>
      <c r="L187" s="8">
        <f>SUMIF($F181:$F182,"&gt;="&amp;TEXT($G$6,"jj/mm/aa"),L$181:L$182)</f>
        <v>0</v>
      </c>
      <c r="M187" s="57">
        <f>SUMIF($F181:$F182,"&gt;="&amp;TEXT($G$6,"jj/mm/aa"),M$181:M$182)</f>
        <v>0</v>
      </c>
      <c r="N187" s="14"/>
      <c r="O187" s="14"/>
      <c r="P187" s="14"/>
      <c r="Q187" s="14"/>
      <c r="R187" s="14"/>
      <c r="S187" s="14"/>
      <c r="T187" s="14"/>
      <c r="U187" s="14"/>
      <c r="V187" s="14"/>
      <c r="W187" s="14"/>
    </row>
    <row r="188" spans="1:23" x14ac:dyDescent="0.2">
      <c r="A188" s="101"/>
      <c r="E188" s="1" t="s">
        <v>15</v>
      </c>
      <c r="G188" s="8">
        <f>G185+G186-G187</f>
        <v>39485.82</v>
      </c>
      <c r="J188" s="8">
        <f>J185+J186-J187</f>
        <v>0</v>
      </c>
      <c r="K188" s="8">
        <f>K185+K186-K187</f>
        <v>0</v>
      </c>
      <c r="L188" s="8">
        <f>L185+L186-L187</f>
        <v>0</v>
      </c>
      <c r="M188" s="57">
        <f>M185+M186-M187</f>
        <v>39485.82</v>
      </c>
      <c r="N188" s="14"/>
      <c r="O188" s="14"/>
      <c r="P188" s="14"/>
      <c r="Q188" s="14"/>
      <c r="R188" s="14"/>
      <c r="S188" s="14"/>
      <c r="T188" s="14"/>
      <c r="U188" s="14"/>
      <c r="V188" s="14"/>
      <c r="W188" s="14"/>
    </row>
    <row r="189" spans="1:23" x14ac:dyDescent="0.2">
      <c r="A189" s="101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</row>
    <row r="190" spans="1:23" x14ac:dyDescent="0.2">
      <c r="A190" s="101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</row>
    <row r="191" spans="1:23" ht="24.95" customHeight="1" x14ac:dyDescent="0.2">
      <c r="A191" s="208" t="s">
        <v>201</v>
      </c>
      <c r="B191" s="209"/>
      <c r="C191" s="209"/>
      <c r="D191" s="209"/>
      <c r="E191" s="210"/>
      <c r="F191" s="211"/>
      <c r="G191" s="211"/>
      <c r="H191" s="211"/>
      <c r="I191" s="211"/>
      <c r="J191" s="211"/>
      <c r="K191" s="211"/>
      <c r="L191" s="211"/>
      <c r="M191" s="226"/>
      <c r="N191" s="212" t="str">
        <f>A191 &amp; "   -   Dotations prévisionnelles"</f>
        <v>212000 AGENCEMENTS ET AMENAGEMENTS DE TERRAINS   -   Dotations prévisionnelles</v>
      </c>
      <c r="O191" s="212"/>
      <c r="P191" s="212"/>
      <c r="Q191" s="212"/>
      <c r="R191" s="212"/>
      <c r="S191" s="212"/>
      <c r="T191" s="212"/>
      <c r="U191" s="212"/>
      <c r="V191" s="212"/>
      <c r="W191" s="213"/>
    </row>
    <row r="192" spans="1:23" x14ac:dyDescent="0.2">
      <c r="A192" s="107">
        <f t="shared" ref="A192:A198" ca="1" si="31">IF(ISNUMBER(A191),A191+1,OFFSET(A192,-Nbre_Ligne_Entre_Compte,0,1,1)+1)</f>
        <v>16</v>
      </c>
      <c r="B192" s="1" t="s">
        <v>204</v>
      </c>
      <c r="C192" s="1" t="s">
        <v>265</v>
      </c>
      <c r="D192" s="77">
        <v>37348</v>
      </c>
      <c r="E192" s="77">
        <v>37348</v>
      </c>
      <c r="F192" s="77"/>
      <c r="G192" s="8">
        <v>6333.63</v>
      </c>
      <c r="H192" s="1" t="s">
        <v>8</v>
      </c>
      <c r="I192" s="78">
        <v>10</v>
      </c>
      <c r="J192" s="8">
        <v>6333.63</v>
      </c>
      <c r="K192" s="8">
        <f t="shared" ref="K192:K198" si="32">ROUND(Dot_ex(D192,E192,F192,G192,H192,I192,J192,$G$6,$I$6,$I$8),2)</f>
        <v>0</v>
      </c>
      <c r="L192" s="8">
        <f t="shared" ref="L192:L198" si="33">J192+K192</f>
        <v>6333.63</v>
      </c>
      <c r="M192" s="57">
        <f t="shared" ref="M192:M198" si="34">G192-L192</f>
        <v>0</v>
      </c>
      <c r="N192" s="57">
        <f t="shared" ref="N192:N198" si="35">ROUND(Dot_ex($D192,$E192,$F192,$G192,$H192,$I192,$L192,D$115,D$117,D$117),2)</f>
        <v>0</v>
      </c>
      <c r="O192" s="57">
        <f>ROUND(Dot_ex($D192,$E192,$F192,$G192,$H192,$I192,$L192+SUM($N192:N192),E$115,E$117,E$117),2)</f>
        <v>0</v>
      </c>
      <c r="P192" s="57">
        <f>ROUND(Dot_ex($D192,$E192,$F192,$G192,$H192,$I192,$L192+SUM($N192:O192),F$115,F$117,F$117),2)</f>
        <v>0</v>
      </c>
      <c r="Q192" s="57">
        <f>ROUND(Dot_ex($D192,$E192,$F192,$G192,$H192,$I192,$L192+SUM($N192:P192),G$115,G$117,G$117),2)</f>
        <v>0</v>
      </c>
      <c r="R192" s="57">
        <f>ROUND(Dot_ex($D192,$E192,$F192,$G192,$H192,$I192,$L192+SUM($N192:Q192),H$115,H$117,H$117),2)</f>
        <v>0</v>
      </c>
      <c r="S192" s="57">
        <f>ROUND(Dot_ex($D192,$E192,$F192,$G192,$H192,$I192,$L192+SUM($N192:R192),I$115,I$117,I$117),2)</f>
        <v>0</v>
      </c>
      <c r="T192" s="57">
        <f>ROUND(Dot_ex($D192,$E192,$F192,$G192,$H192,$I192,$L192+SUM($N192:S192),J$115,J$117,J$117),2)</f>
        <v>0</v>
      </c>
      <c r="U192" s="57">
        <f>ROUND(Dot_ex($D192,$E192,$F192,$G192,$H192,$I192,$L192+SUM($N192:T192),K$115,K$117,K$117),2)</f>
        <v>0</v>
      </c>
      <c r="V192" s="57">
        <f>ROUND(Dot_ex($D192,$E192,$F192,$G192,$H192,$I192,$L192+SUM($N192:U192),L$115,L$117,L$117),2)</f>
        <v>0</v>
      </c>
      <c r="W192" s="57">
        <f>ROUND(Dot_ex($D192,$E192,$F192,$G192,$H192,$I192,$L192+SUM($N192:V192),M$115,M$117,M$117),2)</f>
        <v>0</v>
      </c>
    </row>
    <row r="193" spans="1:23" x14ac:dyDescent="0.2">
      <c r="A193" s="107">
        <f t="shared" ca="1" si="31"/>
        <v>17</v>
      </c>
      <c r="B193" s="1" t="s">
        <v>211</v>
      </c>
      <c r="C193" s="1" t="s">
        <v>265</v>
      </c>
      <c r="D193" s="77">
        <v>37360</v>
      </c>
      <c r="E193" s="77">
        <v>37390</v>
      </c>
      <c r="F193" s="77"/>
      <c r="G193" s="8">
        <v>3723.78</v>
      </c>
      <c r="H193" s="1" t="s">
        <v>8</v>
      </c>
      <c r="I193" s="78">
        <v>10</v>
      </c>
      <c r="J193" s="8">
        <v>3723.7799999999997</v>
      </c>
      <c r="K193" s="8">
        <f t="shared" si="32"/>
        <v>0</v>
      </c>
      <c r="L193" s="8">
        <f t="shared" si="33"/>
        <v>3723.7799999999997</v>
      </c>
      <c r="M193" s="57">
        <f t="shared" si="34"/>
        <v>0</v>
      </c>
      <c r="N193" s="57">
        <f t="shared" si="35"/>
        <v>0</v>
      </c>
      <c r="O193" s="57">
        <f>ROUND(Dot_ex($D193,$E193,$F193,$G193,$H193,$I193,$L193+SUM($N193:N193),E$115,E$117,E$117),2)</f>
        <v>0</v>
      </c>
      <c r="P193" s="57">
        <f>ROUND(Dot_ex($D193,$E193,$F193,$G193,$H193,$I193,$L193+SUM($N193:O193),F$115,F$117,F$117),2)</f>
        <v>0</v>
      </c>
      <c r="Q193" s="57">
        <f>ROUND(Dot_ex($D193,$E193,$F193,$G193,$H193,$I193,$L193+SUM($N193:P193),G$115,G$117,G$117),2)</f>
        <v>0</v>
      </c>
      <c r="R193" s="57">
        <f>ROUND(Dot_ex($D193,$E193,$F193,$G193,$H193,$I193,$L193+SUM($N193:Q193),H$115,H$117,H$117),2)</f>
        <v>0</v>
      </c>
      <c r="S193" s="57">
        <f>ROUND(Dot_ex($D193,$E193,$F193,$G193,$H193,$I193,$L193+SUM($N193:R193),I$115,I$117,I$117),2)</f>
        <v>0</v>
      </c>
      <c r="T193" s="57">
        <f>ROUND(Dot_ex($D193,$E193,$F193,$G193,$H193,$I193,$L193+SUM($N193:S193),J$115,J$117,J$117),2)</f>
        <v>0</v>
      </c>
      <c r="U193" s="57">
        <f>ROUND(Dot_ex($D193,$E193,$F193,$G193,$H193,$I193,$L193+SUM($N193:T193),K$115,K$117,K$117),2)</f>
        <v>0</v>
      </c>
      <c r="V193" s="57">
        <f>ROUND(Dot_ex($D193,$E193,$F193,$G193,$H193,$I193,$L193+SUM($N193:U193),L$115,L$117,L$117),2)</f>
        <v>0</v>
      </c>
      <c r="W193" s="57">
        <f>ROUND(Dot_ex($D193,$E193,$F193,$G193,$H193,$I193,$L193+SUM($N193:V193),M$115,M$117,M$117),2)</f>
        <v>0</v>
      </c>
    </row>
    <row r="194" spans="1:23" x14ac:dyDescent="0.2">
      <c r="A194" s="107">
        <f t="shared" ca="1" si="31"/>
        <v>18</v>
      </c>
      <c r="B194" s="1" t="s">
        <v>209</v>
      </c>
      <c r="C194" s="1" t="s">
        <v>265</v>
      </c>
      <c r="D194" s="77">
        <v>37390</v>
      </c>
      <c r="E194" s="77">
        <v>37390</v>
      </c>
      <c r="F194" s="77"/>
      <c r="G194" s="8">
        <v>682.75</v>
      </c>
      <c r="H194" s="1" t="s">
        <v>8</v>
      </c>
      <c r="I194" s="78">
        <v>10</v>
      </c>
      <c r="J194" s="8">
        <v>682.75</v>
      </c>
      <c r="K194" s="8">
        <f t="shared" si="32"/>
        <v>0</v>
      </c>
      <c r="L194" s="8">
        <f t="shared" si="33"/>
        <v>682.75</v>
      </c>
      <c r="M194" s="57">
        <f t="shared" si="34"/>
        <v>0</v>
      </c>
      <c r="N194" s="57">
        <f t="shared" si="35"/>
        <v>0</v>
      </c>
      <c r="O194" s="57">
        <f>ROUND(Dot_ex($D194,$E194,$F194,$G194,$H194,$I194,$L194+SUM($N194:N194),E$115,E$117,E$117),2)</f>
        <v>0</v>
      </c>
      <c r="P194" s="57">
        <f>ROUND(Dot_ex($D194,$E194,$F194,$G194,$H194,$I194,$L194+SUM($N194:O194),F$115,F$117,F$117),2)</f>
        <v>0</v>
      </c>
      <c r="Q194" s="57">
        <f>ROUND(Dot_ex($D194,$E194,$F194,$G194,$H194,$I194,$L194+SUM($N194:P194),G$115,G$117,G$117),2)</f>
        <v>0</v>
      </c>
      <c r="R194" s="57">
        <f>ROUND(Dot_ex($D194,$E194,$F194,$G194,$H194,$I194,$L194+SUM($N194:Q194),H$115,H$117,H$117),2)</f>
        <v>0</v>
      </c>
      <c r="S194" s="57">
        <f>ROUND(Dot_ex($D194,$E194,$F194,$G194,$H194,$I194,$L194+SUM($N194:R194),I$115,I$117,I$117),2)</f>
        <v>0</v>
      </c>
      <c r="T194" s="57">
        <f>ROUND(Dot_ex($D194,$E194,$F194,$G194,$H194,$I194,$L194+SUM($N194:S194),J$115,J$117,J$117),2)</f>
        <v>0</v>
      </c>
      <c r="U194" s="57">
        <f>ROUND(Dot_ex($D194,$E194,$F194,$G194,$H194,$I194,$L194+SUM($N194:T194),K$115,K$117,K$117),2)</f>
        <v>0</v>
      </c>
      <c r="V194" s="57">
        <f>ROUND(Dot_ex($D194,$E194,$F194,$G194,$H194,$I194,$L194+SUM($N194:U194),L$115,L$117,L$117),2)</f>
        <v>0</v>
      </c>
      <c r="W194" s="57">
        <f>ROUND(Dot_ex($D194,$E194,$F194,$G194,$H194,$I194,$L194+SUM($N194:V194),M$115,M$117,M$117),2)</f>
        <v>0</v>
      </c>
    </row>
    <row r="195" spans="1:23" x14ac:dyDescent="0.2">
      <c r="A195" s="107">
        <f t="shared" ca="1" si="31"/>
        <v>19</v>
      </c>
      <c r="B195" s="1" t="s">
        <v>205</v>
      </c>
      <c r="C195" s="1" t="s">
        <v>265</v>
      </c>
      <c r="D195" s="77">
        <v>37403</v>
      </c>
      <c r="E195" s="77">
        <v>37403</v>
      </c>
      <c r="F195" s="77"/>
      <c r="G195" s="8">
        <v>2792.7</v>
      </c>
      <c r="H195" s="1" t="s">
        <v>8</v>
      </c>
      <c r="I195" s="78">
        <v>10</v>
      </c>
      <c r="J195" s="8">
        <v>2792.7</v>
      </c>
      <c r="K195" s="8">
        <f t="shared" si="32"/>
        <v>0</v>
      </c>
      <c r="L195" s="8">
        <f t="shared" si="33"/>
        <v>2792.7</v>
      </c>
      <c r="M195" s="57">
        <f t="shared" si="34"/>
        <v>0</v>
      </c>
      <c r="N195" s="57">
        <f t="shared" si="35"/>
        <v>0</v>
      </c>
      <c r="O195" s="57">
        <f>ROUND(Dot_ex($D195,$E195,$F195,$G195,$H195,$I195,$L195+SUM($N195:N195),E$115,E$117,E$117),2)</f>
        <v>0</v>
      </c>
      <c r="P195" s="57">
        <f>ROUND(Dot_ex($D195,$E195,$F195,$G195,$H195,$I195,$L195+SUM($N195:O195),F$115,F$117,F$117),2)</f>
        <v>0</v>
      </c>
      <c r="Q195" s="57">
        <f>ROUND(Dot_ex($D195,$E195,$F195,$G195,$H195,$I195,$L195+SUM($N195:P195),G$115,G$117,G$117),2)</f>
        <v>0</v>
      </c>
      <c r="R195" s="57">
        <f>ROUND(Dot_ex($D195,$E195,$F195,$G195,$H195,$I195,$L195+SUM($N195:Q195),H$115,H$117,H$117),2)</f>
        <v>0</v>
      </c>
      <c r="S195" s="57">
        <f>ROUND(Dot_ex($D195,$E195,$F195,$G195,$H195,$I195,$L195+SUM($N195:R195),I$115,I$117,I$117),2)</f>
        <v>0</v>
      </c>
      <c r="T195" s="57">
        <f>ROUND(Dot_ex($D195,$E195,$F195,$G195,$H195,$I195,$L195+SUM($N195:S195),J$115,J$117,J$117),2)</f>
        <v>0</v>
      </c>
      <c r="U195" s="57">
        <f>ROUND(Dot_ex($D195,$E195,$F195,$G195,$H195,$I195,$L195+SUM($N195:T195),K$115,K$117,K$117),2)</f>
        <v>0</v>
      </c>
      <c r="V195" s="57">
        <f>ROUND(Dot_ex($D195,$E195,$F195,$G195,$H195,$I195,$L195+SUM($N195:U195),L$115,L$117,L$117),2)</f>
        <v>0</v>
      </c>
      <c r="W195" s="57">
        <f>ROUND(Dot_ex($D195,$E195,$F195,$G195,$H195,$I195,$L195+SUM($N195:V195),M$115,M$117,M$117),2)</f>
        <v>0</v>
      </c>
    </row>
    <row r="196" spans="1:23" x14ac:dyDescent="0.2">
      <c r="A196" s="107">
        <f t="shared" ca="1" si="31"/>
        <v>20</v>
      </c>
      <c r="B196" s="1" t="s">
        <v>207</v>
      </c>
      <c r="C196" s="1" t="s">
        <v>265</v>
      </c>
      <c r="D196" s="77">
        <v>37406</v>
      </c>
      <c r="E196" s="77">
        <v>37406</v>
      </c>
      <c r="F196" s="77"/>
      <c r="G196" s="8">
        <v>922.3</v>
      </c>
      <c r="H196" s="1" t="s">
        <v>8</v>
      </c>
      <c r="I196" s="78">
        <v>10</v>
      </c>
      <c r="J196" s="8">
        <v>922.3</v>
      </c>
      <c r="K196" s="8">
        <f t="shared" si="32"/>
        <v>0</v>
      </c>
      <c r="L196" s="8">
        <f t="shared" si="33"/>
        <v>922.3</v>
      </c>
      <c r="M196" s="57">
        <f t="shared" si="34"/>
        <v>0</v>
      </c>
      <c r="N196" s="57">
        <f t="shared" si="35"/>
        <v>0</v>
      </c>
      <c r="O196" s="57">
        <f>ROUND(Dot_ex($D196,$E196,$F196,$G196,$H196,$I196,$L196+SUM($N196:N196),E$115,E$117,E$117),2)</f>
        <v>0</v>
      </c>
      <c r="P196" s="57">
        <f>ROUND(Dot_ex($D196,$E196,$F196,$G196,$H196,$I196,$L196+SUM($N196:O196),F$115,F$117,F$117),2)</f>
        <v>0</v>
      </c>
      <c r="Q196" s="57">
        <f>ROUND(Dot_ex($D196,$E196,$F196,$G196,$H196,$I196,$L196+SUM($N196:P196),G$115,G$117,G$117),2)</f>
        <v>0</v>
      </c>
      <c r="R196" s="57">
        <f>ROUND(Dot_ex($D196,$E196,$F196,$G196,$H196,$I196,$L196+SUM($N196:Q196),H$115,H$117,H$117),2)</f>
        <v>0</v>
      </c>
      <c r="S196" s="57">
        <f>ROUND(Dot_ex($D196,$E196,$F196,$G196,$H196,$I196,$L196+SUM($N196:R196),I$115,I$117,I$117),2)</f>
        <v>0</v>
      </c>
      <c r="T196" s="57">
        <f>ROUND(Dot_ex($D196,$E196,$F196,$G196,$H196,$I196,$L196+SUM($N196:S196),J$115,J$117,J$117),2)</f>
        <v>0</v>
      </c>
      <c r="U196" s="57">
        <f>ROUND(Dot_ex($D196,$E196,$F196,$G196,$H196,$I196,$L196+SUM($N196:T196),K$115,K$117,K$117),2)</f>
        <v>0</v>
      </c>
      <c r="V196" s="57">
        <f>ROUND(Dot_ex($D196,$E196,$F196,$G196,$H196,$I196,$L196+SUM($N196:U196),L$115,L$117,L$117),2)</f>
        <v>0</v>
      </c>
      <c r="W196" s="57">
        <f>ROUND(Dot_ex($D196,$E196,$F196,$G196,$H196,$I196,$L196+SUM($N196:V196),M$115,M$117,M$117),2)</f>
        <v>0</v>
      </c>
    </row>
    <row r="197" spans="1:23" x14ac:dyDescent="0.2">
      <c r="A197" s="107">
        <f t="shared" ca="1" si="31"/>
        <v>21</v>
      </c>
      <c r="B197" s="1" t="s">
        <v>208</v>
      </c>
      <c r="C197" s="1" t="s">
        <v>265</v>
      </c>
      <c r="D197" s="77">
        <v>37406</v>
      </c>
      <c r="E197" s="77">
        <v>37406</v>
      </c>
      <c r="F197" s="77"/>
      <c r="G197" s="8">
        <v>790.42</v>
      </c>
      <c r="H197" s="1" t="s">
        <v>8</v>
      </c>
      <c r="I197" s="78">
        <v>10</v>
      </c>
      <c r="J197" s="8">
        <v>790.42</v>
      </c>
      <c r="K197" s="8">
        <f t="shared" si="32"/>
        <v>0</v>
      </c>
      <c r="L197" s="8">
        <f t="shared" si="33"/>
        <v>790.42</v>
      </c>
      <c r="M197" s="57">
        <f t="shared" si="34"/>
        <v>0</v>
      </c>
      <c r="N197" s="57">
        <f t="shared" si="35"/>
        <v>0</v>
      </c>
      <c r="O197" s="57">
        <f>ROUND(Dot_ex($D197,$E197,$F197,$G197,$H197,$I197,$L197+SUM($N197:N197),E$115,E$117,E$117),2)</f>
        <v>0</v>
      </c>
      <c r="P197" s="57">
        <f>ROUND(Dot_ex($D197,$E197,$F197,$G197,$H197,$I197,$L197+SUM($N197:O197),F$115,F$117,F$117),2)</f>
        <v>0</v>
      </c>
      <c r="Q197" s="57">
        <f>ROUND(Dot_ex($D197,$E197,$F197,$G197,$H197,$I197,$L197+SUM($N197:P197),G$115,G$117,G$117),2)</f>
        <v>0</v>
      </c>
      <c r="R197" s="57">
        <f>ROUND(Dot_ex($D197,$E197,$F197,$G197,$H197,$I197,$L197+SUM($N197:Q197),H$115,H$117,H$117),2)</f>
        <v>0</v>
      </c>
      <c r="S197" s="57">
        <f>ROUND(Dot_ex($D197,$E197,$F197,$G197,$H197,$I197,$L197+SUM($N197:R197),I$115,I$117,I$117),2)</f>
        <v>0</v>
      </c>
      <c r="T197" s="57">
        <f>ROUND(Dot_ex($D197,$E197,$F197,$G197,$H197,$I197,$L197+SUM($N197:S197),J$115,J$117,J$117),2)</f>
        <v>0</v>
      </c>
      <c r="U197" s="57">
        <f>ROUND(Dot_ex($D197,$E197,$F197,$G197,$H197,$I197,$L197+SUM($N197:T197),K$115,K$117,K$117),2)</f>
        <v>0</v>
      </c>
      <c r="V197" s="57">
        <f>ROUND(Dot_ex($D197,$E197,$F197,$G197,$H197,$I197,$L197+SUM($N197:U197),L$115,L$117,L$117),2)</f>
        <v>0</v>
      </c>
      <c r="W197" s="57">
        <f>ROUND(Dot_ex($D197,$E197,$F197,$G197,$H197,$I197,$L197+SUM($N197:V197),M$115,M$117,M$117),2)</f>
        <v>0</v>
      </c>
    </row>
    <row r="198" spans="1:23" x14ac:dyDescent="0.2">
      <c r="A198" s="107">
        <f t="shared" ca="1" si="31"/>
        <v>22</v>
      </c>
      <c r="B198" s="1" t="s">
        <v>206</v>
      </c>
      <c r="C198" s="1" t="s">
        <v>265</v>
      </c>
      <c r="D198" s="77">
        <v>37427</v>
      </c>
      <c r="E198" s="77">
        <v>37427</v>
      </c>
      <c r="F198" s="77"/>
      <c r="G198" s="8">
        <v>247.38</v>
      </c>
      <c r="H198" s="1" t="s">
        <v>8</v>
      </c>
      <c r="I198" s="78">
        <v>10</v>
      </c>
      <c r="J198" s="8">
        <v>247.38</v>
      </c>
      <c r="K198" s="8">
        <f t="shared" si="32"/>
        <v>0</v>
      </c>
      <c r="L198" s="8">
        <f t="shared" si="33"/>
        <v>247.38</v>
      </c>
      <c r="M198" s="57">
        <f t="shared" si="34"/>
        <v>0</v>
      </c>
      <c r="N198" s="57">
        <f t="shared" si="35"/>
        <v>0</v>
      </c>
      <c r="O198" s="57">
        <f>ROUND(Dot_ex($D198,$E198,$F198,$G198,$H198,$I198,$L198+SUM($N198:N198),E$115,E$117,E$117),2)</f>
        <v>0</v>
      </c>
      <c r="P198" s="57">
        <f>ROUND(Dot_ex($D198,$E198,$F198,$G198,$H198,$I198,$L198+SUM($N198:O198),F$115,F$117,F$117),2)</f>
        <v>0</v>
      </c>
      <c r="Q198" s="57">
        <f>ROUND(Dot_ex($D198,$E198,$F198,$G198,$H198,$I198,$L198+SUM($N198:P198),G$115,G$117,G$117),2)</f>
        <v>0</v>
      </c>
      <c r="R198" s="57">
        <f>ROUND(Dot_ex($D198,$E198,$F198,$G198,$H198,$I198,$L198+SUM($N198:Q198),H$115,H$117,H$117),2)</f>
        <v>0</v>
      </c>
      <c r="S198" s="57">
        <f>ROUND(Dot_ex($D198,$E198,$F198,$G198,$H198,$I198,$L198+SUM($N198:R198),I$115,I$117,I$117),2)</f>
        <v>0</v>
      </c>
      <c r="T198" s="57">
        <f>ROUND(Dot_ex($D198,$E198,$F198,$G198,$H198,$I198,$L198+SUM($N198:S198),J$115,J$117,J$117),2)</f>
        <v>0</v>
      </c>
      <c r="U198" s="57">
        <f>ROUND(Dot_ex($D198,$E198,$F198,$G198,$H198,$I198,$L198+SUM($N198:T198),K$115,K$117,K$117),2)</f>
        <v>0</v>
      </c>
      <c r="V198" s="57">
        <f>ROUND(Dot_ex($D198,$E198,$F198,$G198,$H198,$I198,$L198+SUM($N198:U198),L$115,L$117,L$117),2)</f>
        <v>0</v>
      </c>
      <c r="W198" s="57">
        <f>ROUND(Dot_ex($D198,$E198,$F198,$G198,$H198,$I198,$L198+SUM($N198:V198),M$115,M$117,M$117),2)</f>
        <v>0</v>
      </c>
    </row>
    <row r="199" spans="1:23" x14ac:dyDescent="0.2">
      <c r="A199" s="101"/>
      <c r="H199" s="1"/>
      <c r="I199" s="1"/>
      <c r="J199" s="8"/>
      <c r="K199" s="8"/>
      <c r="M199" s="14"/>
      <c r="N199" s="57"/>
      <c r="O199" s="57"/>
      <c r="P199" s="57"/>
      <c r="Q199" s="57"/>
      <c r="R199" s="57"/>
      <c r="S199" s="57"/>
      <c r="T199" s="57"/>
      <c r="U199" s="57"/>
      <c r="V199" s="57"/>
      <c r="W199" s="57"/>
    </row>
    <row r="200" spans="1:23" x14ac:dyDescent="0.2">
      <c r="A200" s="101"/>
      <c r="E200" s="94" t="s">
        <v>14</v>
      </c>
      <c r="F200" s="95"/>
      <c r="G200" s="96">
        <f>SUM(G192:G199)</f>
        <v>15492.96</v>
      </c>
      <c r="H200" s="94"/>
      <c r="I200" s="97"/>
      <c r="J200" s="96">
        <f t="shared" ref="J200:R200" si="36">SUM(J192:J199)</f>
        <v>15492.96</v>
      </c>
      <c r="K200" s="96">
        <f t="shared" si="36"/>
        <v>0</v>
      </c>
      <c r="L200" s="96">
        <f t="shared" si="36"/>
        <v>15492.96</v>
      </c>
      <c r="M200" s="203">
        <f t="shared" si="36"/>
        <v>0</v>
      </c>
      <c r="N200" s="203">
        <f t="shared" si="36"/>
        <v>0</v>
      </c>
      <c r="O200" s="203">
        <f t="shared" si="36"/>
        <v>0</v>
      </c>
      <c r="P200" s="203">
        <f t="shared" si="36"/>
        <v>0</v>
      </c>
      <c r="Q200" s="203">
        <f t="shared" si="36"/>
        <v>0</v>
      </c>
      <c r="R200" s="203">
        <f t="shared" si="36"/>
        <v>0</v>
      </c>
      <c r="S200" s="203">
        <f>SUM(S192:S199)</f>
        <v>0</v>
      </c>
      <c r="T200" s="203">
        <f>SUM(T192:T199)</f>
        <v>0</v>
      </c>
      <c r="U200" s="203">
        <f>SUM(U192:U199)</f>
        <v>0</v>
      </c>
      <c r="V200" s="203">
        <f>SUM(V192:V199)</f>
        <v>0</v>
      </c>
      <c r="W200" s="203">
        <f>SUM(W192:W199)</f>
        <v>0</v>
      </c>
    </row>
    <row r="201" spans="1:23" x14ac:dyDescent="0.2">
      <c r="A201" s="101"/>
      <c r="E201" s="94"/>
      <c r="F201" s="95"/>
      <c r="G201" s="96"/>
      <c r="H201" s="94"/>
      <c r="I201" s="97"/>
      <c r="J201" s="96"/>
      <c r="K201" s="96"/>
      <c r="L201" s="96"/>
      <c r="M201" s="203"/>
      <c r="N201" s="57"/>
      <c r="O201" s="57"/>
      <c r="P201" s="57"/>
      <c r="Q201" s="57"/>
      <c r="R201" s="57"/>
      <c r="S201" s="57"/>
      <c r="T201" s="57"/>
      <c r="U201" s="57"/>
      <c r="V201" s="57"/>
      <c r="W201" s="57"/>
    </row>
    <row r="202" spans="1:23" x14ac:dyDescent="0.2">
      <c r="A202" s="101"/>
      <c r="E202" s="1" t="s">
        <v>23</v>
      </c>
      <c r="G202" s="8">
        <f>SUMIF($D192:$D199,"&lt;"&amp;TEXT($G$6,"jj/mm/aa"),G192:G199)</f>
        <v>15492.96</v>
      </c>
      <c r="H202" s="1"/>
      <c r="I202" s="78"/>
      <c r="J202" s="8">
        <v>3355.27</v>
      </c>
      <c r="K202" s="8">
        <f>SUMIF($D192:$D199,"&lt;"&amp;TEXT($G$6,"jj/mm/aa"),K192:K199)</f>
        <v>0</v>
      </c>
      <c r="L202" s="8">
        <f>SUMIF($D192:$D199,"&lt;"&amp;TEXT($G$6,"jj/mm/aa"),L192:L199)</f>
        <v>15492.96</v>
      </c>
      <c r="M202" s="57">
        <f>SUMIF($D192:$D199,"&lt;"&amp;TEXT($G$6,"jj/mm/aa"),M192:M199)</f>
        <v>0</v>
      </c>
      <c r="N202" s="57"/>
      <c r="O202" s="57"/>
      <c r="P202" s="57"/>
      <c r="Q202" s="57"/>
      <c r="R202" s="57"/>
      <c r="S202" s="57"/>
      <c r="T202" s="57"/>
      <c r="U202" s="57"/>
      <c r="V202" s="57"/>
      <c r="W202" s="57"/>
    </row>
    <row r="203" spans="1:23" x14ac:dyDescent="0.2">
      <c r="A203" s="101"/>
      <c r="E203" s="1" t="s">
        <v>38</v>
      </c>
      <c r="G203" s="8">
        <f>SUMIF($D192:$D199,"&gt;="&amp;TEXT($G$6,"jj/mm/aa"),G192:G199)</f>
        <v>0</v>
      </c>
      <c r="J203" s="8">
        <f>SUMIF($D192:$D199,"&gt;="&amp;TEXT($G$6,"jj/mm/aa"),J192:J199)</f>
        <v>0</v>
      </c>
      <c r="K203" s="8">
        <f>SUMIF($D192:$D199,"&gt;="&amp;TEXT($G$6,"jj/mm/aa"),K192:K199)</f>
        <v>0</v>
      </c>
      <c r="L203" s="8">
        <f>SUMIF($D192:$D199,"&gt;="&amp;TEXT($G$6,"jj/mm/aa"),L192:L199)</f>
        <v>0</v>
      </c>
      <c r="M203" s="57">
        <f>SUMIF($D192:$D199,"&gt;="&amp;TEXT($G$6,"jj/mm/aa"),M192:M199)</f>
        <v>0</v>
      </c>
      <c r="N203" s="57"/>
      <c r="O203" s="57"/>
      <c r="P203" s="57"/>
      <c r="Q203" s="57"/>
      <c r="R203" s="57"/>
      <c r="S203" s="57"/>
      <c r="T203" s="57"/>
      <c r="U203" s="57"/>
      <c r="V203" s="57"/>
      <c r="W203" s="57"/>
    </row>
    <row r="204" spans="1:23" x14ac:dyDescent="0.2">
      <c r="A204" s="101"/>
      <c r="E204" s="1" t="s">
        <v>39</v>
      </c>
      <c r="G204" s="8">
        <f>SUMIF($F192:$F199,"&gt;="&amp;TEXT($G$6,"jj/mm/aa"),G192:G199)</f>
        <v>0</v>
      </c>
      <c r="J204" s="8">
        <f>SUMIF($F192:$F199,"&gt;="&amp;TEXT($G$6,"jj/mm/aa"),J192:J199)</f>
        <v>0</v>
      </c>
      <c r="K204" s="8">
        <f>SUMIF($F192:$F199,"&gt;="&amp;TEXT($G$6,"jj/mm/aa"),K192:K199)</f>
        <v>0</v>
      </c>
      <c r="L204" s="8">
        <f>SUMIF($F192:$F199,"&gt;="&amp;TEXT($G$6,"jj/mm/aa"),L192:L199)</f>
        <v>0</v>
      </c>
      <c r="M204" s="57">
        <f>SUMIF($F192:$F199,"&gt;="&amp;TEXT($G$6,"jj/mm/aa"),M192:M199)</f>
        <v>0</v>
      </c>
      <c r="N204" s="57"/>
      <c r="O204" s="57"/>
      <c r="P204" s="57"/>
      <c r="Q204" s="57"/>
      <c r="R204" s="57"/>
      <c r="S204" s="57"/>
      <c r="T204" s="57"/>
      <c r="U204" s="57"/>
      <c r="V204" s="57"/>
      <c r="W204" s="57"/>
    </row>
    <row r="205" spans="1:23" x14ac:dyDescent="0.2">
      <c r="A205" s="101"/>
      <c r="E205" s="1" t="s">
        <v>15</v>
      </c>
      <c r="G205" s="8">
        <f>G202+G203-G204</f>
        <v>15492.96</v>
      </c>
      <c r="J205" s="8">
        <f>J202+J203-J204</f>
        <v>3355.27</v>
      </c>
      <c r="K205" s="8">
        <f>K202+K203-K204</f>
        <v>0</v>
      </c>
      <c r="L205" s="8">
        <f>L202+L203-L204</f>
        <v>15492.96</v>
      </c>
      <c r="M205" s="57">
        <f>M202+M203-M204</f>
        <v>0</v>
      </c>
      <c r="N205" s="57"/>
      <c r="O205" s="57"/>
      <c r="P205" s="57"/>
      <c r="Q205" s="57"/>
      <c r="R205" s="57"/>
      <c r="S205" s="57"/>
      <c r="T205" s="57"/>
      <c r="U205" s="57"/>
      <c r="V205" s="57"/>
      <c r="W205" s="57"/>
    </row>
    <row r="206" spans="1:23" x14ac:dyDescent="0.2">
      <c r="A206" s="101"/>
      <c r="M206" s="14"/>
      <c r="N206" s="57"/>
      <c r="O206" s="57"/>
      <c r="P206" s="57"/>
      <c r="Q206" s="57"/>
      <c r="R206" s="57"/>
      <c r="S206" s="57"/>
      <c r="T206" s="57"/>
      <c r="U206" s="57"/>
      <c r="V206" s="57"/>
      <c r="W206" s="57"/>
    </row>
    <row r="207" spans="1:23" x14ac:dyDescent="0.2">
      <c r="A207" s="101"/>
      <c r="M207" s="14"/>
      <c r="N207" s="57"/>
      <c r="O207" s="57"/>
      <c r="P207" s="57"/>
      <c r="Q207" s="57"/>
      <c r="R207" s="57"/>
      <c r="S207" s="57"/>
      <c r="T207" s="57"/>
      <c r="U207" s="57"/>
      <c r="V207" s="57"/>
      <c r="W207" s="57"/>
    </row>
    <row r="208" spans="1:23" ht="24.95" customHeight="1" x14ac:dyDescent="0.2">
      <c r="A208" s="208" t="s">
        <v>203</v>
      </c>
      <c r="B208" s="209"/>
      <c r="C208" s="209"/>
      <c r="D208" s="209"/>
      <c r="E208" s="210"/>
      <c r="F208" s="211"/>
      <c r="G208" s="211"/>
      <c r="H208" s="211"/>
      <c r="I208" s="211"/>
      <c r="J208" s="211"/>
      <c r="K208" s="211"/>
      <c r="L208" s="211"/>
      <c r="M208" s="226"/>
      <c r="N208" s="212" t="str">
        <f>A208 &amp; "   -   Dotations prévisionnelles"</f>
        <v>213100 ENSEMBLES IMMOBILIERS   -   Dotations prévisionnelles</v>
      </c>
      <c r="O208" s="212"/>
      <c r="P208" s="212"/>
      <c r="Q208" s="212"/>
      <c r="R208" s="212"/>
      <c r="S208" s="212"/>
      <c r="T208" s="212"/>
      <c r="U208" s="212"/>
      <c r="V208" s="212"/>
      <c r="W208" s="213"/>
    </row>
    <row r="209" spans="1:23" x14ac:dyDescent="0.2">
      <c r="A209" s="107">
        <f ca="1">IF(ISNUMBER(A208),A208+1,OFFSET(A209,-Nbre_Ligne_Entre_Compte,0,1,1)+1)</f>
        <v>23</v>
      </c>
      <c r="B209" s="1" t="s">
        <v>210</v>
      </c>
      <c r="C209" s="1" t="s">
        <v>265</v>
      </c>
      <c r="D209" s="77">
        <v>37327</v>
      </c>
      <c r="E209" s="77">
        <v>37327</v>
      </c>
      <c r="F209" s="77"/>
      <c r="G209" s="8">
        <v>248854.25</v>
      </c>
      <c r="H209" s="1" t="s">
        <v>8</v>
      </c>
      <c r="I209" s="78">
        <v>25</v>
      </c>
      <c r="J209" s="8">
        <v>102568.86</v>
      </c>
      <c r="K209" s="8">
        <f>ROUND(Dot_ex(D209,E209,F209,G209,H209,I209,J209,$G$6,$I$6,$I$8),2)</f>
        <v>9954.17</v>
      </c>
      <c r="L209" s="8">
        <f>J209+K209</f>
        <v>112523.03</v>
      </c>
      <c r="M209" s="57">
        <f>G209-L209</f>
        <v>136331.22</v>
      </c>
      <c r="N209" s="57">
        <f>ROUND(Dot_ex($D209,$E209,$F209,$G209,$H209,$I209,$L209,D$115,D$117,D$117),2)</f>
        <v>9954.17</v>
      </c>
      <c r="O209" s="57">
        <f>ROUND(Dot_ex($D209,$E209,$F209,$G209,$H209,$I209,$L209+SUM($N209:N209),E$115,E$117,E$117),2)</f>
        <v>9954.17</v>
      </c>
      <c r="P209" s="57">
        <f>ROUND(Dot_ex($D209,$E209,$F209,$G209,$H209,$I209,$L209+SUM($N209:O209),F$115,F$117,F$117),2)</f>
        <v>9954.17</v>
      </c>
      <c r="Q209" s="57">
        <f>ROUND(Dot_ex($D209,$E209,$F209,$G209,$H209,$I209,$L209+SUM($N209:P209),G$115,G$117,G$117),2)</f>
        <v>9954.17</v>
      </c>
      <c r="R209" s="57">
        <f>ROUND(Dot_ex($D209,$E209,$F209,$G209,$H209,$I209,$L209+SUM($N209:Q209),H$115,H$117,H$117),2)</f>
        <v>9954.17</v>
      </c>
      <c r="S209" s="57">
        <f>ROUND(Dot_ex($D209,$E209,$F209,$G209,$H209,$I209,$L209+SUM($N209:R209),I$115,I$117,I$117),2)</f>
        <v>9954.17</v>
      </c>
      <c r="T209" s="57">
        <f>ROUND(Dot_ex($D209,$E209,$F209,$G209,$H209,$I209,$L209+SUM($N209:S209),J$115,J$117,J$117),2)</f>
        <v>9954.17</v>
      </c>
      <c r="U209" s="57">
        <f>ROUND(Dot_ex($D209,$E209,$F209,$G209,$H209,$I209,$L209+SUM($N209:T209),K$115,K$117,K$117),2)</f>
        <v>9954.17</v>
      </c>
      <c r="V209" s="57">
        <f>ROUND(Dot_ex($D209,$E209,$F209,$G209,$H209,$I209,$L209+SUM($N209:U209),L$115,L$117,L$117),2)</f>
        <v>9954.17</v>
      </c>
      <c r="W209" s="57">
        <f>ROUND(Dot_ex($D209,$E209,$F209,$G209,$H209,$I209,$L209+SUM($N209:V209),M$115,M$117,M$117),2)</f>
        <v>9954.17</v>
      </c>
    </row>
    <row r="210" spans="1:23" x14ac:dyDescent="0.2">
      <c r="A210" s="101"/>
      <c r="H210" s="1"/>
      <c r="I210" s="1"/>
      <c r="J210" s="8"/>
      <c r="K210" s="8"/>
      <c r="M210" s="14"/>
      <c r="N210" s="57"/>
      <c r="O210" s="57"/>
      <c r="P210" s="57"/>
      <c r="Q210" s="57"/>
      <c r="R210" s="57"/>
      <c r="S210" s="57"/>
      <c r="T210" s="57"/>
      <c r="U210" s="57"/>
      <c r="V210" s="57"/>
      <c r="W210" s="57"/>
    </row>
    <row r="211" spans="1:23" x14ac:dyDescent="0.2">
      <c r="A211" s="101"/>
      <c r="E211" s="94" t="s">
        <v>14</v>
      </c>
      <c r="F211" s="95"/>
      <c r="G211" s="96">
        <f>SUM(G209:G210)</f>
        <v>248854.25</v>
      </c>
      <c r="H211" s="94"/>
      <c r="I211" s="97"/>
      <c r="J211" s="96">
        <f t="shared" ref="J211:R211" si="37">SUM(J209:J210)</f>
        <v>102568.86</v>
      </c>
      <c r="K211" s="96">
        <f t="shared" si="37"/>
        <v>9954.17</v>
      </c>
      <c r="L211" s="96">
        <f t="shared" si="37"/>
        <v>112523.03</v>
      </c>
      <c r="M211" s="203">
        <f t="shared" si="37"/>
        <v>136331.22</v>
      </c>
      <c r="N211" s="203">
        <f t="shared" si="37"/>
        <v>9954.17</v>
      </c>
      <c r="O211" s="203">
        <f t="shared" si="37"/>
        <v>9954.17</v>
      </c>
      <c r="P211" s="203">
        <f t="shared" si="37"/>
        <v>9954.17</v>
      </c>
      <c r="Q211" s="203">
        <f t="shared" si="37"/>
        <v>9954.17</v>
      </c>
      <c r="R211" s="203">
        <f t="shared" si="37"/>
        <v>9954.17</v>
      </c>
      <c r="S211" s="203">
        <f>SUM(S209:S210)</f>
        <v>9954.17</v>
      </c>
      <c r="T211" s="203">
        <f>SUM(T209:T210)</f>
        <v>9954.17</v>
      </c>
      <c r="U211" s="203">
        <f>SUM(U209:U210)</f>
        <v>9954.17</v>
      </c>
      <c r="V211" s="203">
        <f>SUM(V209:V210)</f>
        <v>9954.17</v>
      </c>
      <c r="W211" s="203">
        <f>SUM(W209:W210)</f>
        <v>9954.17</v>
      </c>
    </row>
    <row r="212" spans="1:23" x14ac:dyDescent="0.2">
      <c r="A212" s="101"/>
      <c r="E212" s="94"/>
      <c r="F212" s="95"/>
      <c r="G212" s="96"/>
      <c r="H212" s="94"/>
      <c r="I212" s="97"/>
      <c r="J212" s="96"/>
      <c r="K212" s="96"/>
      <c r="L212" s="96"/>
      <c r="M212" s="203"/>
      <c r="N212" s="57"/>
      <c r="O212" s="57"/>
      <c r="P212" s="57"/>
      <c r="Q212" s="57"/>
      <c r="R212" s="57"/>
      <c r="S212" s="57"/>
      <c r="T212" s="57"/>
      <c r="U212" s="57"/>
      <c r="V212" s="57"/>
      <c r="W212" s="57"/>
    </row>
    <row r="213" spans="1:23" x14ac:dyDescent="0.2">
      <c r="A213" s="101"/>
      <c r="E213" s="1" t="s">
        <v>23</v>
      </c>
      <c r="G213" s="8">
        <f>SUMIF($D209:$D210,"&lt;"&amp;TEXT($G$6,"jj/mm/aa"),G$209:G$210)</f>
        <v>248854.25</v>
      </c>
      <c r="H213" s="1"/>
      <c r="I213" s="78"/>
      <c r="J213" s="8">
        <f>SUMIF($D209:$D210,"&lt;"&amp;TEXT($G$6,"jj/mm/aa"),J$209:J$210)</f>
        <v>102568.86</v>
      </c>
      <c r="K213" s="8">
        <f>SUMIF($D209:$D210,"&lt;"&amp;TEXT($G$6,"jj/mm/aa"),K$209:K$210)</f>
        <v>9954.17</v>
      </c>
      <c r="L213" s="8">
        <f>SUMIF($D209:$D210,"&lt;"&amp;TEXT($G$6,"jj/mm/aa"),L$209:L$210)</f>
        <v>112523.03</v>
      </c>
      <c r="M213" s="57">
        <f>SUMIF($D209:$D210,"&lt;"&amp;TEXT($G$6,"jj/mm/aa"),M$209:M$210)</f>
        <v>136331.22</v>
      </c>
      <c r="N213" s="57"/>
      <c r="O213" s="57"/>
      <c r="P213" s="57"/>
      <c r="Q213" s="57"/>
      <c r="R213" s="57"/>
      <c r="S213" s="57"/>
      <c r="T213" s="57"/>
      <c r="U213" s="57"/>
      <c r="V213" s="57"/>
      <c r="W213" s="57"/>
    </row>
    <row r="214" spans="1:23" x14ac:dyDescent="0.2">
      <c r="A214" s="101"/>
      <c r="E214" s="1" t="s">
        <v>38</v>
      </c>
      <c r="G214" s="8">
        <f>SUMIF($D209:$D210,"&gt;="&amp;TEXT($G$6,"jj/mm/aa"),G$209:G$210)</f>
        <v>0</v>
      </c>
      <c r="J214" s="8">
        <f>SUMIF($D209:$D210,"&gt;="&amp;TEXT($G$6,"jj/mm/aa"),J$209:J$210)</f>
        <v>0</v>
      </c>
      <c r="K214" s="8">
        <f>SUMIF($D209:$D210,"&gt;="&amp;TEXT($G$6,"jj/mm/aa"),K$209:K$210)</f>
        <v>0</v>
      </c>
      <c r="L214" s="8">
        <f>SUMIF($D209:$D210,"&gt;="&amp;TEXT($G$6,"jj/mm/aa"),L$209:L$210)</f>
        <v>0</v>
      </c>
      <c r="M214" s="57">
        <f>SUMIF($D209:$D210,"&gt;="&amp;TEXT($G$6,"jj/mm/aa"),M$209:M$210)</f>
        <v>0</v>
      </c>
      <c r="N214" s="57"/>
      <c r="O214" s="57"/>
      <c r="P214" s="57"/>
      <c r="Q214" s="57"/>
      <c r="R214" s="57"/>
      <c r="S214" s="57"/>
      <c r="T214" s="57"/>
      <c r="U214" s="57"/>
      <c r="V214" s="57"/>
      <c r="W214" s="57"/>
    </row>
    <row r="215" spans="1:23" x14ac:dyDescent="0.2">
      <c r="A215" s="101"/>
      <c r="E215" s="1" t="s">
        <v>39</v>
      </c>
      <c r="G215" s="8">
        <f>SUMIF($F209:$F210,"&gt;="&amp;TEXT($G$6,"jj/mm/aa"),G$209:G$210)</f>
        <v>0</v>
      </c>
      <c r="J215" s="8">
        <f>SUMIF($F209:$F210,"&gt;="&amp;TEXT($G$6,"jj/mm/aa"),J$209:J$210)</f>
        <v>0</v>
      </c>
      <c r="K215" s="8">
        <f>SUMIF($F209:$F210,"&gt;="&amp;TEXT($G$6,"jj/mm/aa"),K$209:K$210)</f>
        <v>0</v>
      </c>
      <c r="L215" s="8">
        <f>SUMIF($F209:$F210,"&gt;="&amp;TEXT($G$6,"jj/mm/aa"),L$209:L$210)</f>
        <v>0</v>
      </c>
      <c r="M215" s="57">
        <f>SUMIF($F209:$F210,"&gt;="&amp;TEXT($G$6,"jj/mm/aa"),M$209:M$210)</f>
        <v>0</v>
      </c>
      <c r="N215" s="57"/>
      <c r="O215" s="57"/>
      <c r="P215" s="57"/>
      <c r="Q215" s="57"/>
      <c r="R215" s="57"/>
      <c r="S215" s="57"/>
      <c r="T215" s="57"/>
      <c r="U215" s="57"/>
      <c r="V215" s="57"/>
      <c r="W215" s="57"/>
    </row>
    <row r="216" spans="1:23" x14ac:dyDescent="0.2">
      <c r="A216" s="101"/>
      <c r="E216" s="1" t="s">
        <v>15</v>
      </c>
      <c r="G216" s="8">
        <f>G213+G214-G215</f>
        <v>248854.25</v>
      </c>
      <c r="J216" s="8">
        <f>J213+J214-J215</f>
        <v>102568.86</v>
      </c>
      <c r="K216" s="8">
        <f>K213+K214-K215</f>
        <v>9954.17</v>
      </c>
      <c r="L216" s="8">
        <f>L213+L214-L215</f>
        <v>112523.03</v>
      </c>
      <c r="M216" s="57">
        <f>M213+M214-M215</f>
        <v>136331.22</v>
      </c>
      <c r="N216" s="57"/>
      <c r="O216" s="57"/>
      <c r="P216" s="57"/>
      <c r="Q216" s="57"/>
      <c r="R216" s="57"/>
      <c r="S216" s="57"/>
      <c r="T216" s="57"/>
      <c r="U216" s="57"/>
      <c r="V216" s="57"/>
      <c r="W216" s="57"/>
    </row>
    <row r="217" spans="1:23" x14ac:dyDescent="0.2">
      <c r="A217" s="101"/>
      <c r="E217" s="1"/>
      <c r="G217" s="8"/>
      <c r="J217" s="8"/>
      <c r="K217" s="8"/>
      <c r="L217" s="8"/>
      <c r="M217" s="57"/>
      <c r="N217" s="57"/>
      <c r="O217" s="57"/>
      <c r="P217" s="57"/>
      <c r="Q217" s="57"/>
      <c r="R217" s="57"/>
      <c r="S217" s="57"/>
      <c r="T217" s="57"/>
      <c r="U217" s="57"/>
      <c r="V217" s="57"/>
      <c r="W217" s="57"/>
    </row>
    <row r="218" spans="1:23" x14ac:dyDescent="0.2">
      <c r="A218" s="101"/>
      <c r="M218" s="14"/>
      <c r="N218" s="57"/>
      <c r="O218" s="57"/>
      <c r="P218" s="57"/>
      <c r="Q218" s="57"/>
      <c r="R218" s="57"/>
      <c r="S218" s="57"/>
      <c r="T218" s="57"/>
      <c r="U218" s="57"/>
      <c r="V218" s="57"/>
      <c r="W218" s="57"/>
    </row>
    <row r="219" spans="1:23" ht="24.95" customHeight="1" x14ac:dyDescent="0.2">
      <c r="A219" s="208" t="s">
        <v>231</v>
      </c>
      <c r="B219" s="209"/>
      <c r="C219" s="209"/>
      <c r="D219" s="209"/>
      <c r="E219" s="210"/>
      <c r="F219" s="211"/>
      <c r="G219" s="211"/>
      <c r="H219" s="211"/>
      <c r="I219" s="211"/>
      <c r="J219" s="211"/>
      <c r="K219" s="211"/>
      <c r="L219" s="211"/>
      <c r="M219" s="226"/>
      <c r="N219" s="212" t="str">
        <f>A219 &amp; "   -   Dotations prévisionnelles"</f>
        <v>213500 INSTALLATION ET AMENAGEMENTS DES CONSTRUCTIONS   -   Dotations prévisionnelles</v>
      </c>
      <c r="O219" s="212"/>
      <c r="P219" s="212"/>
      <c r="Q219" s="212"/>
      <c r="R219" s="212"/>
      <c r="S219" s="212"/>
      <c r="T219" s="212"/>
      <c r="U219" s="212"/>
      <c r="V219" s="212"/>
      <c r="W219" s="213"/>
    </row>
    <row r="220" spans="1:23" x14ac:dyDescent="0.2">
      <c r="A220" s="107">
        <f ca="1">IF(ISNUMBER(A219),A219+1,OFFSET(A220,-Nbre_Ligne_Entre_Compte,0,1,1)+1)</f>
        <v>24</v>
      </c>
      <c r="B220" s="1" t="s">
        <v>232</v>
      </c>
      <c r="C220" s="1" t="s">
        <v>265</v>
      </c>
      <c r="D220" s="77">
        <v>37753</v>
      </c>
      <c r="E220" s="77">
        <v>37753</v>
      </c>
      <c r="F220" s="77"/>
      <c r="G220" s="8">
        <v>1385.5</v>
      </c>
      <c r="H220" s="1" t="s">
        <v>8</v>
      </c>
      <c r="I220" s="78">
        <v>10</v>
      </c>
      <c r="J220" s="8">
        <v>1265.93</v>
      </c>
      <c r="K220" s="8">
        <f>ROUND(Dot_ex(D220,E220,F220,G220,H220,I220,J220,$G$6,$I$6,$I$8),2)</f>
        <v>119.57</v>
      </c>
      <c r="L220" s="8">
        <f>J220+K220</f>
        <v>1385.5</v>
      </c>
      <c r="M220" s="57">
        <f>G220-L220</f>
        <v>0</v>
      </c>
      <c r="N220" s="57">
        <f>ROUND(Dot_ex($D220,$E220,$F220,$G220,$H220,$I220,$L220,D$115,D$117,D$117),2)</f>
        <v>0</v>
      </c>
      <c r="O220" s="57">
        <f>ROUND(Dot_ex($D220,$E220,$F220,$G220,$H220,$I220,$L220+SUM($N220:N220),E$115,E$117,E$117),2)</f>
        <v>0</v>
      </c>
      <c r="P220" s="57">
        <f>ROUND(Dot_ex($D220,$E220,$F220,$G220,$H220,$I220,$L220+SUM($N220:O220),F$115,F$117,F$117),2)</f>
        <v>0</v>
      </c>
      <c r="Q220" s="57">
        <f>ROUND(Dot_ex($D220,$E220,$F220,$G220,$H220,$I220,$L220+SUM($N220:P220),G$115,G$117,G$117),2)</f>
        <v>0</v>
      </c>
      <c r="R220" s="57">
        <f>ROUND(Dot_ex($D220,$E220,$F220,$G220,$H220,$I220,$L220+SUM($N220:Q220),H$115,H$117,H$117),2)</f>
        <v>0</v>
      </c>
      <c r="S220" s="57">
        <f>ROUND(Dot_ex($D220,$E220,$F220,$G220,$H220,$I220,$L220+SUM($N220:R220),I$115,I$117,I$117),2)</f>
        <v>0</v>
      </c>
      <c r="T220" s="57">
        <f>ROUND(Dot_ex($D220,$E220,$F220,$G220,$H220,$I220,$L220+SUM($N220:S220),J$115,J$117,J$117),2)</f>
        <v>0</v>
      </c>
      <c r="U220" s="57">
        <f>ROUND(Dot_ex($D220,$E220,$F220,$G220,$H220,$I220,$L220+SUM($N220:T220),K$115,K$117,K$117),2)</f>
        <v>0</v>
      </c>
      <c r="V220" s="57">
        <f>ROUND(Dot_ex($D220,$E220,$F220,$G220,$H220,$I220,$L220+SUM($N220:U220),L$115,L$117,L$117),2)</f>
        <v>0</v>
      </c>
      <c r="W220" s="57">
        <f>ROUND(Dot_ex($D220,$E220,$F220,$G220,$H220,$I220,$L220+SUM($N220:V220),M$115,M$117,M$117),2)</f>
        <v>0</v>
      </c>
    </row>
    <row r="221" spans="1:23" x14ac:dyDescent="0.2">
      <c r="A221" s="107">
        <f ca="1">IF(ISNUMBER(A220),A220+1,OFFSET(A221,-Nbre_Ligne_Entre_Compte,0,1,1)+1)</f>
        <v>25</v>
      </c>
      <c r="B221" s="1" t="s">
        <v>236</v>
      </c>
      <c r="C221" s="1" t="s">
        <v>265</v>
      </c>
      <c r="D221" s="77">
        <v>37833</v>
      </c>
      <c r="E221" s="77">
        <v>37833</v>
      </c>
      <c r="F221" s="77"/>
      <c r="G221" s="8">
        <v>8300</v>
      </c>
      <c r="H221" s="1" t="s">
        <v>8</v>
      </c>
      <c r="I221" s="78">
        <v>5</v>
      </c>
      <c r="J221" s="8">
        <v>8300</v>
      </c>
      <c r="K221" s="8">
        <f>ROUND(Dot_ex(D221,E221,F221,G221,H221,I221,J221,$G$6,$I$6,$I$8),2)</f>
        <v>0</v>
      </c>
      <c r="L221" s="8">
        <f>J221+K221</f>
        <v>8300</v>
      </c>
      <c r="M221" s="57">
        <f>G221-L221</f>
        <v>0</v>
      </c>
      <c r="N221" s="57">
        <f>ROUND(Dot_ex($D221,$E221,$F221,$G221,$H221,$I221,$L221,D$115,D$117,D$117),2)</f>
        <v>0</v>
      </c>
      <c r="O221" s="57">
        <f>ROUND(Dot_ex($D221,$E221,$F221,$G221,$H221,$I221,$L221+SUM($N221:N221),E$115,E$117,E$117),2)</f>
        <v>0</v>
      </c>
      <c r="P221" s="57">
        <f>ROUND(Dot_ex($D221,$E221,$F221,$G221,$H221,$I221,$L221+SUM($N221:O221),F$115,F$117,F$117),2)</f>
        <v>0</v>
      </c>
      <c r="Q221" s="57">
        <f>ROUND(Dot_ex($D221,$E221,$F221,$G221,$H221,$I221,$L221+SUM($N221:P221),G$115,G$117,G$117),2)</f>
        <v>0</v>
      </c>
      <c r="R221" s="57">
        <f>ROUND(Dot_ex($D221,$E221,$F221,$G221,$H221,$I221,$L221+SUM($N221:Q221),H$115,H$117,H$117),2)</f>
        <v>0</v>
      </c>
      <c r="S221" s="57">
        <f>ROUND(Dot_ex($D221,$E221,$F221,$G221,$H221,$I221,$L221+SUM($N221:R221),I$115,I$117,I$117),2)</f>
        <v>0</v>
      </c>
      <c r="T221" s="57">
        <f>ROUND(Dot_ex($D221,$E221,$F221,$G221,$H221,$I221,$L221+SUM($N221:S221),J$115,J$117,J$117),2)</f>
        <v>0</v>
      </c>
      <c r="U221" s="57">
        <f>ROUND(Dot_ex($D221,$E221,$F221,$G221,$H221,$I221,$L221+SUM($N221:T221),K$115,K$117,K$117),2)</f>
        <v>0</v>
      </c>
      <c r="V221" s="57">
        <f>ROUND(Dot_ex($D221,$E221,$F221,$G221,$H221,$I221,$L221+SUM($N221:U221),L$115,L$117,L$117),2)</f>
        <v>0</v>
      </c>
      <c r="W221" s="57">
        <f>ROUND(Dot_ex($D221,$E221,$F221,$G221,$H221,$I221,$L221+SUM($N221:V221),M$115,M$117,M$117),2)</f>
        <v>0</v>
      </c>
    </row>
    <row r="222" spans="1:23" x14ac:dyDescent="0.2">
      <c r="A222" s="107">
        <f ca="1">IF(ISNUMBER(A221),A221+1,OFFSET(A222,-Nbre_Ligne_Entre_Compte,0,1,1)+1)</f>
        <v>26</v>
      </c>
      <c r="B222" s="1" t="s">
        <v>237</v>
      </c>
      <c r="C222" s="1" t="s">
        <v>265</v>
      </c>
      <c r="D222" s="77">
        <v>37833</v>
      </c>
      <c r="E222" s="77">
        <v>37833</v>
      </c>
      <c r="F222" s="77"/>
      <c r="G222" s="8">
        <v>1803.18</v>
      </c>
      <c r="H222" s="1" t="s">
        <v>8</v>
      </c>
      <c r="I222" s="78">
        <v>5</v>
      </c>
      <c r="J222" s="8">
        <v>1803.18</v>
      </c>
      <c r="K222" s="8">
        <f>ROUND(Dot_ex(D222,E222,F222,G222,H222,I222,J222,$G$6,$I$6,$I$8),2)</f>
        <v>0</v>
      </c>
      <c r="L222" s="8">
        <f>J222+K222</f>
        <v>1803.18</v>
      </c>
      <c r="M222" s="57">
        <f>G222-L222</f>
        <v>0</v>
      </c>
      <c r="N222" s="57">
        <f>ROUND(Dot_ex($D222,$E222,$F222,$G222,$H222,$I222,$L222,D$115,D$117,D$117),2)</f>
        <v>0</v>
      </c>
      <c r="O222" s="57">
        <f>ROUND(Dot_ex($D222,$E222,$F222,$G222,$H222,$I222,$L222+SUM($N222:N222),E$115,E$117,E$117),2)</f>
        <v>0</v>
      </c>
      <c r="P222" s="57">
        <f>ROUND(Dot_ex($D222,$E222,$F222,$G222,$H222,$I222,$L222+SUM($N222:O222),F$115,F$117,F$117),2)</f>
        <v>0</v>
      </c>
      <c r="Q222" s="57">
        <f>ROUND(Dot_ex($D222,$E222,$F222,$G222,$H222,$I222,$L222+SUM($N222:P222),G$115,G$117,G$117),2)</f>
        <v>0</v>
      </c>
      <c r="R222" s="57">
        <f>ROUND(Dot_ex($D222,$E222,$F222,$G222,$H222,$I222,$L222+SUM($N222:Q222),H$115,H$117,H$117),2)</f>
        <v>0</v>
      </c>
      <c r="S222" s="57">
        <f>ROUND(Dot_ex($D222,$E222,$F222,$G222,$H222,$I222,$L222+SUM($N222:R222),I$115,I$117,I$117),2)</f>
        <v>0</v>
      </c>
      <c r="T222" s="57">
        <f>ROUND(Dot_ex($D222,$E222,$F222,$G222,$H222,$I222,$L222+SUM($N222:S222),J$115,J$117,J$117),2)</f>
        <v>0</v>
      </c>
      <c r="U222" s="57">
        <f>ROUND(Dot_ex($D222,$E222,$F222,$G222,$H222,$I222,$L222+SUM($N222:T222),K$115,K$117,K$117),2)</f>
        <v>0</v>
      </c>
      <c r="V222" s="57">
        <f>ROUND(Dot_ex($D222,$E222,$F222,$G222,$H222,$I222,$L222+SUM($N222:U222),L$115,L$117,L$117),2)</f>
        <v>0</v>
      </c>
      <c r="W222" s="57">
        <f>ROUND(Dot_ex($D222,$E222,$F222,$G222,$H222,$I222,$L222+SUM($N222:V222),M$115,M$117,M$117),2)</f>
        <v>0</v>
      </c>
    </row>
    <row r="223" spans="1:23" x14ac:dyDescent="0.2">
      <c r="A223" s="107">
        <f ca="1">IF(ISNUMBER(A222),A222+1,OFFSET(A223,-Nbre_Ligne_Entre_Compte,0,1,1)+1)</f>
        <v>27</v>
      </c>
      <c r="B223" s="1" t="s">
        <v>238</v>
      </c>
      <c r="C223" s="1" t="s">
        <v>265</v>
      </c>
      <c r="D223" s="77">
        <v>37999</v>
      </c>
      <c r="E223" s="77">
        <v>37999</v>
      </c>
      <c r="F223" s="77"/>
      <c r="G223" s="8">
        <v>4896.5</v>
      </c>
      <c r="H223" s="1" t="s">
        <v>8</v>
      </c>
      <c r="I223" s="78">
        <v>5</v>
      </c>
      <c r="J223" s="8">
        <v>4896.5</v>
      </c>
      <c r="K223" s="8">
        <f>ROUND(Dot_ex(D223,E223,F223,G223,H223,I223,J223,$G$6,$I$6,$I$8),2)</f>
        <v>0</v>
      </c>
      <c r="L223" s="8">
        <f>J223+K223</f>
        <v>4896.5</v>
      </c>
      <c r="M223" s="57">
        <f>G223-L223</f>
        <v>0</v>
      </c>
      <c r="N223" s="57">
        <f>ROUND(Dot_ex($D223,$E223,$F223,$G223,$H223,$I223,$L223,D$115,D$117,D$117),2)</f>
        <v>0</v>
      </c>
      <c r="O223" s="57">
        <f>ROUND(Dot_ex($D223,$E223,$F223,$G223,$H223,$I223,$L223+SUM($N223:N223),E$115,E$117,E$117),2)</f>
        <v>0</v>
      </c>
      <c r="P223" s="57">
        <f>ROUND(Dot_ex($D223,$E223,$F223,$G223,$H223,$I223,$L223+SUM($N223:O223),F$115,F$117,F$117),2)</f>
        <v>0</v>
      </c>
      <c r="Q223" s="57">
        <f>ROUND(Dot_ex($D223,$E223,$F223,$G223,$H223,$I223,$L223+SUM($N223:P223),G$115,G$117,G$117),2)</f>
        <v>0</v>
      </c>
      <c r="R223" s="57">
        <f>ROUND(Dot_ex($D223,$E223,$F223,$G223,$H223,$I223,$L223+SUM($N223:Q223),H$115,H$117,H$117),2)</f>
        <v>0</v>
      </c>
      <c r="S223" s="57">
        <f>ROUND(Dot_ex($D223,$E223,$F223,$G223,$H223,$I223,$L223+SUM($N223:R223),I$115,I$117,I$117),2)</f>
        <v>0</v>
      </c>
      <c r="T223" s="57">
        <f>ROUND(Dot_ex($D223,$E223,$F223,$G223,$H223,$I223,$L223+SUM($N223:S223),J$115,J$117,J$117),2)</f>
        <v>0</v>
      </c>
      <c r="U223" s="57">
        <f>ROUND(Dot_ex($D223,$E223,$F223,$G223,$H223,$I223,$L223+SUM($N223:T223),K$115,K$117,K$117),2)</f>
        <v>0</v>
      </c>
      <c r="V223" s="57">
        <f>ROUND(Dot_ex($D223,$E223,$F223,$G223,$H223,$I223,$L223+SUM($N223:U223),L$115,L$117,L$117),2)</f>
        <v>0</v>
      </c>
      <c r="W223" s="57">
        <f>ROUND(Dot_ex($D223,$E223,$F223,$G223,$H223,$I223,$L223+SUM($N223:V223),M$115,M$117,M$117),2)</f>
        <v>0</v>
      </c>
    </row>
    <row r="224" spans="1:23" x14ac:dyDescent="0.2">
      <c r="A224" s="101"/>
      <c r="H224" s="1"/>
      <c r="I224" s="1"/>
      <c r="J224" s="8"/>
      <c r="K224" s="8"/>
      <c r="M224" s="14"/>
      <c r="N224" s="57"/>
      <c r="O224" s="57"/>
      <c r="P224" s="57"/>
      <c r="Q224" s="57"/>
      <c r="R224" s="57"/>
      <c r="S224" s="57"/>
      <c r="T224" s="57"/>
      <c r="U224" s="57"/>
      <c r="V224" s="57"/>
      <c r="W224" s="57"/>
    </row>
    <row r="225" spans="1:23" x14ac:dyDescent="0.2">
      <c r="A225" s="101"/>
      <c r="E225" s="94" t="s">
        <v>14</v>
      </c>
      <c r="F225" s="95"/>
      <c r="G225" s="96">
        <f>SUM(G220:G224)</f>
        <v>16385.18</v>
      </c>
      <c r="H225" s="94"/>
      <c r="I225" s="97"/>
      <c r="J225" s="96">
        <f t="shared" ref="J225:R225" si="38">SUM(J220:J224)</f>
        <v>16265.61</v>
      </c>
      <c r="K225" s="96">
        <f t="shared" si="38"/>
        <v>119.57</v>
      </c>
      <c r="L225" s="96">
        <f t="shared" si="38"/>
        <v>16385.18</v>
      </c>
      <c r="M225" s="203">
        <f t="shared" si="38"/>
        <v>0</v>
      </c>
      <c r="N225" s="203">
        <f t="shared" si="38"/>
        <v>0</v>
      </c>
      <c r="O225" s="203">
        <f t="shared" si="38"/>
        <v>0</v>
      </c>
      <c r="P225" s="203">
        <f t="shared" si="38"/>
        <v>0</v>
      </c>
      <c r="Q225" s="203">
        <f t="shared" si="38"/>
        <v>0</v>
      </c>
      <c r="R225" s="203">
        <f t="shared" si="38"/>
        <v>0</v>
      </c>
      <c r="S225" s="203">
        <f>SUM(S220:S224)</f>
        <v>0</v>
      </c>
      <c r="T225" s="203">
        <f>SUM(T220:T224)</f>
        <v>0</v>
      </c>
      <c r="U225" s="203">
        <f>SUM(U220:U224)</f>
        <v>0</v>
      </c>
      <c r="V225" s="203">
        <f>SUM(V220:V224)</f>
        <v>0</v>
      </c>
      <c r="W225" s="203">
        <f>SUM(W220:W224)</f>
        <v>0</v>
      </c>
    </row>
    <row r="226" spans="1:23" x14ac:dyDescent="0.2">
      <c r="A226" s="101"/>
      <c r="E226" s="94"/>
      <c r="F226" s="95"/>
      <c r="G226" s="96"/>
      <c r="H226" s="94"/>
      <c r="I226" s="97"/>
      <c r="J226" s="96"/>
      <c r="K226" s="96"/>
      <c r="L226" s="96"/>
      <c r="M226" s="203"/>
      <c r="N226" s="57"/>
      <c r="O226" s="57"/>
      <c r="P226" s="57"/>
      <c r="Q226" s="57"/>
      <c r="R226" s="57"/>
      <c r="S226" s="57"/>
      <c r="T226" s="57"/>
      <c r="U226" s="57"/>
      <c r="V226" s="57"/>
      <c r="W226" s="57"/>
    </row>
    <row r="227" spans="1:23" x14ac:dyDescent="0.2">
      <c r="A227" s="101"/>
      <c r="E227" s="1" t="s">
        <v>23</v>
      </c>
      <c r="G227" s="8">
        <f>SUMIF($D220:$D224,"&lt;"&amp;TEXT($G$6,"jj/mm/aa"),G$220:G$224)</f>
        <v>16385.18</v>
      </c>
      <c r="H227" s="1"/>
      <c r="I227" s="78"/>
      <c r="J227" s="8">
        <f>SUMIF($D220:$D224,"&lt;"&amp;TEXT($G$6,"jj/mm/aa"),J$220:J$224)</f>
        <v>16265.61</v>
      </c>
      <c r="K227" s="8">
        <f>SUMIF($D220:$D224,"&lt;"&amp;TEXT($G$6,"jj/mm/aa"),K$220:K$224)</f>
        <v>119.57</v>
      </c>
      <c r="L227" s="8">
        <f>SUMIF($D220:$D224,"&lt;"&amp;TEXT($G$6,"jj/mm/aa"),L$220:L$224)</f>
        <v>16385.18</v>
      </c>
      <c r="M227" s="57">
        <f>SUMIF($D220:$D224,"&lt;"&amp;TEXT($G$6,"jj/mm/aa"),M$220:M$224)</f>
        <v>0</v>
      </c>
      <c r="N227" s="57"/>
      <c r="O227" s="57"/>
      <c r="P227" s="57"/>
      <c r="Q227" s="57"/>
      <c r="R227" s="57"/>
      <c r="S227" s="57"/>
      <c r="T227" s="57"/>
      <c r="U227" s="57"/>
      <c r="V227" s="57"/>
      <c r="W227" s="57"/>
    </row>
    <row r="228" spans="1:23" x14ac:dyDescent="0.2">
      <c r="A228" s="101"/>
      <c r="E228" s="1" t="s">
        <v>38</v>
      </c>
      <c r="G228" s="8">
        <f>SUMIF($D220:$D224,"&gt;="&amp;TEXT($G$6,"jj/mm/aa"),G$220:G$224)</f>
        <v>0</v>
      </c>
      <c r="J228" s="8">
        <f>SUMIF($D220:$D224,"&gt;="&amp;TEXT($G$6,"jj/mm/aa"),J$220:J$224)</f>
        <v>0</v>
      </c>
      <c r="K228" s="8">
        <f>SUMIF($D220:$D224,"&gt;="&amp;TEXT($G$6,"jj/mm/aa"),K$220:K$224)</f>
        <v>0</v>
      </c>
      <c r="L228" s="8">
        <f>SUMIF($D220:$D224,"&gt;="&amp;TEXT($G$6,"jj/mm/aa"),L$220:L$224)</f>
        <v>0</v>
      </c>
      <c r="M228" s="57">
        <f>SUMIF($D220:$D224,"&gt;="&amp;TEXT($G$6,"jj/mm/aa"),M$220:M$224)</f>
        <v>0</v>
      </c>
      <c r="N228" s="57"/>
      <c r="O228" s="57"/>
      <c r="P228" s="57"/>
      <c r="Q228" s="57"/>
      <c r="R228" s="57"/>
      <c r="S228" s="57"/>
      <c r="T228" s="57"/>
      <c r="U228" s="57"/>
      <c r="V228" s="57"/>
      <c r="W228" s="57"/>
    </row>
    <row r="229" spans="1:23" x14ac:dyDescent="0.2">
      <c r="A229" s="101"/>
      <c r="E229" s="1" t="s">
        <v>39</v>
      </c>
      <c r="G229" s="8">
        <f>SUMIF($F220:$F224,"&gt;="&amp;TEXT($G$6,"jj/mm/aa"),G$220:G$224)</f>
        <v>0</v>
      </c>
      <c r="J229" s="8">
        <f>SUMIF($F220:$F224,"&gt;="&amp;TEXT($G$6,"jj/mm/aa"),J$220:J$224)</f>
        <v>0</v>
      </c>
      <c r="K229" s="8">
        <f>SUMIF($F220:$F224,"&gt;="&amp;TEXT($G$6,"jj/mm/aa"),K$220:K$224)</f>
        <v>0</v>
      </c>
      <c r="L229" s="8">
        <f>SUMIF($F220:$F224,"&gt;="&amp;TEXT($G$6,"jj/mm/aa"),L$220:L$224)</f>
        <v>0</v>
      </c>
      <c r="M229" s="57">
        <f>SUMIF($F220:$F224,"&gt;="&amp;TEXT($G$6,"jj/mm/aa"),M$220:M$224)</f>
        <v>0</v>
      </c>
      <c r="N229" s="57"/>
      <c r="O229" s="57"/>
      <c r="P229" s="57"/>
      <c r="Q229" s="57"/>
      <c r="R229" s="57"/>
      <c r="S229" s="57"/>
      <c r="T229" s="57"/>
      <c r="U229" s="57"/>
      <c r="V229" s="57"/>
      <c r="W229" s="57"/>
    </row>
    <row r="230" spans="1:23" x14ac:dyDescent="0.2">
      <c r="A230" s="101"/>
      <c r="E230" s="1" t="s">
        <v>15</v>
      </c>
      <c r="G230" s="8">
        <f>G227+G228-G229</f>
        <v>16385.18</v>
      </c>
      <c r="J230" s="8">
        <f>J227+J228-J229</f>
        <v>16265.61</v>
      </c>
      <c r="K230" s="8">
        <f>K227+K228-K229</f>
        <v>119.57</v>
      </c>
      <c r="L230" s="8">
        <f>L227+L228-L229</f>
        <v>16385.18</v>
      </c>
      <c r="M230" s="57">
        <f>M227+M228-M229</f>
        <v>0</v>
      </c>
      <c r="N230" s="57"/>
      <c r="O230" s="57"/>
      <c r="P230" s="57"/>
      <c r="Q230" s="57"/>
      <c r="R230" s="57"/>
      <c r="S230" s="57"/>
      <c r="T230" s="57"/>
      <c r="U230" s="57"/>
      <c r="V230" s="57"/>
      <c r="W230" s="57"/>
    </row>
    <row r="231" spans="1:23" x14ac:dyDescent="0.2">
      <c r="A231" s="101"/>
      <c r="M231" s="14"/>
      <c r="N231" s="57"/>
      <c r="O231" s="57"/>
      <c r="P231" s="57"/>
      <c r="Q231" s="57"/>
      <c r="R231" s="57"/>
      <c r="S231" s="57"/>
      <c r="T231" s="57"/>
      <c r="U231" s="57"/>
      <c r="V231" s="57"/>
      <c r="W231" s="57"/>
    </row>
    <row r="232" spans="1:23" x14ac:dyDescent="0.2">
      <c r="A232" s="101"/>
      <c r="M232" s="14"/>
      <c r="N232" s="57"/>
      <c r="O232" s="57"/>
      <c r="P232" s="57"/>
      <c r="Q232" s="57"/>
      <c r="R232" s="57"/>
      <c r="S232" s="57"/>
      <c r="T232" s="57"/>
      <c r="U232" s="57"/>
      <c r="V232" s="57"/>
      <c r="W232" s="57"/>
    </row>
    <row r="233" spans="1:23" ht="24.95" customHeight="1" x14ac:dyDescent="0.2">
      <c r="A233" s="208" t="s">
        <v>78</v>
      </c>
      <c r="B233" s="209"/>
      <c r="C233" s="209"/>
      <c r="D233" s="209"/>
      <c r="E233" s="210"/>
      <c r="F233" s="211"/>
      <c r="G233" s="211"/>
      <c r="H233" s="211"/>
      <c r="I233" s="211"/>
      <c r="J233" s="211"/>
      <c r="K233" s="211"/>
      <c r="L233" s="211"/>
      <c r="M233" s="226"/>
      <c r="N233" s="212" t="str">
        <f>A233 &amp; "   -   Dotations prévisionnelles"</f>
        <v>215400 MATERIEL DE LABORATOIRE   -   Dotations prévisionnelles</v>
      </c>
      <c r="O233" s="212"/>
      <c r="P233" s="212"/>
      <c r="Q233" s="212"/>
      <c r="R233" s="212"/>
      <c r="S233" s="212"/>
      <c r="T233" s="212"/>
      <c r="U233" s="212"/>
      <c r="V233" s="212"/>
      <c r="W233" s="213"/>
    </row>
    <row r="234" spans="1:23" x14ac:dyDescent="0.2">
      <c r="A234" s="107">
        <f ca="1">IF(ISNUMBER(A233),A233+1,OFFSET(A234,-Nbre_Ligne_Entre_Compte,0,1,1)+1)</f>
        <v>28</v>
      </c>
      <c r="B234" s="1" t="s">
        <v>79</v>
      </c>
      <c r="C234" s="1"/>
      <c r="D234" s="77">
        <v>31889</v>
      </c>
      <c r="E234" s="77">
        <v>31889</v>
      </c>
      <c r="F234" s="77"/>
      <c r="G234" s="8">
        <v>638.76</v>
      </c>
      <c r="H234" s="1" t="s">
        <v>8</v>
      </c>
      <c r="I234" s="78">
        <v>7</v>
      </c>
      <c r="J234" s="8">
        <v>638.76</v>
      </c>
      <c r="K234" s="8">
        <f>ROUND(Dot_ex(D234,E234,F234,G234,H234,I234,J234,$G$6,$I$6,$I$8),2)</f>
        <v>0</v>
      </c>
      <c r="L234" s="8">
        <f>J234+K234</f>
        <v>638.76</v>
      </c>
      <c r="M234" s="57">
        <f>G234-L234</f>
        <v>0</v>
      </c>
      <c r="N234" s="57">
        <f t="shared" ref="N234:N265" si="39">ROUND(Dot_ex($D234,$E234,$F234,$G234,$H234,$I234,$L234,D$115,D$117,D$117),2)</f>
        <v>0</v>
      </c>
      <c r="O234" s="57">
        <f>ROUND(Dot_ex($D234,$E234,$F234,$G234,$H234,$I234,$L234+SUM($N234:N234),E$115,E$117,E$117),2)</f>
        <v>0</v>
      </c>
      <c r="P234" s="57">
        <f>ROUND(Dot_ex($D234,$E234,$F234,$G234,$H234,$I234,$L234+SUM($N234:O234),F$115,F$117,F$117),2)</f>
        <v>0</v>
      </c>
      <c r="Q234" s="57">
        <f>ROUND(Dot_ex($D234,$E234,$F234,$G234,$H234,$I234,$L234+SUM($N234:P234),G$115,G$117,G$117),2)</f>
        <v>0</v>
      </c>
      <c r="R234" s="57">
        <f>ROUND(Dot_ex($D234,$E234,$F234,$G234,$H234,$I234,$L234+SUM($N234:Q234),H$115,H$117,H$117),2)</f>
        <v>0</v>
      </c>
      <c r="S234" s="57">
        <f>ROUND(Dot_ex($D234,$E234,$F234,$G234,$H234,$I234,$L234+SUM($N234:R234),I$115,I$117,I$117),2)</f>
        <v>0</v>
      </c>
      <c r="T234" s="57">
        <f>ROUND(Dot_ex($D234,$E234,$F234,$G234,$H234,$I234,$L234+SUM($N234:S234),J$115,J$117,J$117),2)</f>
        <v>0</v>
      </c>
      <c r="U234" s="57">
        <f>ROUND(Dot_ex($D234,$E234,$F234,$G234,$H234,$I234,$L234+SUM($N234:T234),K$115,K$117,K$117),2)</f>
        <v>0</v>
      </c>
      <c r="V234" s="57">
        <f>ROUND(Dot_ex($D234,$E234,$F234,$G234,$H234,$I234,$L234+SUM($N234:U234),L$115,L$117,L$117),2)</f>
        <v>0</v>
      </c>
      <c r="W234" s="57">
        <f>ROUND(Dot_ex($D234,$E234,$F234,$G234,$H234,$I234,$L234+SUM($N234:V234),M$115,M$117,M$117),2)</f>
        <v>0</v>
      </c>
    </row>
    <row r="235" spans="1:23" x14ac:dyDescent="0.2">
      <c r="A235" s="107">
        <f t="shared" ref="A235:A298" ca="1" si="40">IF(ISNUMBER(A234),A234+1,OFFSET(A235,-Nbre_Ligne_Entre_Compte,0,1,1)+1)</f>
        <v>29</v>
      </c>
      <c r="B235" s="1" t="s">
        <v>80</v>
      </c>
      <c r="C235" s="1"/>
      <c r="D235" s="77">
        <v>32675</v>
      </c>
      <c r="E235" s="77">
        <v>32675</v>
      </c>
      <c r="F235" s="77"/>
      <c r="G235" s="8">
        <v>11555.64</v>
      </c>
      <c r="H235" s="1" t="s">
        <v>8</v>
      </c>
      <c r="I235" s="78">
        <v>7</v>
      </c>
      <c r="J235" s="8">
        <v>11555.64</v>
      </c>
      <c r="K235" s="8">
        <f t="shared" ref="K235:K261" si="41">ROUND(Dot_ex(D235,E235,F235,G235,H235,I235,J235,$G$6,$I$6,$I$8),2)</f>
        <v>0</v>
      </c>
      <c r="L235" s="8">
        <f t="shared" ref="L235:L261" si="42">J235+K235</f>
        <v>11555.64</v>
      </c>
      <c r="M235" s="57">
        <f t="shared" ref="M235:M261" si="43">G235-L235</f>
        <v>0</v>
      </c>
      <c r="N235" s="57">
        <f t="shared" si="39"/>
        <v>0</v>
      </c>
      <c r="O235" s="57">
        <f>ROUND(Dot_ex($D235,$E235,$F235,$G235,$H235,$I235,$L235+SUM($N235:N235),E$115,E$117,E$117),2)</f>
        <v>0</v>
      </c>
      <c r="P235" s="57">
        <f>ROUND(Dot_ex($D235,$E235,$F235,$G235,$H235,$I235,$L235+SUM($N235:O235),F$115,F$117,F$117),2)</f>
        <v>0</v>
      </c>
      <c r="Q235" s="57">
        <f>ROUND(Dot_ex($D235,$E235,$F235,$G235,$H235,$I235,$L235+SUM($N235:P235),G$115,G$117,G$117),2)</f>
        <v>0</v>
      </c>
      <c r="R235" s="57">
        <f>ROUND(Dot_ex($D235,$E235,$F235,$G235,$H235,$I235,$L235+SUM($N235:Q235),H$115,H$117,H$117),2)</f>
        <v>0</v>
      </c>
      <c r="S235" s="57">
        <f>ROUND(Dot_ex($D235,$E235,$F235,$G235,$H235,$I235,$L235+SUM($N235:R235),I$115,I$117,I$117),2)</f>
        <v>0</v>
      </c>
      <c r="T235" s="57">
        <f>ROUND(Dot_ex($D235,$E235,$F235,$G235,$H235,$I235,$L235+SUM($N235:S235),J$115,J$117,J$117),2)</f>
        <v>0</v>
      </c>
      <c r="U235" s="57">
        <f>ROUND(Dot_ex($D235,$E235,$F235,$G235,$H235,$I235,$L235+SUM($N235:T235),K$115,K$117,K$117),2)</f>
        <v>0</v>
      </c>
      <c r="V235" s="57">
        <f>ROUND(Dot_ex($D235,$E235,$F235,$G235,$H235,$I235,$L235+SUM($N235:U235),L$115,L$117,L$117),2)</f>
        <v>0</v>
      </c>
      <c r="W235" s="57">
        <f>ROUND(Dot_ex($D235,$E235,$F235,$G235,$H235,$I235,$L235+SUM($N235:V235),M$115,M$117,M$117),2)</f>
        <v>0</v>
      </c>
    </row>
    <row r="236" spans="1:23" x14ac:dyDescent="0.2">
      <c r="A236" s="107">
        <f t="shared" ca="1" si="40"/>
        <v>30</v>
      </c>
      <c r="B236" s="1" t="s">
        <v>81</v>
      </c>
      <c r="C236" s="1"/>
      <c r="D236" s="77">
        <v>32681</v>
      </c>
      <c r="E236" s="77">
        <v>32681</v>
      </c>
      <c r="F236" s="77"/>
      <c r="G236" s="8">
        <v>1337.13</v>
      </c>
      <c r="H236" s="1" t="s">
        <v>8</v>
      </c>
      <c r="I236" s="78">
        <v>7</v>
      </c>
      <c r="J236" s="8">
        <v>1337.13</v>
      </c>
      <c r="K236" s="8">
        <f t="shared" si="41"/>
        <v>0</v>
      </c>
      <c r="L236" s="8">
        <f t="shared" si="42"/>
        <v>1337.13</v>
      </c>
      <c r="M236" s="57">
        <f t="shared" si="43"/>
        <v>0</v>
      </c>
      <c r="N236" s="57">
        <f t="shared" si="39"/>
        <v>0</v>
      </c>
      <c r="O236" s="57">
        <f>ROUND(Dot_ex($D236,$E236,$F236,$G236,$H236,$I236,$L236+SUM($N236:N236),E$115,E$117,E$117),2)</f>
        <v>0</v>
      </c>
      <c r="P236" s="57">
        <f>ROUND(Dot_ex($D236,$E236,$F236,$G236,$H236,$I236,$L236+SUM($N236:O236),F$115,F$117,F$117),2)</f>
        <v>0</v>
      </c>
      <c r="Q236" s="57">
        <f>ROUND(Dot_ex($D236,$E236,$F236,$G236,$H236,$I236,$L236+SUM($N236:P236),G$115,G$117,G$117),2)</f>
        <v>0</v>
      </c>
      <c r="R236" s="57">
        <f>ROUND(Dot_ex($D236,$E236,$F236,$G236,$H236,$I236,$L236+SUM($N236:Q236),H$115,H$117,H$117),2)</f>
        <v>0</v>
      </c>
      <c r="S236" s="57">
        <f>ROUND(Dot_ex($D236,$E236,$F236,$G236,$H236,$I236,$L236+SUM($N236:R236),I$115,I$117,I$117),2)</f>
        <v>0</v>
      </c>
      <c r="T236" s="57">
        <f>ROUND(Dot_ex($D236,$E236,$F236,$G236,$H236,$I236,$L236+SUM($N236:S236),J$115,J$117,J$117),2)</f>
        <v>0</v>
      </c>
      <c r="U236" s="57">
        <f>ROUND(Dot_ex($D236,$E236,$F236,$G236,$H236,$I236,$L236+SUM($N236:T236),K$115,K$117,K$117),2)</f>
        <v>0</v>
      </c>
      <c r="V236" s="57">
        <f>ROUND(Dot_ex($D236,$E236,$F236,$G236,$H236,$I236,$L236+SUM($N236:U236),L$115,L$117,L$117),2)</f>
        <v>0</v>
      </c>
      <c r="W236" s="57">
        <f>ROUND(Dot_ex($D236,$E236,$F236,$G236,$H236,$I236,$L236+SUM($N236:V236),M$115,M$117,M$117),2)</f>
        <v>0</v>
      </c>
    </row>
    <row r="237" spans="1:23" x14ac:dyDescent="0.2">
      <c r="A237" s="107">
        <f t="shared" ca="1" si="40"/>
        <v>31</v>
      </c>
      <c r="B237" s="1" t="s">
        <v>82</v>
      </c>
      <c r="C237" s="1"/>
      <c r="D237" s="77">
        <v>32716</v>
      </c>
      <c r="E237" s="77">
        <v>32716</v>
      </c>
      <c r="F237" s="77"/>
      <c r="G237" s="8">
        <v>1012.34</v>
      </c>
      <c r="H237" s="1" t="s">
        <v>8</v>
      </c>
      <c r="I237" s="78">
        <v>5</v>
      </c>
      <c r="J237" s="8">
        <v>1012.34</v>
      </c>
      <c r="K237" s="8">
        <f t="shared" si="41"/>
        <v>0</v>
      </c>
      <c r="L237" s="8">
        <f t="shared" si="42"/>
        <v>1012.34</v>
      </c>
      <c r="M237" s="57">
        <f t="shared" si="43"/>
        <v>0</v>
      </c>
      <c r="N237" s="57">
        <f t="shared" si="39"/>
        <v>0</v>
      </c>
      <c r="O237" s="57">
        <f>ROUND(Dot_ex($D237,$E237,$F237,$G237,$H237,$I237,$L237+SUM($N237:N237),E$115,E$117,E$117),2)</f>
        <v>0</v>
      </c>
      <c r="P237" s="57">
        <f>ROUND(Dot_ex($D237,$E237,$F237,$G237,$H237,$I237,$L237+SUM($N237:O237),F$115,F$117,F$117),2)</f>
        <v>0</v>
      </c>
      <c r="Q237" s="57">
        <f>ROUND(Dot_ex($D237,$E237,$F237,$G237,$H237,$I237,$L237+SUM($N237:P237),G$115,G$117,G$117),2)</f>
        <v>0</v>
      </c>
      <c r="R237" s="57">
        <f>ROUND(Dot_ex($D237,$E237,$F237,$G237,$H237,$I237,$L237+SUM($N237:Q237),H$115,H$117,H$117),2)</f>
        <v>0</v>
      </c>
      <c r="S237" s="57">
        <f>ROUND(Dot_ex($D237,$E237,$F237,$G237,$H237,$I237,$L237+SUM($N237:R237),I$115,I$117,I$117),2)</f>
        <v>0</v>
      </c>
      <c r="T237" s="57">
        <f>ROUND(Dot_ex($D237,$E237,$F237,$G237,$H237,$I237,$L237+SUM($N237:S237),J$115,J$117,J$117),2)</f>
        <v>0</v>
      </c>
      <c r="U237" s="57">
        <f>ROUND(Dot_ex($D237,$E237,$F237,$G237,$H237,$I237,$L237+SUM($N237:T237),K$115,K$117,K$117),2)</f>
        <v>0</v>
      </c>
      <c r="V237" s="57">
        <f>ROUND(Dot_ex($D237,$E237,$F237,$G237,$H237,$I237,$L237+SUM($N237:U237),L$115,L$117,L$117),2)</f>
        <v>0</v>
      </c>
      <c r="W237" s="57">
        <f>ROUND(Dot_ex($D237,$E237,$F237,$G237,$H237,$I237,$L237+SUM($N237:V237),M$115,M$117,M$117),2)</f>
        <v>0</v>
      </c>
    </row>
    <row r="238" spans="1:23" x14ac:dyDescent="0.2">
      <c r="A238" s="107">
        <f t="shared" ca="1" si="40"/>
        <v>32</v>
      </c>
      <c r="B238" s="1" t="s">
        <v>83</v>
      </c>
      <c r="C238" s="1"/>
      <c r="D238" s="77">
        <v>32778</v>
      </c>
      <c r="E238" s="77">
        <v>32778</v>
      </c>
      <c r="F238" s="77"/>
      <c r="G238" s="8">
        <v>6564.21</v>
      </c>
      <c r="H238" s="1" t="s">
        <v>8</v>
      </c>
      <c r="I238" s="78">
        <v>5</v>
      </c>
      <c r="J238" s="8">
        <v>6564.21</v>
      </c>
      <c r="K238" s="8">
        <f t="shared" si="41"/>
        <v>0</v>
      </c>
      <c r="L238" s="8">
        <f t="shared" si="42"/>
        <v>6564.21</v>
      </c>
      <c r="M238" s="57">
        <f t="shared" si="43"/>
        <v>0</v>
      </c>
      <c r="N238" s="57">
        <f t="shared" si="39"/>
        <v>0</v>
      </c>
      <c r="O238" s="57">
        <f>ROUND(Dot_ex($D238,$E238,$F238,$G238,$H238,$I238,$L238+SUM($N238:N238),E$115,E$117,E$117),2)</f>
        <v>0</v>
      </c>
      <c r="P238" s="57">
        <f>ROUND(Dot_ex($D238,$E238,$F238,$G238,$H238,$I238,$L238+SUM($N238:O238),F$115,F$117,F$117),2)</f>
        <v>0</v>
      </c>
      <c r="Q238" s="57">
        <f>ROUND(Dot_ex($D238,$E238,$F238,$G238,$H238,$I238,$L238+SUM($N238:P238),G$115,G$117,G$117),2)</f>
        <v>0</v>
      </c>
      <c r="R238" s="57">
        <f>ROUND(Dot_ex($D238,$E238,$F238,$G238,$H238,$I238,$L238+SUM($N238:Q238),H$115,H$117,H$117),2)</f>
        <v>0</v>
      </c>
      <c r="S238" s="57">
        <f>ROUND(Dot_ex($D238,$E238,$F238,$G238,$H238,$I238,$L238+SUM($N238:R238),I$115,I$117,I$117),2)</f>
        <v>0</v>
      </c>
      <c r="T238" s="57">
        <f>ROUND(Dot_ex($D238,$E238,$F238,$G238,$H238,$I238,$L238+SUM($N238:S238),J$115,J$117,J$117),2)</f>
        <v>0</v>
      </c>
      <c r="U238" s="57">
        <f>ROUND(Dot_ex($D238,$E238,$F238,$G238,$H238,$I238,$L238+SUM($N238:T238),K$115,K$117,K$117),2)</f>
        <v>0</v>
      </c>
      <c r="V238" s="57">
        <f>ROUND(Dot_ex($D238,$E238,$F238,$G238,$H238,$I238,$L238+SUM($N238:U238),L$115,L$117,L$117),2)</f>
        <v>0</v>
      </c>
      <c r="W238" s="57">
        <f>ROUND(Dot_ex($D238,$E238,$F238,$G238,$H238,$I238,$L238+SUM($N238:V238),M$115,M$117,M$117),2)</f>
        <v>0</v>
      </c>
    </row>
    <row r="239" spans="1:23" x14ac:dyDescent="0.2">
      <c r="A239" s="107">
        <f t="shared" ca="1" si="40"/>
        <v>33</v>
      </c>
      <c r="B239" s="1" t="s">
        <v>84</v>
      </c>
      <c r="C239" s="1"/>
      <c r="D239" s="77">
        <v>32778</v>
      </c>
      <c r="E239" s="77">
        <v>32778</v>
      </c>
      <c r="F239" s="77"/>
      <c r="G239" s="8">
        <v>214.95</v>
      </c>
      <c r="H239" s="1" t="s">
        <v>8</v>
      </c>
      <c r="I239" s="78">
        <v>5</v>
      </c>
      <c r="J239" s="8">
        <v>214.95</v>
      </c>
      <c r="K239" s="8">
        <f t="shared" si="41"/>
        <v>0</v>
      </c>
      <c r="L239" s="8">
        <f t="shared" si="42"/>
        <v>214.95</v>
      </c>
      <c r="M239" s="57">
        <f t="shared" si="43"/>
        <v>0</v>
      </c>
      <c r="N239" s="57">
        <f t="shared" si="39"/>
        <v>0</v>
      </c>
      <c r="O239" s="57">
        <f>ROUND(Dot_ex($D239,$E239,$F239,$G239,$H239,$I239,$L239+SUM($N239:N239),E$115,E$117,E$117),2)</f>
        <v>0</v>
      </c>
      <c r="P239" s="57">
        <f>ROUND(Dot_ex($D239,$E239,$F239,$G239,$H239,$I239,$L239+SUM($N239:O239),F$115,F$117,F$117),2)</f>
        <v>0</v>
      </c>
      <c r="Q239" s="57">
        <f>ROUND(Dot_ex($D239,$E239,$F239,$G239,$H239,$I239,$L239+SUM($N239:P239),G$115,G$117,G$117),2)</f>
        <v>0</v>
      </c>
      <c r="R239" s="57">
        <f>ROUND(Dot_ex($D239,$E239,$F239,$G239,$H239,$I239,$L239+SUM($N239:Q239),H$115,H$117,H$117),2)</f>
        <v>0</v>
      </c>
      <c r="S239" s="57">
        <f>ROUND(Dot_ex($D239,$E239,$F239,$G239,$H239,$I239,$L239+SUM($N239:R239),I$115,I$117,I$117),2)</f>
        <v>0</v>
      </c>
      <c r="T239" s="57">
        <f>ROUND(Dot_ex($D239,$E239,$F239,$G239,$H239,$I239,$L239+SUM($N239:S239),J$115,J$117,J$117),2)</f>
        <v>0</v>
      </c>
      <c r="U239" s="57">
        <f>ROUND(Dot_ex($D239,$E239,$F239,$G239,$H239,$I239,$L239+SUM($N239:T239),K$115,K$117,K$117),2)</f>
        <v>0</v>
      </c>
      <c r="V239" s="57">
        <f>ROUND(Dot_ex($D239,$E239,$F239,$G239,$H239,$I239,$L239+SUM($N239:U239),L$115,L$117,L$117),2)</f>
        <v>0</v>
      </c>
      <c r="W239" s="57">
        <f>ROUND(Dot_ex($D239,$E239,$F239,$G239,$H239,$I239,$L239+SUM($N239:V239),M$115,M$117,M$117),2)</f>
        <v>0</v>
      </c>
    </row>
    <row r="240" spans="1:23" x14ac:dyDescent="0.2">
      <c r="A240" s="107">
        <f t="shared" ca="1" si="40"/>
        <v>34</v>
      </c>
      <c r="B240" s="1" t="s">
        <v>85</v>
      </c>
      <c r="C240" s="1"/>
      <c r="D240" s="77">
        <v>32921</v>
      </c>
      <c r="E240" s="77">
        <v>32921</v>
      </c>
      <c r="F240" s="77"/>
      <c r="G240" s="8">
        <v>301.85000000000002</v>
      </c>
      <c r="H240" s="1" t="s">
        <v>8</v>
      </c>
      <c r="I240" s="78">
        <v>5</v>
      </c>
      <c r="J240" s="8">
        <v>301.85000000000002</v>
      </c>
      <c r="K240" s="8">
        <f t="shared" si="41"/>
        <v>0</v>
      </c>
      <c r="L240" s="8">
        <f t="shared" si="42"/>
        <v>301.85000000000002</v>
      </c>
      <c r="M240" s="57">
        <f t="shared" si="43"/>
        <v>0</v>
      </c>
      <c r="N240" s="57">
        <f t="shared" si="39"/>
        <v>0</v>
      </c>
      <c r="O240" s="57">
        <f>ROUND(Dot_ex($D240,$E240,$F240,$G240,$H240,$I240,$L240+SUM($N240:N240),E$115,E$117,E$117),2)</f>
        <v>0</v>
      </c>
      <c r="P240" s="57">
        <f>ROUND(Dot_ex($D240,$E240,$F240,$G240,$H240,$I240,$L240+SUM($N240:O240),F$115,F$117,F$117),2)</f>
        <v>0</v>
      </c>
      <c r="Q240" s="57">
        <f>ROUND(Dot_ex($D240,$E240,$F240,$G240,$H240,$I240,$L240+SUM($N240:P240),G$115,G$117,G$117),2)</f>
        <v>0</v>
      </c>
      <c r="R240" s="57">
        <f>ROUND(Dot_ex($D240,$E240,$F240,$G240,$H240,$I240,$L240+SUM($N240:Q240),H$115,H$117,H$117),2)</f>
        <v>0</v>
      </c>
      <c r="S240" s="57">
        <f>ROUND(Dot_ex($D240,$E240,$F240,$G240,$H240,$I240,$L240+SUM($N240:R240),I$115,I$117,I$117),2)</f>
        <v>0</v>
      </c>
      <c r="T240" s="57">
        <f>ROUND(Dot_ex($D240,$E240,$F240,$G240,$H240,$I240,$L240+SUM($N240:S240),J$115,J$117,J$117),2)</f>
        <v>0</v>
      </c>
      <c r="U240" s="57">
        <f>ROUND(Dot_ex($D240,$E240,$F240,$G240,$H240,$I240,$L240+SUM($N240:T240),K$115,K$117,K$117),2)</f>
        <v>0</v>
      </c>
      <c r="V240" s="57">
        <f>ROUND(Dot_ex($D240,$E240,$F240,$G240,$H240,$I240,$L240+SUM($N240:U240),L$115,L$117,L$117),2)</f>
        <v>0</v>
      </c>
      <c r="W240" s="57">
        <f>ROUND(Dot_ex($D240,$E240,$F240,$G240,$H240,$I240,$L240+SUM($N240:V240),M$115,M$117,M$117),2)</f>
        <v>0</v>
      </c>
    </row>
    <row r="241" spans="1:23" x14ac:dyDescent="0.2">
      <c r="A241" s="107">
        <f t="shared" ca="1" si="40"/>
        <v>35</v>
      </c>
      <c r="B241" s="1" t="s">
        <v>86</v>
      </c>
      <c r="C241" s="1"/>
      <c r="D241" s="77">
        <v>32947</v>
      </c>
      <c r="E241" s="77">
        <v>32947</v>
      </c>
      <c r="F241" s="77"/>
      <c r="G241" s="8">
        <v>7815.95</v>
      </c>
      <c r="H241" s="1" t="s">
        <v>8</v>
      </c>
      <c r="I241" s="78">
        <v>5</v>
      </c>
      <c r="J241" s="8">
        <v>7815.95</v>
      </c>
      <c r="K241" s="8">
        <f t="shared" si="41"/>
        <v>0</v>
      </c>
      <c r="L241" s="8">
        <f t="shared" si="42"/>
        <v>7815.95</v>
      </c>
      <c r="M241" s="57">
        <f t="shared" si="43"/>
        <v>0</v>
      </c>
      <c r="N241" s="57">
        <f t="shared" si="39"/>
        <v>0</v>
      </c>
      <c r="O241" s="57">
        <f>ROUND(Dot_ex($D241,$E241,$F241,$G241,$H241,$I241,$L241+SUM($N241:N241),E$115,E$117,E$117),2)</f>
        <v>0</v>
      </c>
      <c r="P241" s="57">
        <f>ROUND(Dot_ex($D241,$E241,$F241,$G241,$H241,$I241,$L241+SUM($N241:O241),F$115,F$117,F$117),2)</f>
        <v>0</v>
      </c>
      <c r="Q241" s="57">
        <f>ROUND(Dot_ex($D241,$E241,$F241,$G241,$H241,$I241,$L241+SUM($N241:P241),G$115,G$117,G$117),2)</f>
        <v>0</v>
      </c>
      <c r="R241" s="57">
        <f>ROUND(Dot_ex($D241,$E241,$F241,$G241,$H241,$I241,$L241+SUM($N241:Q241),H$115,H$117,H$117),2)</f>
        <v>0</v>
      </c>
      <c r="S241" s="57">
        <f>ROUND(Dot_ex($D241,$E241,$F241,$G241,$H241,$I241,$L241+SUM($N241:R241),I$115,I$117,I$117),2)</f>
        <v>0</v>
      </c>
      <c r="T241" s="57">
        <f>ROUND(Dot_ex($D241,$E241,$F241,$G241,$H241,$I241,$L241+SUM($N241:S241),J$115,J$117,J$117),2)</f>
        <v>0</v>
      </c>
      <c r="U241" s="57">
        <f>ROUND(Dot_ex($D241,$E241,$F241,$G241,$H241,$I241,$L241+SUM($N241:T241),K$115,K$117,K$117),2)</f>
        <v>0</v>
      </c>
      <c r="V241" s="57">
        <f>ROUND(Dot_ex($D241,$E241,$F241,$G241,$H241,$I241,$L241+SUM($N241:U241),L$115,L$117,L$117),2)</f>
        <v>0</v>
      </c>
      <c r="W241" s="57">
        <f>ROUND(Dot_ex($D241,$E241,$F241,$G241,$H241,$I241,$L241+SUM($N241:V241),M$115,M$117,M$117),2)</f>
        <v>0</v>
      </c>
    </row>
    <row r="242" spans="1:23" x14ac:dyDescent="0.2">
      <c r="A242" s="107">
        <f t="shared" ca="1" si="40"/>
        <v>36</v>
      </c>
      <c r="B242" s="1" t="s">
        <v>87</v>
      </c>
      <c r="C242" s="1"/>
      <c r="D242" s="77">
        <v>33038</v>
      </c>
      <c r="E242" s="77">
        <v>33038</v>
      </c>
      <c r="F242" s="77"/>
      <c r="G242" s="8">
        <v>1858.06</v>
      </c>
      <c r="H242" s="1" t="s">
        <v>8</v>
      </c>
      <c r="I242" s="78">
        <v>5</v>
      </c>
      <c r="J242" s="8">
        <v>1858.06</v>
      </c>
      <c r="K242" s="8">
        <f t="shared" si="41"/>
        <v>0</v>
      </c>
      <c r="L242" s="8">
        <f t="shared" si="42"/>
        <v>1858.06</v>
      </c>
      <c r="M242" s="57">
        <f t="shared" si="43"/>
        <v>0</v>
      </c>
      <c r="N242" s="57">
        <f t="shared" si="39"/>
        <v>0</v>
      </c>
      <c r="O242" s="57">
        <f>ROUND(Dot_ex($D242,$E242,$F242,$G242,$H242,$I242,$L242+SUM($N242:N242),E$115,E$117,E$117),2)</f>
        <v>0</v>
      </c>
      <c r="P242" s="57">
        <f>ROUND(Dot_ex($D242,$E242,$F242,$G242,$H242,$I242,$L242+SUM($N242:O242),F$115,F$117,F$117),2)</f>
        <v>0</v>
      </c>
      <c r="Q242" s="57">
        <f>ROUND(Dot_ex($D242,$E242,$F242,$G242,$H242,$I242,$L242+SUM($N242:P242),G$115,G$117,G$117),2)</f>
        <v>0</v>
      </c>
      <c r="R242" s="57">
        <f>ROUND(Dot_ex($D242,$E242,$F242,$G242,$H242,$I242,$L242+SUM($N242:Q242),H$115,H$117,H$117),2)</f>
        <v>0</v>
      </c>
      <c r="S242" s="57">
        <f>ROUND(Dot_ex($D242,$E242,$F242,$G242,$H242,$I242,$L242+SUM($N242:R242),I$115,I$117,I$117),2)</f>
        <v>0</v>
      </c>
      <c r="T242" s="57">
        <f>ROUND(Dot_ex($D242,$E242,$F242,$G242,$H242,$I242,$L242+SUM($N242:S242),J$115,J$117,J$117),2)</f>
        <v>0</v>
      </c>
      <c r="U242" s="57">
        <f>ROUND(Dot_ex($D242,$E242,$F242,$G242,$H242,$I242,$L242+SUM($N242:T242),K$115,K$117,K$117),2)</f>
        <v>0</v>
      </c>
      <c r="V242" s="57">
        <f>ROUND(Dot_ex($D242,$E242,$F242,$G242,$H242,$I242,$L242+SUM($N242:U242),L$115,L$117,L$117),2)</f>
        <v>0</v>
      </c>
      <c r="W242" s="57">
        <f>ROUND(Dot_ex($D242,$E242,$F242,$G242,$H242,$I242,$L242+SUM($N242:V242),M$115,M$117,M$117),2)</f>
        <v>0</v>
      </c>
    </row>
    <row r="243" spans="1:23" x14ac:dyDescent="0.2">
      <c r="A243" s="107">
        <f t="shared" ca="1" si="40"/>
        <v>37</v>
      </c>
      <c r="B243" s="1" t="s">
        <v>88</v>
      </c>
      <c r="C243" s="1"/>
      <c r="D243" s="77">
        <v>33042</v>
      </c>
      <c r="E243" s="77">
        <v>33042</v>
      </c>
      <c r="F243" s="77"/>
      <c r="G243" s="8">
        <v>527.47</v>
      </c>
      <c r="H243" s="1" t="s">
        <v>8</v>
      </c>
      <c r="I243" s="78">
        <v>5</v>
      </c>
      <c r="J243" s="8">
        <v>527.47</v>
      </c>
      <c r="K243" s="8">
        <f t="shared" si="41"/>
        <v>0</v>
      </c>
      <c r="L243" s="8">
        <f t="shared" si="42"/>
        <v>527.47</v>
      </c>
      <c r="M243" s="57">
        <f t="shared" si="43"/>
        <v>0</v>
      </c>
      <c r="N243" s="57">
        <f t="shared" si="39"/>
        <v>0</v>
      </c>
      <c r="O243" s="57">
        <f>ROUND(Dot_ex($D243,$E243,$F243,$G243,$H243,$I243,$L243+SUM($N243:N243),E$115,E$117,E$117),2)</f>
        <v>0</v>
      </c>
      <c r="P243" s="57">
        <f>ROUND(Dot_ex($D243,$E243,$F243,$G243,$H243,$I243,$L243+SUM($N243:O243),F$115,F$117,F$117),2)</f>
        <v>0</v>
      </c>
      <c r="Q243" s="57">
        <f>ROUND(Dot_ex($D243,$E243,$F243,$G243,$H243,$I243,$L243+SUM($N243:P243),G$115,G$117,G$117),2)</f>
        <v>0</v>
      </c>
      <c r="R243" s="57">
        <f>ROUND(Dot_ex($D243,$E243,$F243,$G243,$H243,$I243,$L243+SUM($N243:Q243),H$115,H$117,H$117),2)</f>
        <v>0</v>
      </c>
      <c r="S243" s="57">
        <f>ROUND(Dot_ex($D243,$E243,$F243,$G243,$H243,$I243,$L243+SUM($N243:R243),I$115,I$117,I$117),2)</f>
        <v>0</v>
      </c>
      <c r="T243" s="57">
        <f>ROUND(Dot_ex($D243,$E243,$F243,$G243,$H243,$I243,$L243+SUM($N243:S243),J$115,J$117,J$117),2)</f>
        <v>0</v>
      </c>
      <c r="U243" s="57">
        <f>ROUND(Dot_ex($D243,$E243,$F243,$G243,$H243,$I243,$L243+SUM($N243:T243),K$115,K$117,K$117),2)</f>
        <v>0</v>
      </c>
      <c r="V243" s="57">
        <f>ROUND(Dot_ex($D243,$E243,$F243,$G243,$H243,$I243,$L243+SUM($N243:U243),L$115,L$117,L$117),2)</f>
        <v>0</v>
      </c>
      <c r="W243" s="57">
        <f>ROUND(Dot_ex($D243,$E243,$F243,$G243,$H243,$I243,$L243+SUM($N243:V243),M$115,M$117,M$117),2)</f>
        <v>0</v>
      </c>
    </row>
    <row r="244" spans="1:23" x14ac:dyDescent="0.2">
      <c r="A244" s="107">
        <f t="shared" ca="1" si="40"/>
        <v>38</v>
      </c>
      <c r="B244" s="1" t="s">
        <v>89</v>
      </c>
      <c r="C244" s="1"/>
      <c r="D244" s="77">
        <v>33135</v>
      </c>
      <c r="E244" s="77">
        <v>33135</v>
      </c>
      <c r="F244" s="77"/>
      <c r="G244" s="8">
        <v>236.14</v>
      </c>
      <c r="H244" s="1" t="s">
        <v>8</v>
      </c>
      <c r="I244" s="78">
        <v>8</v>
      </c>
      <c r="J244" s="8">
        <v>236.14</v>
      </c>
      <c r="K244" s="8">
        <f t="shared" si="41"/>
        <v>0</v>
      </c>
      <c r="L244" s="8">
        <f t="shared" si="42"/>
        <v>236.14</v>
      </c>
      <c r="M244" s="57">
        <f t="shared" si="43"/>
        <v>0</v>
      </c>
      <c r="N244" s="57">
        <f t="shared" si="39"/>
        <v>0</v>
      </c>
      <c r="O244" s="57">
        <f>ROUND(Dot_ex($D244,$E244,$F244,$G244,$H244,$I244,$L244+SUM($N244:N244),E$115,E$117,E$117),2)</f>
        <v>0</v>
      </c>
      <c r="P244" s="57">
        <f>ROUND(Dot_ex($D244,$E244,$F244,$G244,$H244,$I244,$L244+SUM($N244:O244),F$115,F$117,F$117),2)</f>
        <v>0</v>
      </c>
      <c r="Q244" s="57">
        <f>ROUND(Dot_ex($D244,$E244,$F244,$G244,$H244,$I244,$L244+SUM($N244:P244),G$115,G$117,G$117),2)</f>
        <v>0</v>
      </c>
      <c r="R244" s="57">
        <f>ROUND(Dot_ex($D244,$E244,$F244,$G244,$H244,$I244,$L244+SUM($N244:Q244),H$115,H$117,H$117),2)</f>
        <v>0</v>
      </c>
      <c r="S244" s="57">
        <f>ROUND(Dot_ex($D244,$E244,$F244,$G244,$H244,$I244,$L244+SUM($N244:R244),I$115,I$117,I$117),2)</f>
        <v>0</v>
      </c>
      <c r="T244" s="57">
        <f>ROUND(Dot_ex($D244,$E244,$F244,$G244,$H244,$I244,$L244+SUM($N244:S244),J$115,J$117,J$117),2)</f>
        <v>0</v>
      </c>
      <c r="U244" s="57">
        <f>ROUND(Dot_ex($D244,$E244,$F244,$G244,$H244,$I244,$L244+SUM($N244:T244),K$115,K$117,K$117),2)</f>
        <v>0</v>
      </c>
      <c r="V244" s="57">
        <f>ROUND(Dot_ex($D244,$E244,$F244,$G244,$H244,$I244,$L244+SUM($N244:U244),L$115,L$117,L$117),2)</f>
        <v>0</v>
      </c>
      <c r="W244" s="57">
        <f>ROUND(Dot_ex($D244,$E244,$F244,$G244,$H244,$I244,$L244+SUM($N244:V244),M$115,M$117,M$117),2)</f>
        <v>0</v>
      </c>
    </row>
    <row r="245" spans="1:23" x14ac:dyDescent="0.2">
      <c r="A245" s="107">
        <f t="shared" ca="1" si="40"/>
        <v>39</v>
      </c>
      <c r="B245" s="1" t="s">
        <v>90</v>
      </c>
      <c r="C245" s="1"/>
      <c r="D245" s="77">
        <v>33158</v>
      </c>
      <c r="E245" s="77">
        <v>33158</v>
      </c>
      <c r="F245" s="77"/>
      <c r="G245" s="8">
        <v>352.31</v>
      </c>
      <c r="H245" s="1" t="s">
        <v>8</v>
      </c>
      <c r="I245" s="78">
        <v>5</v>
      </c>
      <c r="J245" s="8">
        <v>352.31</v>
      </c>
      <c r="K245" s="8">
        <f t="shared" si="41"/>
        <v>0</v>
      </c>
      <c r="L245" s="8">
        <f t="shared" si="42"/>
        <v>352.31</v>
      </c>
      <c r="M245" s="57">
        <f t="shared" si="43"/>
        <v>0</v>
      </c>
      <c r="N245" s="57">
        <f t="shared" si="39"/>
        <v>0</v>
      </c>
      <c r="O245" s="57">
        <f>ROUND(Dot_ex($D245,$E245,$F245,$G245,$H245,$I245,$L245+SUM($N245:N245),E$115,E$117,E$117),2)</f>
        <v>0</v>
      </c>
      <c r="P245" s="57">
        <f>ROUND(Dot_ex($D245,$E245,$F245,$G245,$H245,$I245,$L245+SUM($N245:O245),F$115,F$117,F$117),2)</f>
        <v>0</v>
      </c>
      <c r="Q245" s="57">
        <f>ROUND(Dot_ex($D245,$E245,$F245,$G245,$H245,$I245,$L245+SUM($N245:P245),G$115,G$117,G$117),2)</f>
        <v>0</v>
      </c>
      <c r="R245" s="57">
        <f>ROUND(Dot_ex($D245,$E245,$F245,$G245,$H245,$I245,$L245+SUM($N245:Q245),H$115,H$117,H$117),2)</f>
        <v>0</v>
      </c>
      <c r="S245" s="57">
        <f>ROUND(Dot_ex($D245,$E245,$F245,$G245,$H245,$I245,$L245+SUM($N245:R245),I$115,I$117,I$117),2)</f>
        <v>0</v>
      </c>
      <c r="T245" s="57">
        <f>ROUND(Dot_ex($D245,$E245,$F245,$G245,$H245,$I245,$L245+SUM($N245:S245),J$115,J$117,J$117),2)</f>
        <v>0</v>
      </c>
      <c r="U245" s="57">
        <f>ROUND(Dot_ex($D245,$E245,$F245,$G245,$H245,$I245,$L245+SUM($N245:T245),K$115,K$117,K$117),2)</f>
        <v>0</v>
      </c>
      <c r="V245" s="57">
        <f>ROUND(Dot_ex($D245,$E245,$F245,$G245,$H245,$I245,$L245+SUM($N245:U245),L$115,L$117,L$117),2)</f>
        <v>0</v>
      </c>
      <c r="W245" s="57">
        <f>ROUND(Dot_ex($D245,$E245,$F245,$G245,$H245,$I245,$L245+SUM($N245:V245),M$115,M$117,M$117),2)</f>
        <v>0</v>
      </c>
    </row>
    <row r="246" spans="1:23" x14ac:dyDescent="0.2">
      <c r="A246" s="107">
        <f t="shared" ca="1" si="40"/>
        <v>40</v>
      </c>
      <c r="B246" s="1" t="s">
        <v>91</v>
      </c>
      <c r="C246" s="1"/>
      <c r="D246" s="77">
        <v>33169</v>
      </c>
      <c r="E246" s="77">
        <v>33169</v>
      </c>
      <c r="F246" s="77"/>
      <c r="G246" s="8">
        <v>5259.49</v>
      </c>
      <c r="H246" s="1" t="s">
        <v>8</v>
      </c>
      <c r="I246" s="78">
        <v>5</v>
      </c>
      <c r="J246" s="8">
        <v>5259.49</v>
      </c>
      <c r="K246" s="8">
        <f t="shared" si="41"/>
        <v>0</v>
      </c>
      <c r="L246" s="8">
        <f t="shared" si="42"/>
        <v>5259.49</v>
      </c>
      <c r="M246" s="57">
        <f t="shared" si="43"/>
        <v>0</v>
      </c>
      <c r="N246" s="57">
        <f t="shared" si="39"/>
        <v>0</v>
      </c>
      <c r="O246" s="57">
        <f>ROUND(Dot_ex($D246,$E246,$F246,$G246,$H246,$I246,$L246+SUM($N246:N246),E$115,E$117,E$117),2)</f>
        <v>0</v>
      </c>
      <c r="P246" s="57">
        <f>ROUND(Dot_ex($D246,$E246,$F246,$G246,$H246,$I246,$L246+SUM($N246:O246),F$115,F$117,F$117),2)</f>
        <v>0</v>
      </c>
      <c r="Q246" s="57">
        <f>ROUND(Dot_ex($D246,$E246,$F246,$G246,$H246,$I246,$L246+SUM($N246:P246),G$115,G$117,G$117),2)</f>
        <v>0</v>
      </c>
      <c r="R246" s="57">
        <f>ROUND(Dot_ex($D246,$E246,$F246,$G246,$H246,$I246,$L246+SUM($N246:Q246),H$115,H$117,H$117),2)</f>
        <v>0</v>
      </c>
      <c r="S246" s="57">
        <f>ROUND(Dot_ex($D246,$E246,$F246,$G246,$H246,$I246,$L246+SUM($N246:R246),I$115,I$117,I$117),2)</f>
        <v>0</v>
      </c>
      <c r="T246" s="57">
        <f>ROUND(Dot_ex($D246,$E246,$F246,$G246,$H246,$I246,$L246+SUM($N246:S246),J$115,J$117,J$117),2)</f>
        <v>0</v>
      </c>
      <c r="U246" s="57">
        <f>ROUND(Dot_ex($D246,$E246,$F246,$G246,$H246,$I246,$L246+SUM($N246:T246),K$115,K$117,K$117),2)</f>
        <v>0</v>
      </c>
      <c r="V246" s="57">
        <f>ROUND(Dot_ex($D246,$E246,$F246,$G246,$H246,$I246,$L246+SUM($N246:U246),L$115,L$117,L$117),2)</f>
        <v>0</v>
      </c>
      <c r="W246" s="57">
        <f>ROUND(Dot_ex($D246,$E246,$F246,$G246,$H246,$I246,$L246+SUM($N246:V246),M$115,M$117,M$117),2)</f>
        <v>0</v>
      </c>
    </row>
    <row r="247" spans="1:23" x14ac:dyDescent="0.2">
      <c r="A247" s="107">
        <f t="shared" ca="1" si="40"/>
        <v>41</v>
      </c>
      <c r="B247" s="1" t="s">
        <v>92</v>
      </c>
      <c r="C247" s="1"/>
      <c r="D247" s="77">
        <v>33169</v>
      </c>
      <c r="E247" s="77">
        <v>33169</v>
      </c>
      <c r="F247" s="77"/>
      <c r="G247" s="8">
        <v>2576.39</v>
      </c>
      <c r="H247" s="1" t="s">
        <v>8</v>
      </c>
      <c r="I247" s="78">
        <v>5</v>
      </c>
      <c r="J247" s="8">
        <v>2576.39</v>
      </c>
      <c r="K247" s="8">
        <f t="shared" si="41"/>
        <v>0</v>
      </c>
      <c r="L247" s="8">
        <f t="shared" si="42"/>
        <v>2576.39</v>
      </c>
      <c r="M247" s="57">
        <f t="shared" si="43"/>
        <v>0</v>
      </c>
      <c r="N247" s="57">
        <f t="shared" si="39"/>
        <v>0</v>
      </c>
      <c r="O247" s="57">
        <f>ROUND(Dot_ex($D247,$E247,$F247,$G247,$H247,$I247,$L247+SUM($N247:N247),E$115,E$117,E$117),2)</f>
        <v>0</v>
      </c>
      <c r="P247" s="57">
        <f>ROUND(Dot_ex($D247,$E247,$F247,$G247,$H247,$I247,$L247+SUM($N247:O247),F$115,F$117,F$117),2)</f>
        <v>0</v>
      </c>
      <c r="Q247" s="57">
        <f>ROUND(Dot_ex($D247,$E247,$F247,$G247,$H247,$I247,$L247+SUM($N247:P247),G$115,G$117,G$117),2)</f>
        <v>0</v>
      </c>
      <c r="R247" s="57">
        <f>ROUND(Dot_ex($D247,$E247,$F247,$G247,$H247,$I247,$L247+SUM($N247:Q247),H$115,H$117,H$117),2)</f>
        <v>0</v>
      </c>
      <c r="S247" s="57">
        <f>ROUND(Dot_ex($D247,$E247,$F247,$G247,$H247,$I247,$L247+SUM($N247:R247),I$115,I$117,I$117),2)</f>
        <v>0</v>
      </c>
      <c r="T247" s="57">
        <f>ROUND(Dot_ex($D247,$E247,$F247,$G247,$H247,$I247,$L247+SUM($N247:S247),J$115,J$117,J$117),2)</f>
        <v>0</v>
      </c>
      <c r="U247" s="57">
        <f>ROUND(Dot_ex($D247,$E247,$F247,$G247,$H247,$I247,$L247+SUM($N247:T247),K$115,K$117,K$117),2)</f>
        <v>0</v>
      </c>
      <c r="V247" s="57">
        <f>ROUND(Dot_ex($D247,$E247,$F247,$G247,$H247,$I247,$L247+SUM($N247:U247),L$115,L$117,L$117),2)</f>
        <v>0</v>
      </c>
      <c r="W247" s="57">
        <f>ROUND(Dot_ex($D247,$E247,$F247,$G247,$H247,$I247,$L247+SUM($N247:V247),M$115,M$117,M$117),2)</f>
        <v>0</v>
      </c>
    </row>
    <row r="248" spans="1:23" x14ac:dyDescent="0.2">
      <c r="A248" s="107">
        <f t="shared" ca="1" si="40"/>
        <v>42</v>
      </c>
      <c r="B248" s="1" t="s">
        <v>93</v>
      </c>
      <c r="C248" s="1"/>
      <c r="D248" s="77">
        <v>33252</v>
      </c>
      <c r="E248" s="77">
        <v>33252</v>
      </c>
      <c r="F248" s="77"/>
      <c r="G248" s="8">
        <v>2526.23</v>
      </c>
      <c r="H248" s="1" t="s">
        <v>8</v>
      </c>
      <c r="I248" s="78">
        <v>5</v>
      </c>
      <c r="J248" s="8">
        <v>2526.23</v>
      </c>
      <c r="K248" s="8">
        <f t="shared" si="41"/>
        <v>0</v>
      </c>
      <c r="L248" s="8">
        <f t="shared" si="42"/>
        <v>2526.23</v>
      </c>
      <c r="M248" s="57">
        <f t="shared" si="43"/>
        <v>0</v>
      </c>
      <c r="N248" s="57">
        <f t="shared" si="39"/>
        <v>0</v>
      </c>
      <c r="O248" s="57">
        <f>ROUND(Dot_ex($D248,$E248,$F248,$G248,$H248,$I248,$L248+SUM($N248:N248),E$115,E$117,E$117),2)</f>
        <v>0</v>
      </c>
      <c r="P248" s="57">
        <f>ROUND(Dot_ex($D248,$E248,$F248,$G248,$H248,$I248,$L248+SUM($N248:O248),F$115,F$117,F$117),2)</f>
        <v>0</v>
      </c>
      <c r="Q248" s="57">
        <f>ROUND(Dot_ex($D248,$E248,$F248,$G248,$H248,$I248,$L248+SUM($N248:P248),G$115,G$117,G$117),2)</f>
        <v>0</v>
      </c>
      <c r="R248" s="57">
        <f>ROUND(Dot_ex($D248,$E248,$F248,$G248,$H248,$I248,$L248+SUM($N248:Q248),H$115,H$117,H$117),2)</f>
        <v>0</v>
      </c>
      <c r="S248" s="57">
        <f>ROUND(Dot_ex($D248,$E248,$F248,$G248,$H248,$I248,$L248+SUM($N248:R248),I$115,I$117,I$117),2)</f>
        <v>0</v>
      </c>
      <c r="T248" s="57">
        <f>ROUND(Dot_ex($D248,$E248,$F248,$G248,$H248,$I248,$L248+SUM($N248:S248),J$115,J$117,J$117),2)</f>
        <v>0</v>
      </c>
      <c r="U248" s="57">
        <f>ROUND(Dot_ex($D248,$E248,$F248,$G248,$H248,$I248,$L248+SUM($N248:T248),K$115,K$117,K$117),2)</f>
        <v>0</v>
      </c>
      <c r="V248" s="57">
        <f>ROUND(Dot_ex($D248,$E248,$F248,$G248,$H248,$I248,$L248+SUM($N248:U248),L$115,L$117,L$117),2)</f>
        <v>0</v>
      </c>
      <c r="W248" s="57">
        <f>ROUND(Dot_ex($D248,$E248,$F248,$G248,$H248,$I248,$L248+SUM($N248:V248),M$115,M$117,M$117),2)</f>
        <v>0</v>
      </c>
    </row>
    <row r="249" spans="1:23" x14ac:dyDescent="0.2">
      <c r="A249" s="107">
        <f t="shared" ca="1" si="40"/>
        <v>43</v>
      </c>
      <c r="B249" s="1" t="s">
        <v>94</v>
      </c>
      <c r="C249" s="1"/>
      <c r="D249" s="77">
        <v>33372</v>
      </c>
      <c r="E249" s="77">
        <v>33372</v>
      </c>
      <c r="F249" s="77"/>
      <c r="G249" s="8">
        <v>3475.84</v>
      </c>
      <c r="H249" s="1" t="s">
        <v>8</v>
      </c>
      <c r="I249" s="78">
        <v>5</v>
      </c>
      <c r="J249" s="8">
        <v>3475.84</v>
      </c>
      <c r="K249" s="8">
        <f t="shared" si="41"/>
        <v>0</v>
      </c>
      <c r="L249" s="8">
        <f t="shared" si="42"/>
        <v>3475.84</v>
      </c>
      <c r="M249" s="57">
        <f t="shared" si="43"/>
        <v>0</v>
      </c>
      <c r="N249" s="57">
        <f t="shared" si="39"/>
        <v>0</v>
      </c>
      <c r="O249" s="57">
        <f>ROUND(Dot_ex($D249,$E249,$F249,$G249,$H249,$I249,$L249+SUM($N249:N249),E$115,E$117,E$117),2)</f>
        <v>0</v>
      </c>
      <c r="P249" s="57">
        <f>ROUND(Dot_ex($D249,$E249,$F249,$G249,$H249,$I249,$L249+SUM($N249:O249),F$115,F$117,F$117),2)</f>
        <v>0</v>
      </c>
      <c r="Q249" s="57">
        <f>ROUND(Dot_ex($D249,$E249,$F249,$G249,$H249,$I249,$L249+SUM($N249:P249),G$115,G$117,G$117),2)</f>
        <v>0</v>
      </c>
      <c r="R249" s="57">
        <f>ROUND(Dot_ex($D249,$E249,$F249,$G249,$H249,$I249,$L249+SUM($N249:Q249),H$115,H$117,H$117),2)</f>
        <v>0</v>
      </c>
      <c r="S249" s="57">
        <f>ROUND(Dot_ex($D249,$E249,$F249,$G249,$H249,$I249,$L249+SUM($N249:R249),I$115,I$117,I$117),2)</f>
        <v>0</v>
      </c>
      <c r="T249" s="57">
        <f>ROUND(Dot_ex($D249,$E249,$F249,$G249,$H249,$I249,$L249+SUM($N249:S249),J$115,J$117,J$117),2)</f>
        <v>0</v>
      </c>
      <c r="U249" s="57">
        <f>ROUND(Dot_ex($D249,$E249,$F249,$G249,$H249,$I249,$L249+SUM($N249:T249),K$115,K$117,K$117),2)</f>
        <v>0</v>
      </c>
      <c r="V249" s="57">
        <f>ROUND(Dot_ex($D249,$E249,$F249,$G249,$H249,$I249,$L249+SUM($N249:U249),L$115,L$117,L$117),2)</f>
        <v>0</v>
      </c>
      <c r="W249" s="57">
        <f>ROUND(Dot_ex($D249,$E249,$F249,$G249,$H249,$I249,$L249+SUM($N249:V249),M$115,M$117,M$117),2)</f>
        <v>0</v>
      </c>
    </row>
    <row r="250" spans="1:23" x14ac:dyDescent="0.2">
      <c r="A250" s="107">
        <f t="shared" ca="1" si="40"/>
        <v>44</v>
      </c>
      <c r="B250" s="1" t="s">
        <v>95</v>
      </c>
      <c r="C250" s="1"/>
      <c r="D250" s="77">
        <v>33417</v>
      </c>
      <c r="E250" s="77">
        <v>33417</v>
      </c>
      <c r="F250" s="77"/>
      <c r="G250" s="8">
        <v>2256.25</v>
      </c>
      <c r="H250" s="1" t="s">
        <v>8</v>
      </c>
      <c r="I250" s="78">
        <v>5</v>
      </c>
      <c r="J250" s="8">
        <v>2256.25</v>
      </c>
      <c r="K250" s="8">
        <f t="shared" si="41"/>
        <v>0</v>
      </c>
      <c r="L250" s="8">
        <f t="shared" si="42"/>
        <v>2256.25</v>
      </c>
      <c r="M250" s="57">
        <f t="shared" si="43"/>
        <v>0</v>
      </c>
      <c r="N250" s="57">
        <f t="shared" si="39"/>
        <v>0</v>
      </c>
      <c r="O250" s="57">
        <f>ROUND(Dot_ex($D250,$E250,$F250,$G250,$H250,$I250,$L250+SUM($N250:N250),E$115,E$117,E$117),2)</f>
        <v>0</v>
      </c>
      <c r="P250" s="57">
        <f>ROUND(Dot_ex($D250,$E250,$F250,$G250,$H250,$I250,$L250+SUM($N250:O250),F$115,F$117,F$117),2)</f>
        <v>0</v>
      </c>
      <c r="Q250" s="57">
        <f>ROUND(Dot_ex($D250,$E250,$F250,$G250,$H250,$I250,$L250+SUM($N250:P250),G$115,G$117,G$117),2)</f>
        <v>0</v>
      </c>
      <c r="R250" s="57">
        <f>ROUND(Dot_ex($D250,$E250,$F250,$G250,$H250,$I250,$L250+SUM($N250:Q250),H$115,H$117,H$117),2)</f>
        <v>0</v>
      </c>
      <c r="S250" s="57">
        <f>ROUND(Dot_ex($D250,$E250,$F250,$G250,$H250,$I250,$L250+SUM($N250:R250),I$115,I$117,I$117),2)</f>
        <v>0</v>
      </c>
      <c r="T250" s="57">
        <f>ROUND(Dot_ex($D250,$E250,$F250,$G250,$H250,$I250,$L250+SUM($N250:S250),J$115,J$117,J$117),2)</f>
        <v>0</v>
      </c>
      <c r="U250" s="57">
        <f>ROUND(Dot_ex($D250,$E250,$F250,$G250,$H250,$I250,$L250+SUM($N250:T250),K$115,K$117,K$117),2)</f>
        <v>0</v>
      </c>
      <c r="V250" s="57">
        <f>ROUND(Dot_ex($D250,$E250,$F250,$G250,$H250,$I250,$L250+SUM($N250:U250),L$115,L$117,L$117),2)</f>
        <v>0</v>
      </c>
      <c r="W250" s="57">
        <f>ROUND(Dot_ex($D250,$E250,$F250,$G250,$H250,$I250,$L250+SUM($N250:V250),M$115,M$117,M$117),2)</f>
        <v>0</v>
      </c>
    </row>
    <row r="251" spans="1:23" x14ac:dyDescent="0.2">
      <c r="A251" s="107">
        <f t="shared" ca="1" si="40"/>
        <v>45</v>
      </c>
      <c r="B251" s="1" t="s">
        <v>96</v>
      </c>
      <c r="C251" s="1"/>
      <c r="D251" s="77">
        <v>33427</v>
      </c>
      <c r="E251" s="77">
        <v>33427</v>
      </c>
      <c r="F251" s="77"/>
      <c r="G251" s="8">
        <v>328.99</v>
      </c>
      <c r="H251" s="1" t="s">
        <v>8</v>
      </c>
      <c r="I251" s="78">
        <v>5</v>
      </c>
      <c r="J251" s="8">
        <v>328.99</v>
      </c>
      <c r="K251" s="8">
        <f t="shared" si="41"/>
        <v>0</v>
      </c>
      <c r="L251" s="8">
        <f t="shared" si="42"/>
        <v>328.99</v>
      </c>
      <c r="M251" s="57">
        <f t="shared" si="43"/>
        <v>0</v>
      </c>
      <c r="N251" s="57">
        <f t="shared" si="39"/>
        <v>0</v>
      </c>
      <c r="O251" s="57">
        <f>ROUND(Dot_ex($D251,$E251,$F251,$G251,$H251,$I251,$L251+SUM($N251:N251),E$115,E$117,E$117),2)</f>
        <v>0</v>
      </c>
      <c r="P251" s="57">
        <f>ROUND(Dot_ex($D251,$E251,$F251,$G251,$H251,$I251,$L251+SUM($N251:O251),F$115,F$117,F$117),2)</f>
        <v>0</v>
      </c>
      <c r="Q251" s="57">
        <f>ROUND(Dot_ex($D251,$E251,$F251,$G251,$H251,$I251,$L251+SUM($N251:P251),G$115,G$117,G$117),2)</f>
        <v>0</v>
      </c>
      <c r="R251" s="57">
        <f>ROUND(Dot_ex($D251,$E251,$F251,$G251,$H251,$I251,$L251+SUM($N251:Q251),H$115,H$117,H$117),2)</f>
        <v>0</v>
      </c>
      <c r="S251" s="57">
        <f>ROUND(Dot_ex($D251,$E251,$F251,$G251,$H251,$I251,$L251+SUM($N251:R251),I$115,I$117,I$117),2)</f>
        <v>0</v>
      </c>
      <c r="T251" s="57">
        <f>ROUND(Dot_ex($D251,$E251,$F251,$G251,$H251,$I251,$L251+SUM($N251:S251),J$115,J$117,J$117),2)</f>
        <v>0</v>
      </c>
      <c r="U251" s="57">
        <f>ROUND(Dot_ex($D251,$E251,$F251,$G251,$H251,$I251,$L251+SUM($N251:T251),K$115,K$117,K$117),2)</f>
        <v>0</v>
      </c>
      <c r="V251" s="57">
        <f>ROUND(Dot_ex($D251,$E251,$F251,$G251,$H251,$I251,$L251+SUM($N251:U251),L$115,L$117,L$117),2)</f>
        <v>0</v>
      </c>
      <c r="W251" s="57">
        <f>ROUND(Dot_ex($D251,$E251,$F251,$G251,$H251,$I251,$L251+SUM($N251:V251),M$115,M$117,M$117),2)</f>
        <v>0</v>
      </c>
    </row>
    <row r="252" spans="1:23" x14ac:dyDescent="0.2">
      <c r="A252" s="107">
        <f t="shared" ca="1" si="40"/>
        <v>46</v>
      </c>
      <c r="B252" s="1" t="s">
        <v>97</v>
      </c>
      <c r="C252" s="1"/>
      <c r="D252" s="77">
        <v>34087</v>
      </c>
      <c r="E252" s="77">
        <v>34087</v>
      </c>
      <c r="F252" s="77"/>
      <c r="G252" s="8">
        <v>9636.01</v>
      </c>
      <c r="H252" s="1" t="s">
        <v>8</v>
      </c>
      <c r="I252" s="78">
        <v>5</v>
      </c>
      <c r="J252" s="8">
        <v>9636.01</v>
      </c>
      <c r="K252" s="8">
        <f t="shared" si="41"/>
        <v>0</v>
      </c>
      <c r="L252" s="8">
        <f t="shared" si="42"/>
        <v>9636.01</v>
      </c>
      <c r="M252" s="57">
        <f t="shared" si="43"/>
        <v>0</v>
      </c>
      <c r="N252" s="57">
        <f t="shared" si="39"/>
        <v>0</v>
      </c>
      <c r="O252" s="57">
        <f>ROUND(Dot_ex($D252,$E252,$F252,$G252,$H252,$I252,$L252+SUM($N252:N252),E$115,E$117,E$117),2)</f>
        <v>0</v>
      </c>
      <c r="P252" s="57">
        <f>ROUND(Dot_ex($D252,$E252,$F252,$G252,$H252,$I252,$L252+SUM($N252:O252),F$115,F$117,F$117),2)</f>
        <v>0</v>
      </c>
      <c r="Q252" s="57">
        <f>ROUND(Dot_ex($D252,$E252,$F252,$G252,$H252,$I252,$L252+SUM($N252:P252),G$115,G$117,G$117),2)</f>
        <v>0</v>
      </c>
      <c r="R252" s="57">
        <f>ROUND(Dot_ex($D252,$E252,$F252,$G252,$H252,$I252,$L252+SUM($N252:Q252),H$115,H$117,H$117),2)</f>
        <v>0</v>
      </c>
      <c r="S252" s="57">
        <f>ROUND(Dot_ex($D252,$E252,$F252,$G252,$H252,$I252,$L252+SUM($N252:R252),I$115,I$117,I$117),2)</f>
        <v>0</v>
      </c>
      <c r="T252" s="57">
        <f>ROUND(Dot_ex($D252,$E252,$F252,$G252,$H252,$I252,$L252+SUM($N252:S252),J$115,J$117,J$117),2)</f>
        <v>0</v>
      </c>
      <c r="U252" s="57">
        <f>ROUND(Dot_ex($D252,$E252,$F252,$G252,$H252,$I252,$L252+SUM($N252:T252),K$115,K$117,K$117),2)</f>
        <v>0</v>
      </c>
      <c r="V252" s="57">
        <f>ROUND(Dot_ex($D252,$E252,$F252,$G252,$H252,$I252,$L252+SUM($N252:U252),L$115,L$117,L$117),2)</f>
        <v>0</v>
      </c>
      <c r="W252" s="57">
        <f>ROUND(Dot_ex($D252,$E252,$F252,$G252,$H252,$I252,$L252+SUM($N252:V252),M$115,M$117,M$117),2)</f>
        <v>0</v>
      </c>
    </row>
    <row r="253" spans="1:23" x14ac:dyDescent="0.2">
      <c r="A253" s="107">
        <f t="shared" ca="1" si="40"/>
        <v>47</v>
      </c>
      <c r="B253" s="1" t="s">
        <v>98</v>
      </c>
      <c r="C253" s="1"/>
      <c r="D253" s="77">
        <v>34382</v>
      </c>
      <c r="E253" s="77">
        <v>34382</v>
      </c>
      <c r="F253" s="77"/>
      <c r="G253" s="8">
        <v>3414.86</v>
      </c>
      <c r="H253" s="1" t="s">
        <v>8</v>
      </c>
      <c r="I253" s="78">
        <v>5</v>
      </c>
      <c r="J253" s="8">
        <v>3414.86</v>
      </c>
      <c r="K253" s="8">
        <f t="shared" si="41"/>
        <v>0</v>
      </c>
      <c r="L253" s="8">
        <f t="shared" si="42"/>
        <v>3414.86</v>
      </c>
      <c r="M253" s="57">
        <f t="shared" si="43"/>
        <v>0</v>
      </c>
      <c r="N253" s="57">
        <f t="shared" si="39"/>
        <v>0</v>
      </c>
      <c r="O253" s="57">
        <f>ROUND(Dot_ex($D253,$E253,$F253,$G253,$H253,$I253,$L253+SUM($N253:N253),E$115,E$117,E$117),2)</f>
        <v>0</v>
      </c>
      <c r="P253" s="57">
        <f>ROUND(Dot_ex($D253,$E253,$F253,$G253,$H253,$I253,$L253+SUM($N253:O253),F$115,F$117,F$117),2)</f>
        <v>0</v>
      </c>
      <c r="Q253" s="57">
        <f>ROUND(Dot_ex($D253,$E253,$F253,$G253,$H253,$I253,$L253+SUM($N253:P253),G$115,G$117,G$117),2)</f>
        <v>0</v>
      </c>
      <c r="R253" s="57">
        <f>ROUND(Dot_ex($D253,$E253,$F253,$G253,$H253,$I253,$L253+SUM($N253:Q253),H$115,H$117,H$117),2)</f>
        <v>0</v>
      </c>
      <c r="S253" s="57">
        <f>ROUND(Dot_ex($D253,$E253,$F253,$G253,$H253,$I253,$L253+SUM($N253:R253),I$115,I$117,I$117),2)</f>
        <v>0</v>
      </c>
      <c r="T253" s="57">
        <f>ROUND(Dot_ex($D253,$E253,$F253,$G253,$H253,$I253,$L253+SUM($N253:S253),J$115,J$117,J$117),2)</f>
        <v>0</v>
      </c>
      <c r="U253" s="57">
        <f>ROUND(Dot_ex($D253,$E253,$F253,$G253,$H253,$I253,$L253+SUM($N253:T253),K$115,K$117,K$117),2)</f>
        <v>0</v>
      </c>
      <c r="V253" s="57">
        <f>ROUND(Dot_ex($D253,$E253,$F253,$G253,$H253,$I253,$L253+SUM($N253:U253),L$115,L$117,L$117),2)</f>
        <v>0</v>
      </c>
      <c r="W253" s="57">
        <f>ROUND(Dot_ex($D253,$E253,$F253,$G253,$H253,$I253,$L253+SUM($N253:V253),M$115,M$117,M$117),2)</f>
        <v>0</v>
      </c>
    </row>
    <row r="254" spans="1:23" x14ac:dyDescent="0.2">
      <c r="A254" s="107">
        <f t="shared" ca="1" si="40"/>
        <v>48</v>
      </c>
      <c r="B254" s="1" t="s">
        <v>99</v>
      </c>
      <c r="C254" s="1"/>
      <c r="D254" s="77">
        <v>34890</v>
      </c>
      <c r="E254" s="77">
        <v>34890</v>
      </c>
      <c r="F254" s="77"/>
      <c r="G254" s="8">
        <v>2439.1799999999998</v>
      </c>
      <c r="H254" s="1" t="s">
        <v>8</v>
      </c>
      <c r="I254" s="78">
        <v>5</v>
      </c>
      <c r="J254" s="8">
        <v>2439.1799999999998</v>
      </c>
      <c r="K254" s="8">
        <f t="shared" si="41"/>
        <v>0</v>
      </c>
      <c r="L254" s="8">
        <f t="shared" si="42"/>
        <v>2439.1799999999998</v>
      </c>
      <c r="M254" s="57">
        <f t="shared" si="43"/>
        <v>0</v>
      </c>
      <c r="N254" s="57">
        <f t="shared" si="39"/>
        <v>0</v>
      </c>
      <c r="O254" s="57">
        <f>ROUND(Dot_ex($D254,$E254,$F254,$G254,$H254,$I254,$L254+SUM($N254:N254),E$115,E$117,E$117),2)</f>
        <v>0</v>
      </c>
      <c r="P254" s="57">
        <f>ROUND(Dot_ex($D254,$E254,$F254,$G254,$H254,$I254,$L254+SUM($N254:O254),F$115,F$117,F$117),2)</f>
        <v>0</v>
      </c>
      <c r="Q254" s="57">
        <f>ROUND(Dot_ex($D254,$E254,$F254,$G254,$H254,$I254,$L254+SUM($N254:P254),G$115,G$117,G$117),2)</f>
        <v>0</v>
      </c>
      <c r="R254" s="57">
        <f>ROUND(Dot_ex($D254,$E254,$F254,$G254,$H254,$I254,$L254+SUM($N254:Q254),H$115,H$117,H$117),2)</f>
        <v>0</v>
      </c>
      <c r="S254" s="57">
        <f>ROUND(Dot_ex($D254,$E254,$F254,$G254,$H254,$I254,$L254+SUM($N254:R254),I$115,I$117,I$117),2)</f>
        <v>0</v>
      </c>
      <c r="T254" s="57">
        <f>ROUND(Dot_ex($D254,$E254,$F254,$G254,$H254,$I254,$L254+SUM($N254:S254),J$115,J$117,J$117),2)</f>
        <v>0</v>
      </c>
      <c r="U254" s="57">
        <f>ROUND(Dot_ex($D254,$E254,$F254,$G254,$H254,$I254,$L254+SUM($N254:T254),K$115,K$117,K$117),2)</f>
        <v>0</v>
      </c>
      <c r="V254" s="57">
        <f>ROUND(Dot_ex($D254,$E254,$F254,$G254,$H254,$I254,$L254+SUM($N254:U254),L$115,L$117,L$117),2)</f>
        <v>0</v>
      </c>
      <c r="W254" s="57">
        <f>ROUND(Dot_ex($D254,$E254,$F254,$G254,$H254,$I254,$L254+SUM($N254:V254),M$115,M$117,M$117),2)</f>
        <v>0</v>
      </c>
    </row>
    <row r="255" spans="1:23" x14ac:dyDescent="0.2">
      <c r="A255" s="107">
        <f t="shared" ca="1" si="40"/>
        <v>49</v>
      </c>
      <c r="B255" s="1" t="s">
        <v>100</v>
      </c>
      <c r="C255" s="1"/>
      <c r="D255" s="77">
        <v>35313</v>
      </c>
      <c r="E255" s="77">
        <v>35313</v>
      </c>
      <c r="F255" s="77"/>
      <c r="G255" s="8">
        <v>2683.1</v>
      </c>
      <c r="H255" s="1" t="s">
        <v>8</v>
      </c>
      <c r="I255" s="78">
        <v>5</v>
      </c>
      <c r="J255" s="8">
        <v>2683.1</v>
      </c>
      <c r="K255" s="8">
        <f t="shared" si="41"/>
        <v>0</v>
      </c>
      <c r="L255" s="8">
        <f t="shared" si="42"/>
        <v>2683.1</v>
      </c>
      <c r="M255" s="57">
        <f t="shared" si="43"/>
        <v>0</v>
      </c>
      <c r="N255" s="57">
        <f t="shared" si="39"/>
        <v>0</v>
      </c>
      <c r="O255" s="57">
        <f>ROUND(Dot_ex($D255,$E255,$F255,$G255,$H255,$I255,$L255+SUM($N255:N255),E$115,E$117,E$117),2)</f>
        <v>0</v>
      </c>
      <c r="P255" s="57">
        <f>ROUND(Dot_ex($D255,$E255,$F255,$G255,$H255,$I255,$L255+SUM($N255:O255),F$115,F$117,F$117),2)</f>
        <v>0</v>
      </c>
      <c r="Q255" s="57">
        <f>ROUND(Dot_ex($D255,$E255,$F255,$G255,$H255,$I255,$L255+SUM($N255:P255),G$115,G$117,G$117),2)</f>
        <v>0</v>
      </c>
      <c r="R255" s="57">
        <f>ROUND(Dot_ex($D255,$E255,$F255,$G255,$H255,$I255,$L255+SUM($N255:Q255),H$115,H$117,H$117),2)</f>
        <v>0</v>
      </c>
      <c r="S255" s="57">
        <f>ROUND(Dot_ex($D255,$E255,$F255,$G255,$H255,$I255,$L255+SUM($N255:R255),I$115,I$117,I$117),2)</f>
        <v>0</v>
      </c>
      <c r="T255" s="57">
        <f>ROUND(Dot_ex($D255,$E255,$F255,$G255,$H255,$I255,$L255+SUM($N255:S255),J$115,J$117,J$117),2)</f>
        <v>0</v>
      </c>
      <c r="U255" s="57">
        <f>ROUND(Dot_ex($D255,$E255,$F255,$G255,$H255,$I255,$L255+SUM($N255:T255),K$115,K$117,K$117),2)</f>
        <v>0</v>
      </c>
      <c r="V255" s="57">
        <f>ROUND(Dot_ex($D255,$E255,$F255,$G255,$H255,$I255,$L255+SUM($N255:U255),L$115,L$117,L$117),2)</f>
        <v>0</v>
      </c>
      <c r="W255" s="57">
        <f>ROUND(Dot_ex($D255,$E255,$F255,$G255,$H255,$I255,$L255+SUM($N255:V255),M$115,M$117,M$117),2)</f>
        <v>0</v>
      </c>
    </row>
    <row r="256" spans="1:23" x14ac:dyDescent="0.2">
      <c r="A256" s="107">
        <f t="shared" ca="1" si="40"/>
        <v>50</v>
      </c>
      <c r="B256" s="1" t="s">
        <v>101</v>
      </c>
      <c r="C256" s="1"/>
      <c r="D256" s="77">
        <v>35643</v>
      </c>
      <c r="E256" s="77">
        <v>35643</v>
      </c>
      <c r="F256" s="77"/>
      <c r="G256" s="8">
        <v>7403.11</v>
      </c>
      <c r="H256" s="1" t="s">
        <v>8</v>
      </c>
      <c r="I256" s="78">
        <v>5</v>
      </c>
      <c r="J256" s="8">
        <v>7403.11</v>
      </c>
      <c r="K256" s="8">
        <f t="shared" si="41"/>
        <v>0</v>
      </c>
      <c r="L256" s="8">
        <f t="shared" si="42"/>
        <v>7403.11</v>
      </c>
      <c r="M256" s="57">
        <f t="shared" si="43"/>
        <v>0</v>
      </c>
      <c r="N256" s="57">
        <f t="shared" si="39"/>
        <v>0</v>
      </c>
      <c r="O256" s="57">
        <f>ROUND(Dot_ex($D256,$E256,$F256,$G256,$H256,$I256,$L256+SUM($N256:N256),E$115,E$117,E$117),2)</f>
        <v>0</v>
      </c>
      <c r="P256" s="57">
        <f>ROUND(Dot_ex($D256,$E256,$F256,$G256,$H256,$I256,$L256+SUM($N256:O256),F$115,F$117,F$117),2)</f>
        <v>0</v>
      </c>
      <c r="Q256" s="57">
        <f>ROUND(Dot_ex($D256,$E256,$F256,$G256,$H256,$I256,$L256+SUM($N256:P256),G$115,G$117,G$117),2)</f>
        <v>0</v>
      </c>
      <c r="R256" s="57">
        <f>ROUND(Dot_ex($D256,$E256,$F256,$G256,$H256,$I256,$L256+SUM($N256:Q256),H$115,H$117,H$117),2)</f>
        <v>0</v>
      </c>
      <c r="S256" s="57">
        <f>ROUND(Dot_ex($D256,$E256,$F256,$G256,$H256,$I256,$L256+SUM($N256:R256),I$115,I$117,I$117),2)</f>
        <v>0</v>
      </c>
      <c r="T256" s="57">
        <f>ROUND(Dot_ex($D256,$E256,$F256,$G256,$H256,$I256,$L256+SUM($N256:S256),J$115,J$117,J$117),2)</f>
        <v>0</v>
      </c>
      <c r="U256" s="57">
        <f>ROUND(Dot_ex($D256,$E256,$F256,$G256,$H256,$I256,$L256+SUM($N256:T256),K$115,K$117,K$117),2)</f>
        <v>0</v>
      </c>
      <c r="V256" s="57">
        <f>ROUND(Dot_ex($D256,$E256,$F256,$G256,$H256,$I256,$L256+SUM($N256:U256),L$115,L$117,L$117),2)</f>
        <v>0</v>
      </c>
      <c r="W256" s="57">
        <f>ROUND(Dot_ex($D256,$E256,$F256,$G256,$H256,$I256,$L256+SUM($N256:V256),M$115,M$117,M$117),2)</f>
        <v>0</v>
      </c>
    </row>
    <row r="257" spans="1:23" x14ac:dyDescent="0.2">
      <c r="A257" s="107">
        <f t="shared" ca="1" si="40"/>
        <v>51</v>
      </c>
      <c r="B257" s="1" t="s">
        <v>102</v>
      </c>
      <c r="C257" s="1"/>
      <c r="D257" s="77">
        <v>35643</v>
      </c>
      <c r="E257" s="77">
        <v>35643</v>
      </c>
      <c r="F257" s="77"/>
      <c r="G257" s="8">
        <v>12849.88</v>
      </c>
      <c r="H257" s="1" t="s">
        <v>8</v>
      </c>
      <c r="I257" s="78">
        <v>5</v>
      </c>
      <c r="J257" s="8">
        <v>12849.88</v>
      </c>
      <c r="K257" s="8">
        <f t="shared" si="41"/>
        <v>0</v>
      </c>
      <c r="L257" s="8">
        <f t="shared" si="42"/>
        <v>12849.88</v>
      </c>
      <c r="M257" s="57">
        <f t="shared" si="43"/>
        <v>0</v>
      </c>
      <c r="N257" s="57">
        <f t="shared" si="39"/>
        <v>0</v>
      </c>
      <c r="O257" s="57">
        <f>ROUND(Dot_ex($D257,$E257,$F257,$G257,$H257,$I257,$L257+SUM($N257:N257),E$115,E$117,E$117),2)</f>
        <v>0</v>
      </c>
      <c r="P257" s="57">
        <f>ROUND(Dot_ex($D257,$E257,$F257,$G257,$H257,$I257,$L257+SUM($N257:O257),F$115,F$117,F$117),2)</f>
        <v>0</v>
      </c>
      <c r="Q257" s="57">
        <f>ROUND(Dot_ex($D257,$E257,$F257,$G257,$H257,$I257,$L257+SUM($N257:P257),G$115,G$117,G$117),2)</f>
        <v>0</v>
      </c>
      <c r="R257" s="57">
        <f>ROUND(Dot_ex($D257,$E257,$F257,$G257,$H257,$I257,$L257+SUM($N257:Q257),H$115,H$117,H$117),2)</f>
        <v>0</v>
      </c>
      <c r="S257" s="57">
        <f>ROUND(Dot_ex($D257,$E257,$F257,$G257,$H257,$I257,$L257+SUM($N257:R257),I$115,I$117,I$117),2)</f>
        <v>0</v>
      </c>
      <c r="T257" s="57">
        <f>ROUND(Dot_ex($D257,$E257,$F257,$G257,$H257,$I257,$L257+SUM($N257:S257),J$115,J$117,J$117),2)</f>
        <v>0</v>
      </c>
      <c r="U257" s="57">
        <f>ROUND(Dot_ex($D257,$E257,$F257,$G257,$H257,$I257,$L257+SUM($N257:T257),K$115,K$117,K$117),2)</f>
        <v>0</v>
      </c>
      <c r="V257" s="57">
        <f>ROUND(Dot_ex($D257,$E257,$F257,$G257,$H257,$I257,$L257+SUM($N257:U257),L$115,L$117,L$117),2)</f>
        <v>0</v>
      </c>
      <c r="W257" s="57">
        <f>ROUND(Dot_ex($D257,$E257,$F257,$G257,$H257,$I257,$L257+SUM($N257:V257),M$115,M$117,M$117),2)</f>
        <v>0</v>
      </c>
    </row>
    <row r="258" spans="1:23" x14ac:dyDescent="0.2">
      <c r="A258" s="107">
        <f t="shared" ca="1" si="40"/>
        <v>52</v>
      </c>
      <c r="B258" s="1" t="s">
        <v>103</v>
      </c>
      <c r="C258" s="1"/>
      <c r="D258" s="77">
        <v>35643</v>
      </c>
      <c r="E258" s="77">
        <v>35643</v>
      </c>
      <c r="F258" s="77"/>
      <c r="G258" s="8">
        <v>1202.31</v>
      </c>
      <c r="H258" s="1" t="s">
        <v>8</v>
      </c>
      <c r="I258" s="78">
        <v>5</v>
      </c>
      <c r="J258" s="8">
        <v>1202.31</v>
      </c>
      <c r="K258" s="8">
        <f t="shared" si="41"/>
        <v>0</v>
      </c>
      <c r="L258" s="8">
        <f t="shared" si="42"/>
        <v>1202.31</v>
      </c>
      <c r="M258" s="57">
        <f t="shared" si="43"/>
        <v>0</v>
      </c>
      <c r="N258" s="57">
        <f t="shared" si="39"/>
        <v>0</v>
      </c>
      <c r="O258" s="57">
        <f>ROUND(Dot_ex($D258,$E258,$F258,$G258,$H258,$I258,$L258+SUM($N258:N258),E$115,E$117,E$117),2)</f>
        <v>0</v>
      </c>
      <c r="P258" s="57">
        <f>ROUND(Dot_ex($D258,$E258,$F258,$G258,$H258,$I258,$L258+SUM($N258:O258),F$115,F$117,F$117),2)</f>
        <v>0</v>
      </c>
      <c r="Q258" s="57">
        <f>ROUND(Dot_ex($D258,$E258,$F258,$G258,$H258,$I258,$L258+SUM($N258:P258),G$115,G$117,G$117),2)</f>
        <v>0</v>
      </c>
      <c r="R258" s="57">
        <f>ROUND(Dot_ex($D258,$E258,$F258,$G258,$H258,$I258,$L258+SUM($N258:Q258),H$115,H$117,H$117),2)</f>
        <v>0</v>
      </c>
      <c r="S258" s="57">
        <f>ROUND(Dot_ex($D258,$E258,$F258,$G258,$H258,$I258,$L258+SUM($N258:R258),I$115,I$117,I$117),2)</f>
        <v>0</v>
      </c>
      <c r="T258" s="57">
        <f>ROUND(Dot_ex($D258,$E258,$F258,$G258,$H258,$I258,$L258+SUM($N258:S258),J$115,J$117,J$117),2)</f>
        <v>0</v>
      </c>
      <c r="U258" s="57">
        <f>ROUND(Dot_ex($D258,$E258,$F258,$G258,$H258,$I258,$L258+SUM($N258:T258),K$115,K$117,K$117),2)</f>
        <v>0</v>
      </c>
      <c r="V258" s="57">
        <f>ROUND(Dot_ex($D258,$E258,$F258,$G258,$H258,$I258,$L258+SUM($N258:U258),L$115,L$117,L$117),2)</f>
        <v>0</v>
      </c>
      <c r="W258" s="57">
        <f>ROUND(Dot_ex($D258,$E258,$F258,$G258,$H258,$I258,$L258+SUM($N258:V258),M$115,M$117,M$117),2)</f>
        <v>0</v>
      </c>
    </row>
    <row r="259" spans="1:23" x14ac:dyDescent="0.2">
      <c r="A259" s="107">
        <f t="shared" ca="1" si="40"/>
        <v>53</v>
      </c>
      <c r="B259" s="1" t="s">
        <v>104</v>
      </c>
      <c r="C259" s="1"/>
      <c r="D259" s="77">
        <v>35688</v>
      </c>
      <c r="E259" s="77">
        <v>35688</v>
      </c>
      <c r="F259" s="77"/>
      <c r="G259" s="8">
        <v>609.79999999999995</v>
      </c>
      <c r="H259" s="1" t="s">
        <v>8</v>
      </c>
      <c r="I259" s="78">
        <v>5</v>
      </c>
      <c r="J259" s="8">
        <v>609.79999999999995</v>
      </c>
      <c r="K259" s="8">
        <f t="shared" si="41"/>
        <v>0</v>
      </c>
      <c r="L259" s="8">
        <f t="shared" si="42"/>
        <v>609.79999999999995</v>
      </c>
      <c r="M259" s="57">
        <f t="shared" si="43"/>
        <v>0</v>
      </c>
      <c r="N259" s="57">
        <f t="shared" si="39"/>
        <v>0</v>
      </c>
      <c r="O259" s="57">
        <f>ROUND(Dot_ex($D259,$E259,$F259,$G259,$H259,$I259,$L259+SUM($N259:N259),E$115,E$117,E$117),2)</f>
        <v>0</v>
      </c>
      <c r="P259" s="57">
        <f>ROUND(Dot_ex($D259,$E259,$F259,$G259,$H259,$I259,$L259+SUM($N259:O259),F$115,F$117,F$117),2)</f>
        <v>0</v>
      </c>
      <c r="Q259" s="57">
        <f>ROUND(Dot_ex($D259,$E259,$F259,$G259,$H259,$I259,$L259+SUM($N259:P259),G$115,G$117,G$117),2)</f>
        <v>0</v>
      </c>
      <c r="R259" s="57">
        <f>ROUND(Dot_ex($D259,$E259,$F259,$G259,$H259,$I259,$L259+SUM($N259:Q259),H$115,H$117,H$117),2)</f>
        <v>0</v>
      </c>
      <c r="S259" s="57">
        <f>ROUND(Dot_ex($D259,$E259,$F259,$G259,$H259,$I259,$L259+SUM($N259:R259),I$115,I$117,I$117),2)</f>
        <v>0</v>
      </c>
      <c r="T259" s="57">
        <f>ROUND(Dot_ex($D259,$E259,$F259,$G259,$H259,$I259,$L259+SUM($N259:S259),J$115,J$117,J$117),2)</f>
        <v>0</v>
      </c>
      <c r="U259" s="57">
        <f>ROUND(Dot_ex($D259,$E259,$F259,$G259,$H259,$I259,$L259+SUM($N259:T259),K$115,K$117,K$117),2)</f>
        <v>0</v>
      </c>
      <c r="V259" s="57">
        <f>ROUND(Dot_ex($D259,$E259,$F259,$G259,$H259,$I259,$L259+SUM($N259:U259),L$115,L$117,L$117),2)</f>
        <v>0</v>
      </c>
      <c r="W259" s="57">
        <f>ROUND(Dot_ex($D259,$E259,$F259,$G259,$H259,$I259,$L259+SUM($N259:V259),M$115,M$117,M$117),2)</f>
        <v>0</v>
      </c>
    </row>
    <row r="260" spans="1:23" x14ac:dyDescent="0.2">
      <c r="A260" s="107">
        <f t="shared" ca="1" si="40"/>
        <v>54</v>
      </c>
      <c r="B260" s="1" t="s">
        <v>119</v>
      </c>
      <c r="C260" s="1"/>
      <c r="D260" s="77">
        <v>36004</v>
      </c>
      <c r="E260" s="77">
        <v>36004</v>
      </c>
      <c r="F260" s="77"/>
      <c r="G260" s="8">
        <v>5556.46</v>
      </c>
      <c r="H260" s="1" t="s">
        <v>8</v>
      </c>
      <c r="I260" s="78">
        <v>5</v>
      </c>
      <c r="J260" s="8">
        <v>5556.46</v>
      </c>
      <c r="K260" s="8">
        <f t="shared" si="41"/>
        <v>0</v>
      </c>
      <c r="L260" s="8">
        <f t="shared" si="42"/>
        <v>5556.46</v>
      </c>
      <c r="M260" s="57">
        <f t="shared" si="43"/>
        <v>0</v>
      </c>
      <c r="N260" s="57">
        <f t="shared" si="39"/>
        <v>0</v>
      </c>
      <c r="O260" s="57">
        <f>ROUND(Dot_ex($D260,$E260,$F260,$G260,$H260,$I260,$L260+SUM($N260:N260),E$115,E$117,E$117),2)</f>
        <v>0</v>
      </c>
      <c r="P260" s="57">
        <f>ROUND(Dot_ex($D260,$E260,$F260,$G260,$H260,$I260,$L260+SUM($N260:O260),F$115,F$117,F$117),2)</f>
        <v>0</v>
      </c>
      <c r="Q260" s="57">
        <f>ROUND(Dot_ex($D260,$E260,$F260,$G260,$H260,$I260,$L260+SUM($N260:P260),G$115,G$117,G$117),2)</f>
        <v>0</v>
      </c>
      <c r="R260" s="57">
        <f>ROUND(Dot_ex($D260,$E260,$F260,$G260,$H260,$I260,$L260+SUM($N260:Q260),H$115,H$117,H$117),2)</f>
        <v>0</v>
      </c>
      <c r="S260" s="57">
        <f>ROUND(Dot_ex($D260,$E260,$F260,$G260,$H260,$I260,$L260+SUM($N260:R260),I$115,I$117,I$117),2)</f>
        <v>0</v>
      </c>
      <c r="T260" s="57">
        <f>ROUND(Dot_ex($D260,$E260,$F260,$G260,$H260,$I260,$L260+SUM($N260:S260),J$115,J$117,J$117),2)</f>
        <v>0</v>
      </c>
      <c r="U260" s="57">
        <f>ROUND(Dot_ex($D260,$E260,$F260,$G260,$H260,$I260,$L260+SUM($N260:T260),K$115,K$117,K$117),2)</f>
        <v>0</v>
      </c>
      <c r="V260" s="57">
        <f>ROUND(Dot_ex($D260,$E260,$F260,$G260,$H260,$I260,$L260+SUM($N260:U260),L$115,L$117,L$117),2)</f>
        <v>0</v>
      </c>
      <c r="W260" s="57">
        <f>ROUND(Dot_ex($D260,$E260,$F260,$G260,$H260,$I260,$L260+SUM($N260:V260),M$115,M$117,M$117),2)</f>
        <v>0</v>
      </c>
    </row>
    <row r="261" spans="1:23" x14ac:dyDescent="0.2">
      <c r="A261" s="107">
        <f t="shared" ca="1" si="40"/>
        <v>55</v>
      </c>
      <c r="B261" s="1" t="s">
        <v>145</v>
      </c>
      <c r="C261" s="1"/>
      <c r="D261" s="77">
        <v>36347</v>
      </c>
      <c r="E261" s="77">
        <v>36347</v>
      </c>
      <c r="F261" s="77"/>
      <c r="G261" s="8">
        <v>1498.42</v>
      </c>
      <c r="H261" s="1" t="s">
        <v>8</v>
      </c>
      <c r="I261" s="78">
        <v>5</v>
      </c>
      <c r="J261" s="8">
        <v>1498.42</v>
      </c>
      <c r="K261" s="8">
        <f t="shared" si="41"/>
        <v>0</v>
      </c>
      <c r="L261" s="8">
        <f t="shared" si="42"/>
        <v>1498.42</v>
      </c>
      <c r="M261" s="57">
        <f t="shared" si="43"/>
        <v>0</v>
      </c>
      <c r="N261" s="57">
        <f t="shared" si="39"/>
        <v>0</v>
      </c>
      <c r="O261" s="57">
        <f>ROUND(Dot_ex($D261,$E261,$F261,$G261,$H261,$I261,$L261+SUM($N261:N261),E$115,E$117,E$117),2)</f>
        <v>0</v>
      </c>
      <c r="P261" s="57">
        <f>ROUND(Dot_ex($D261,$E261,$F261,$G261,$H261,$I261,$L261+SUM($N261:O261),F$115,F$117,F$117),2)</f>
        <v>0</v>
      </c>
      <c r="Q261" s="57">
        <f>ROUND(Dot_ex($D261,$E261,$F261,$G261,$H261,$I261,$L261+SUM($N261:P261),G$115,G$117,G$117),2)</f>
        <v>0</v>
      </c>
      <c r="R261" s="57">
        <f>ROUND(Dot_ex($D261,$E261,$F261,$G261,$H261,$I261,$L261+SUM($N261:Q261),H$115,H$117,H$117),2)</f>
        <v>0</v>
      </c>
      <c r="S261" s="57">
        <f>ROUND(Dot_ex($D261,$E261,$F261,$G261,$H261,$I261,$L261+SUM($N261:R261),I$115,I$117,I$117),2)</f>
        <v>0</v>
      </c>
      <c r="T261" s="57">
        <f>ROUND(Dot_ex($D261,$E261,$F261,$G261,$H261,$I261,$L261+SUM($N261:S261),J$115,J$117,J$117),2)</f>
        <v>0</v>
      </c>
      <c r="U261" s="57">
        <f>ROUND(Dot_ex($D261,$E261,$F261,$G261,$H261,$I261,$L261+SUM($N261:T261),K$115,K$117,K$117),2)</f>
        <v>0</v>
      </c>
      <c r="V261" s="57">
        <f>ROUND(Dot_ex($D261,$E261,$F261,$G261,$H261,$I261,$L261+SUM($N261:U261),L$115,L$117,L$117),2)</f>
        <v>0</v>
      </c>
      <c r="W261" s="57">
        <f>ROUND(Dot_ex($D261,$E261,$F261,$G261,$H261,$I261,$L261+SUM($N261:V261),M$115,M$117,M$117),2)</f>
        <v>0</v>
      </c>
    </row>
    <row r="262" spans="1:23" x14ac:dyDescent="0.2">
      <c r="A262" s="107">
        <f t="shared" ca="1" si="40"/>
        <v>56</v>
      </c>
      <c r="B262" s="1" t="s">
        <v>146</v>
      </c>
      <c r="C262" s="1"/>
      <c r="D262" s="77">
        <v>36396</v>
      </c>
      <c r="E262" s="77">
        <v>36396</v>
      </c>
      <c r="F262" s="77"/>
      <c r="G262" s="8">
        <v>1365.46</v>
      </c>
      <c r="H262" s="1" t="s">
        <v>8</v>
      </c>
      <c r="I262" s="78">
        <v>5</v>
      </c>
      <c r="J262" s="8">
        <v>1365.46</v>
      </c>
      <c r="K262" s="8">
        <f t="shared" ref="K262:K292" si="44">ROUND(Dot_ex(D262,E262,F262,G262,H262,I262,J262,$G$6,$I$6,$I$8),2)</f>
        <v>0</v>
      </c>
      <c r="L262" s="8">
        <f t="shared" ref="L262:L292" si="45">J262+K262</f>
        <v>1365.46</v>
      </c>
      <c r="M262" s="57">
        <f t="shared" ref="M262:M292" si="46">G262-L262</f>
        <v>0</v>
      </c>
      <c r="N262" s="57">
        <f t="shared" si="39"/>
        <v>0</v>
      </c>
      <c r="O262" s="57">
        <f>ROUND(Dot_ex($D262,$E262,$F262,$G262,$H262,$I262,$L262+SUM($N262:N262),E$115,E$117,E$117),2)</f>
        <v>0</v>
      </c>
      <c r="P262" s="57">
        <f>ROUND(Dot_ex($D262,$E262,$F262,$G262,$H262,$I262,$L262+SUM($N262:O262),F$115,F$117,F$117),2)</f>
        <v>0</v>
      </c>
      <c r="Q262" s="57">
        <f>ROUND(Dot_ex($D262,$E262,$F262,$G262,$H262,$I262,$L262+SUM($N262:P262),G$115,G$117,G$117),2)</f>
        <v>0</v>
      </c>
      <c r="R262" s="57">
        <f>ROUND(Dot_ex($D262,$E262,$F262,$G262,$H262,$I262,$L262+SUM($N262:Q262),H$115,H$117,H$117),2)</f>
        <v>0</v>
      </c>
      <c r="S262" s="57">
        <f>ROUND(Dot_ex($D262,$E262,$F262,$G262,$H262,$I262,$L262+SUM($N262:R262),I$115,I$117,I$117),2)</f>
        <v>0</v>
      </c>
      <c r="T262" s="57">
        <f>ROUND(Dot_ex($D262,$E262,$F262,$G262,$H262,$I262,$L262+SUM($N262:S262),J$115,J$117,J$117),2)</f>
        <v>0</v>
      </c>
      <c r="U262" s="57">
        <f>ROUND(Dot_ex($D262,$E262,$F262,$G262,$H262,$I262,$L262+SUM($N262:T262),K$115,K$117,K$117),2)</f>
        <v>0</v>
      </c>
      <c r="V262" s="57">
        <f>ROUND(Dot_ex($D262,$E262,$F262,$G262,$H262,$I262,$L262+SUM($N262:U262),L$115,L$117,L$117),2)</f>
        <v>0</v>
      </c>
      <c r="W262" s="57">
        <f>ROUND(Dot_ex($D262,$E262,$F262,$G262,$H262,$I262,$L262+SUM($N262:V262),M$115,M$117,M$117),2)</f>
        <v>0</v>
      </c>
    </row>
    <row r="263" spans="1:23" x14ac:dyDescent="0.2">
      <c r="A263" s="107">
        <f t="shared" ca="1" si="40"/>
        <v>57</v>
      </c>
      <c r="B263" s="1" t="s">
        <v>147</v>
      </c>
      <c r="C263" s="1"/>
      <c r="D263" s="77">
        <v>36397</v>
      </c>
      <c r="E263" s="77">
        <v>36397</v>
      </c>
      <c r="F263" s="77"/>
      <c r="G263" s="8">
        <v>14177.76</v>
      </c>
      <c r="H263" s="1" t="s">
        <v>8</v>
      </c>
      <c r="I263" s="78">
        <v>5</v>
      </c>
      <c r="J263" s="8">
        <v>14177.76</v>
      </c>
      <c r="K263" s="8">
        <f t="shared" si="44"/>
        <v>0</v>
      </c>
      <c r="L263" s="8">
        <f t="shared" si="45"/>
        <v>14177.76</v>
      </c>
      <c r="M263" s="57">
        <f t="shared" si="46"/>
        <v>0</v>
      </c>
      <c r="N263" s="57">
        <f t="shared" si="39"/>
        <v>0</v>
      </c>
      <c r="O263" s="57">
        <f>ROUND(Dot_ex($D263,$E263,$F263,$G263,$H263,$I263,$L263+SUM($N263:N263),E$115,E$117,E$117),2)</f>
        <v>0</v>
      </c>
      <c r="P263" s="57">
        <f>ROUND(Dot_ex($D263,$E263,$F263,$G263,$H263,$I263,$L263+SUM($N263:O263),F$115,F$117,F$117),2)</f>
        <v>0</v>
      </c>
      <c r="Q263" s="57">
        <f>ROUND(Dot_ex($D263,$E263,$F263,$G263,$H263,$I263,$L263+SUM($N263:P263),G$115,G$117,G$117),2)</f>
        <v>0</v>
      </c>
      <c r="R263" s="57">
        <f>ROUND(Dot_ex($D263,$E263,$F263,$G263,$H263,$I263,$L263+SUM($N263:Q263),H$115,H$117,H$117),2)</f>
        <v>0</v>
      </c>
      <c r="S263" s="57">
        <f>ROUND(Dot_ex($D263,$E263,$F263,$G263,$H263,$I263,$L263+SUM($N263:R263),I$115,I$117,I$117),2)</f>
        <v>0</v>
      </c>
      <c r="T263" s="57">
        <f>ROUND(Dot_ex($D263,$E263,$F263,$G263,$H263,$I263,$L263+SUM($N263:S263),J$115,J$117,J$117),2)</f>
        <v>0</v>
      </c>
      <c r="U263" s="57">
        <f>ROUND(Dot_ex($D263,$E263,$F263,$G263,$H263,$I263,$L263+SUM($N263:T263),K$115,K$117,K$117),2)</f>
        <v>0</v>
      </c>
      <c r="V263" s="57">
        <f>ROUND(Dot_ex($D263,$E263,$F263,$G263,$H263,$I263,$L263+SUM($N263:U263),L$115,L$117,L$117),2)</f>
        <v>0</v>
      </c>
      <c r="W263" s="57">
        <f>ROUND(Dot_ex($D263,$E263,$F263,$G263,$H263,$I263,$L263+SUM($N263:V263),M$115,M$117,M$117),2)</f>
        <v>0</v>
      </c>
    </row>
    <row r="264" spans="1:23" x14ac:dyDescent="0.2">
      <c r="A264" s="107">
        <f t="shared" ca="1" si="40"/>
        <v>58</v>
      </c>
      <c r="B264" s="1" t="s">
        <v>148</v>
      </c>
      <c r="C264" s="1"/>
      <c r="D264" s="77">
        <v>36490</v>
      </c>
      <c r="E264" s="77">
        <v>36490</v>
      </c>
      <c r="F264" s="77"/>
      <c r="G264" s="8">
        <v>5082.6499999999996</v>
      </c>
      <c r="H264" s="1" t="s">
        <v>8</v>
      </c>
      <c r="I264" s="78">
        <v>5</v>
      </c>
      <c r="J264" s="8">
        <v>5082.6499999999996</v>
      </c>
      <c r="K264" s="8">
        <f t="shared" si="44"/>
        <v>0</v>
      </c>
      <c r="L264" s="8">
        <f t="shared" si="45"/>
        <v>5082.6499999999996</v>
      </c>
      <c r="M264" s="57">
        <f t="shared" si="46"/>
        <v>0</v>
      </c>
      <c r="N264" s="57">
        <f t="shared" si="39"/>
        <v>0</v>
      </c>
      <c r="O264" s="57">
        <f>ROUND(Dot_ex($D264,$E264,$F264,$G264,$H264,$I264,$L264+SUM($N264:N264),E$115,E$117,E$117),2)</f>
        <v>0</v>
      </c>
      <c r="P264" s="57">
        <f>ROUND(Dot_ex($D264,$E264,$F264,$G264,$H264,$I264,$L264+SUM($N264:O264),F$115,F$117,F$117),2)</f>
        <v>0</v>
      </c>
      <c r="Q264" s="57">
        <f>ROUND(Dot_ex($D264,$E264,$F264,$G264,$H264,$I264,$L264+SUM($N264:P264),G$115,G$117,G$117),2)</f>
        <v>0</v>
      </c>
      <c r="R264" s="57">
        <f>ROUND(Dot_ex($D264,$E264,$F264,$G264,$H264,$I264,$L264+SUM($N264:Q264),H$115,H$117,H$117),2)</f>
        <v>0</v>
      </c>
      <c r="S264" s="57">
        <f>ROUND(Dot_ex($D264,$E264,$F264,$G264,$H264,$I264,$L264+SUM($N264:R264),I$115,I$117,I$117),2)</f>
        <v>0</v>
      </c>
      <c r="T264" s="57">
        <f>ROUND(Dot_ex($D264,$E264,$F264,$G264,$H264,$I264,$L264+SUM($N264:S264),J$115,J$117,J$117),2)</f>
        <v>0</v>
      </c>
      <c r="U264" s="57">
        <f>ROUND(Dot_ex($D264,$E264,$F264,$G264,$H264,$I264,$L264+SUM($N264:T264),K$115,K$117,K$117),2)</f>
        <v>0</v>
      </c>
      <c r="V264" s="57">
        <f>ROUND(Dot_ex($D264,$E264,$F264,$G264,$H264,$I264,$L264+SUM($N264:U264),L$115,L$117,L$117),2)</f>
        <v>0</v>
      </c>
      <c r="W264" s="57">
        <f>ROUND(Dot_ex($D264,$E264,$F264,$G264,$H264,$I264,$L264+SUM($N264:V264),M$115,M$117,M$117),2)</f>
        <v>0</v>
      </c>
    </row>
    <row r="265" spans="1:23" x14ac:dyDescent="0.2">
      <c r="A265" s="107">
        <f t="shared" ca="1" si="40"/>
        <v>59</v>
      </c>
      <c r="B265" s="1" t="s">
        <v>149</v>
      </c>
      <c r="C265" s="1"/>
      <c r="D265" s="77">
        <v>36683</v>
      </c>
      <c r="E265" s="77">
        <v>36683</v>
      </c>
      <c r="F265" s="77"/>
      <c r="G265" s="8">
        <v>22882.6</v>
      </c>
      <c r="H265" s="1" t="s">
        <v>8</v>
      </c>
      <c r="I265" s="78">
        <v>5</v>
      </c>
      <c r="J265" s="8">
        <v>22882.6</v>
      </c>
      <c r="K265" s="8">
        <f t="shared" si="44"/>
        <v>0</v>
      </c>
      <c r="L265" s="8">
        <f t="shared" si="45"/>
        <v>22882.6</v>
      </c>
      <c r="M265" s="57">
        <f t="shared" si="46"/>
        <v>0</v>
      </c>
      <c r="N265" s="57">
        <f t="shared" si="39"/>
        <v>0</v>
      </c>
      <c r="O265" s="57">
        <f>ROUND(Dot_ex($D265,$E265,$F265,$G265,$H265,$I265,$L265+SUM($N265:N265),E$115,E$117,E$117),2)</f>
        <v>0</v>
      </c>
      <c r="P265" s="57">
        <f>ROUND(Dot_ex($D265,$E265,$F265,$G265,$H265,$I265,$L265+SUM($N265:O265),F$115,F$117,F$117),2)</f>
        <v>0</v>
      </c>
      <c r="Q265" s="57">
        <f>ROUND(Dot_ex($D265,$E265,$F265,$G265,$H265,$I265,$L265+SUM($N265:P265),G$115,G$117,G$117),2)</f>
        <v>0</v>
      </c>
      <c r="R265" s="57">
        <f>ROUND(Dot_ex($D265,$E265,$F265,$G265,$H265,$I265,$L265+SUM($N265:Q265),H$115,H$117,H$117),2)</f>
        <v>0</v>
      </c>
      <c r="S265" s="57">
        <f>ROUND(Dot_ex($D265,$E265,$F265,$G265,$H265,$I265,$L265+SUM($N265:R265),I$115,I$117,I$117),2)</f>
        <v>0</v>
      </c>
      <c r="T265" s="57">
        <f>ROUND(Dot_ex($D265,$E265,$F265,$G265,$H265,$I265,$L265+SUM($N265:S265),J$115,J$117,J$117),2)</f>
        <v>0</v>
      </c>
      <c r="U265" s="57">
        <f>ROUND(Dot_ex($D265,$E265,$F265,$G265,$H265,$I265,$L265+SUM($N265:T265),K$115,K$117,K$117),2)</f>
        <v>0</v>
      </c>
      <c r="V265" s="57">
        <f>ROUND(Dot_ex($D265,$E265,$F265,$G265,$H265,$I265,$L265+SUM($N265:U265),L$115,L$117,L$117),2)</f>
        <v>0</v>
      </c>
      <c r="W265" s="57">
        <f>ROUND(Dot_ex($D265,$E265,$F265,$G265,$H265,$I265,$L265+SUM($N265:V265),M$115,M$117,M$117),2)</f>
        <v>0</v>
      </c>
    </row>
    <row r="266" spans="1:23" x14ac:dyDescent="0.2">
      <c r="A266" s="107">
        <f t="shared" ca="1" si="40"/>
        <v>60</v>
      </c>
      <c r="B266" s="1" t="s">
        <v>150</v>
      </c>
      <c r="C266" s="1"/>
      <c r="D266" s="77">
        <v>36683</v>
      </c>
      <c r="E266" s="77">
        <v>36683</v>
      </c>
      <c r="F266" s="77"/>
      <c r="G266" s="8">
        <v>11587.65</v>
      </c>
      <c r="H266" s="1" t="s">
        <v>8</v>
      </c>
      <c r="I266" s="78">
        <v>5</v>
      </c>
      <c r="J266" s="8">
        <v>11587.65</v>
      </c>
      <c r="K266" s="8">
        <f t="shared" si="44"/>
        <v>0</v>
      </c>
      <c r="L266" s="8">
        <f t="shared" si="45"/>
        <v>11587.65</v>
      </c>
      <c r="M266" s="57">
        <f t="shared" si="46"/>
        <v>0</v>
      </c>
      <c r="N266" s="57">
        <f t="shared" ref="N266:N297" si="47">ROUND(Dot_ex($D266,$E266,$F266,$G266,$H266,$I266,$L266,D$115,D$117,D$117),2)</f>
        <v>0</v>
      </c>
      <c r="O266" s="57">
        <f>ROUND(Dot_ex($D266,$E266,$F266,$G266,$H266,$I266,$L266+SUM($N266:N266),E$115,E$117,E$117),2)</f>
        <v>0</v>
      </c>
      <c r="P266" s="57">
        <f>ROUND(Dot_ex($D266,$E266,$F266,$G266,$H266,$I266,$L266+SUM($N266:O266),F$115,F$117,F$117),2)</f>
        <v>0</v>
      </c>
      <c r="Q266" s="57">
        <f>ROUND(Dot_ex($D266,$E266,$F266,$G266,$H266,$I266,$L266+SUM($N266:P266),G$115,G$117,G$117),2)</f>
        <v>0</v>
      </c>
      <c r="R266" s="57">
        <f>ROUND(Dot_ex($D266,$E266,$F266,$G266,$H266,$I266,$L266+SUM($N266:Q266),H$115,H$117,H$117),2)</f>
        <v>0</v>
      </c>
      <c r="S266" s="57">
        <f>ROUND(Dot_ex($D266,$E266,$F266,$G266,$H266,$I266,$L266+SUM($N266:R266),I$115,I$117,I$117),2)</f>
        <v>0</v>
      </c>
      <c r="T266" s="57">
        <f>ROUND(Dot_ex($D266,$E266,$F266,$G266,$H266,$I266,$L266+SUM($N266:S266),J$115,J$117,J$117),2)</f>
        <v>0</v>
      </c>
      <c r="U266" s="57">
        <f>ROUND(Dot_ex($D266,$E266,$F266,$G266,$H266,$I266,$L266+SUM($N266:T266),K$115,K$117,K$117),2)</f>
        <v>0</v>
      </c>
      <c r="V266" s="57">
        <f>ROUND(Dot_ex($D266,$E266,$F266,$G266,$H266,$I266,$L266+SUM($N266:U266),L$115,L$117,L$117),2)</f>
        <v>0</v>
      </c>
      <c r="W266" s="57">
        <f>ROUND(Dot_ex($D266,$E266,$F266,$G266,$H266,$I266,$L266+SUM($N266:V266),M$115,M$117,M$117),2)</f>
        <v>0</v>
      </c>
    </row>
    <row r="267" spans="1:23" x14ac:dyDescent="0.2">
      <c r="A267" s="107">
        <f t="shared" ca="1" si="40"/>
        <v>61</v>
      </c>
      <c r="B267" s="1" t="s">
        <v>151</v>
      </c>
      <c r="C267" s="1"/>
      <c r="D267" s="77">
        <v>36683</v>
      </c>
      <c r="E267" s="77">
        <v>36683</v>
      </c>
      <c r="F267" s="77"/>
      <c r="G267" s="8">
        <v>2463.58</v>
      </c>
      <c r="H267" s="1" t="s">
        <v>8</v>
      </c>
      <c r="I267" s="78">
        <v>5</v>
      </c>
      <c r="J267" s="8">
        <v>2463.58</v>
      </c>
      <c r="K267" s="8">
        <f t="shared" si="44"/>
        <v>0</v>
      </c>
      <c r="L267" s="8">
        <f t="shared" si="45"/>
        <v>2463.58</v>
      </c>
      <c r="M267" s="57">
        <f t="shared" si="46"/>
        <v>0</v>
      </c>
      <c r="N267" s="57">
        <f t="shared" si="47"/>
        <v>0</v>
      </c>
      <c r="O267" s="57">
        <f>ROUND(Dot_ex($D267,$E267,$F267,$G267,$H267,$I267,$L267+SUM($N267:N267),E$115,E$117,E$117),2)</f>
        <v>0</v>
      </c>
      <c r="P267" s="57">
        <f>ROUND(Dot_ex($D267,$E267,$F267,$G267,$H267,$I267,$L267+SUM($N267:O267),F$115,F$117,F$117),2)</f>
        <v>0</v>
      </c>
      <c r="Q267" s="57">
        <f>ROUND(Dot_ex($D267,$E267,$F267,$G267,$H267,$I267,$L267+SUM($N267:P267),G$115,G$117,G$117),2)</f>
        <v>0</v>
      </c>
      <c r="R267" s="57">
        <f>ROUND(Dot_ex($D267,$E267,$F267,$G267,$H267,$I267,$L267+SUM($N267:Q267),H$115,H$117,H$117),2)</f>
        <v>0</v>
      </c>
      <c r="S267" s="57">
        <f>ROUND(Dot_ex($D267,$E267,$F267,$G267,$H267,$I267,$L267+SUM($N267:R267),I$115,I$117,I$117),2)</f>
        <v>0</v>
      </c>
      <c r="T267" s="57">
        <f>ROUND(Dot_ex($D267,$E267,$F267,$G267,$H267,$I267,$L267+SUM($N267:S267),J$115,J$117,J$117),2)</f>
        <v>0</v>
      </c>
      <c r="U267" s="57">
        <f>ROUND(Dot_ex($D267,$E267,$F267,$G267,$H267,$I267,$L267+SUM($N267:T267),K$115,K$117,K$117),2)</f>
        <v>0</v>
      </c>
      <c r="V267" s="57">
        <f>ROUND(Dot_ex($D267,$E267,$F267,$G267,$H267,$I267,$L267+SUM($N267:U267),L$115,L$117,L$117),2)</f>
        <v>0</v>
      </c>
      <c r="W267" s="57">
        <f>ROUND(Dot_ex($D267,$E267,$F267,$G267,$H267,$I267,$L267+SUM($N267:V267),M$115,M$117,M$117),2)</f>
        <v>0</v>
      </c>
    </row>
    <row r="268" spans="1:23" x14ac:dyDescent="0.2">
      <c r="A268" s="107">
        <f t="shared" ca="1" si="40"/>
        <v>62</v>
      </c>
      <c r="B268" s="1" t="s">
        <v>152</v>
      </c>
      <c r="C268" s="1"/>
      <c r="D268" s="77">
        <v>36683</v>
      </c>
      <c r="E268" s="77">
        <v>36683</v>
      </c>
      <c r="F268" s="77"/>
      <c r="G268" s="8">
        <v>461.92</v>
      </c>
      <c r="H268" s="1" t="s">
        <v>8</v>
      </c>
      <c r="I268" s="78">
        <v>5</v>
      </c>
      <c r="J268" s="8">
        <v>461.92</v>
      </c>
      <c r="K268" s="8">
        <f t="shared" si="44"/>
        <v>0</v>
      </c>
      <c r="L268" s="8">
        <f t="shared" si="45"/>
        <v>461.92</v>
      </c>
      <c r="M268" s="57">
        <f t="shared" si="46"/>
        <v>0</v>
      </c>
      <c r="N268" s="57">
        <f t="shared" si="47"/>
        <v>0</v>
      </c>
      <c r="O268" s="57">
        <f>ROUND(Dot_ex($D268,$E268,$F268,$G268,$H268,$I268,$L268+SUM($N268:N268),E$115,E$117,E$117),2)</f>
        <v>0</v>
      </c>
      <c r="P268" s="57">
        <f>ROUND(Dot_ex($D268,$E268,$F268,$G268,$H268,$I268,$L268+SUM($N268:O268),F$115,F$117,F$117),2)</f>
        <v>0</v>
      </c>
      <c r="Q268" s="57">
        <f>ROUND(Dot_ex($D268,$E268,$F268,$G268,$H268,$I268,$L268+SUM($N268:P268),G$115,G$117,G$117),2)</f>
        <v>0</v>
      </c>
      <c r="R268" s="57">
        <f>ROUND(Dot_ex($D268,$E268,$F268,$G268,$H268,$I268,$L268+SUM($N268:Q268),H$115,H$117,H$117),2)</f>
        <v>0</v>
      </c>
      <c r="S268" s="57">
        <f>ROUND(Dot_ex($D268,$E268,$F268,$G268,$H268,$I268,$L268+SUM($N268:R268),I$115,I$117,I$117),2)</f>
        <v>0</v>
      </c>
      <c r="T268" s="57">
        <f>ROUND(Dot_ex($D268,$E268,$F268,$G268,$H268,$I268,$L268+SUM($N268:S268),J$115,J$117,J$117),2)</f>
        <v>0</v>
      </c>
      <c r="U268" s="57">
        <f>ROUND(Dot_ex($D268,$E268,$F268,$G268,$H268,$I268,$L268+SUM($N268:T268),K$115,K$117,K$117),2)</f>
        <v>0</v>
      </c>
      <c r="V268" s="57">
        <f>ROUND(Dot_ex($D268,$E268,$F268,$G268,$H268,$I268,$L268+SUM($N268:U268),L$115,L$117,L$117),2)</f>
        <v>0</v>
      </c>
      <c r="W268" s="57">
        <f>ROUND(Dot_ex($D268,$E268,$F268,$G268,$H268,$I268,$L268+SUM($N268:V268),M$115,M$117,M$117),2)</f>
        <v>0</v>
      </c>
    </row>
    <row r="269" spans="1:23" x14ac:dyDescent="0.2">
      <c r="A269" s="107">
        <f t="shared" ca="1" si="40"/>
        <v>63</v>
      </c>
      <c r="B269" s="1" t="s">
        <v>153</v>
      </c>
      <c r="C269" s="1"/>
      <c r="D269" s="77">
        <v>36683</v>
      </c>
      <c r="E269" s="77">
        <v>36683</v>
      </c>
      <c r="F269" s="77"/>
      <c r="G269" s="8">
        <v>9585.99</v>
      </c>
      <c r="H269" s="1" t="s">
        <v>8</v>
      </c>
      <c r="I269" s="78">
        <v>5</v>
      </c>
      <c r="J269" s="8">
        <v>9585.99</v>
      </c>
      <c r="K269" s="8">
        <f t="shared" si="44"/>
        <v>0</v>
      </c>
      <c r="L269" s="8">
        <f t="shared" si="45"/>
        <v>9585.99</v>
      </c>
      <c r="M269" s="57">
        <f t="shared" si="46"/>
        <v>0</v>
      </c>
      <c r="N269" s="57">
        <f t="shared" si="47"/>
        <v>0</v>
      </c>
      <c r="O269" s="57">
        <f>ROUND(Dot_ex($D269,$E269,$F269,$G269,$H269,$I269,$L269+SUM($N269:N269),E$115,E$117,E$117),2)</f>
        <v>0</v>
      </c>
      <c r="P269" s="57">
        <f>ROUND(Dot_ex($D269,$E269,$F269,$G269,$H269,$I269,$L269+SUM($N269:O269),F$115,F$117,F$117),2)</f>
        <v>0</v>
      </c>
      <c r="Q269" s="57">
        <f>ROUND(Dot_ex($D269,$E269,$F269,$G269,$H269,$I269,$L269+SUM($N269:P269),G$115,G$117,G$117),2)</f>
        <v>0</v>
      </c>
      <c r="R269" s="57">
        <f>ROUND(Dot_ex($D269,$E269,$F269,$G269,$H269,$I269,$L269+SUM($N269:Q269),H$115,H$117,H$117),2)</f>
        <v>0</v>
      </c>
      <c r="S269" s="57">
        <f>ROUND(Dot_ex($D269,$E269,$F269,$G269,$H269,$I269,$L269+SUM($N269:R269),I$115,I$117,I$117),2)</f>
        <v>0</v>
      </c>
      <c r="T269" s="57">
        <f>ROUND(Dot_ex($D269,$E269,$F269,$G269,$H269,$I269,$L269+SUM($N269:S269),J$115,J$117,J$117),2)</f>
        <v>0</v>
      </c>
      <c r="U269" s="57">
        <f>ROUND(Dot_ex($D269,$E269,$F269,$G269,$H269,$I269,$L269+SUM($N269:T269),K$115,K$117,K$117),2)</f>
        <v>0</v>
      </c>
      <c r="V269" s="57">
        <f>ROUND(Dot_ex($D269,$E269,$F269,$G269,$H269,$I269,$L269+SUM($N269:U269),L$115,L$117,L$117),2)</f>
        <v>0</v>
      </c>
      <c r="W269" s="57">
        <f>ROUND(Dot_ex($D269,$E269,$F269,$G269,$H269,$I269,$L269+SUM($N269:V269),M$115,M$117,M$117),2)</f>
        <v>0</v>
      </c>
    </row>
    <row r="270" spans="1:23" x14ac:dyDescent="0.2">
      <c r="A270" s="107">
        <f t="shared" ca="1" si="40"/>
        <v>64</v>
      </c>
      <c r="B270" s="1" t="s">
        <v>166</v>
      </c>
      <c r="C270" s="1" t="s">
        <v>8</v>
      </c>
      <c r="D270" s="77">
        <v>36731</v>
      </c>
      <c r="E270" s="77">
        <v>36731</v>
      </c>
      <c r="F270" s="77"/>
      <c r="G270" s="8">
        <v>2778.94</v>
      </c>
      <c r="H270" s="1" t="s">
        <v>8</v>
      </c>
      <c r="I270" s="78">
        <v>5</v>
      </c>
      <c r="J270" s="8">
        <v>2778.94</v>
      </c>
      <c r="K270" s="8">
        <f t="shared" si="44"/>
        <v>0</v>
      </c>
      <c r="L270" s="8">
        <f t="shared" si="45"/>
        <v>2778.94</v>
      </c>
      <c r="M270" s="57">
        <f t="shared" si="46"/>
        <v>0</v>
      </c>
      <c r="N270" s="57">
        <f t="shared" si="47"/>
        <v>0</v>
      </c>
      <c r="O270" s="57">
        <f>ROUND(Dot_ex($D270,$E270,$F270,$G270,$H270,$I270,$L270+SUM($N270:N270),E$115,E$117,E$117),2)</f>
        <v>0</v>
      </c>
      <c r="P270" s="57">
        <f>ROUND(Dot_ex($D270,$E270,$F270,$G270,$H270,$I270,$L270+SUM($N270:O270),F$115,F$117,F$117),2)</f>
        <v>0</v>
      </c>
      <c r="Q270" s="57">
        <f>ROUND(Dot_ex($D270,$E270,$F270,$G270,$H270,$I270,$L270+SUM($N270:P270),G$115,G$117,G$117),2)</f>
        <v>0</v>
      </c>
      <c r="R270" s="57">
        <f>ROUND(Dot_ex($D270,$E270,$F270,$G270,$H270,$I270,$L270+SUM($N270:Q270),H$115,H$117,H$117),2)</f>
        <v>0</v>
      </c>
      <c r="S270" s="57">
        <f>ROUND(Dot_ex($D270,$E270,$F270,$G270,$H270,$I270,$L270+SUM($N270:R270),I$115,I$117,I$117),2)</f>
        <v>0</v>
      </c>
      <c r="T270" s="57">
        <f>ROUND(Dot_ex($D270,$E270,$F270,$G270,$H270,$I270,$L270+SUM($N270:S270),J$115,J$117,J$117),2)</f>
        <v>0</v>
      </c>
      <c r="U270" s="57">
        <f>ROUND(Dot_ex($D270,$E270,$F270,$G270,$H270,$I270,$L270+SUM($N270:T270),K$115,K$117,K$117),2)</f>
        <v>0</v>
      </c>
      <c r="V270" s="57">
        <f>ROUND(Dot_ex($D270,$E270,$F270,$G270,$H270,$I270,$L270+SUM($N270:U270),L$115,L$117,L$117),2)</f>
        <v>0</v>
      </c>
      <c r="W270" s="57">
        <f>ROUND(Dot_ex($D270,$E270,$F270,$G270,$H270,$I270,$L270+SUM($N270:V270),M$115,M$117,M$117),2)</f>
        <v>0</v>
      </c>
    </row>
    <row r="271" spans="1:23" x14ac:dyDescent="0.2">
      <c r="A271" s="107">
        <f t="shared" ca="1" si="40"/>
        <v>65</v>
      </c>
      <c r="B271" s="1" t="s">
        <v>165</v>
      </c>
      <c r="C271" s="1" t="s">
        <v>8</v>
      </c>
      <c r="D271" s="77">
        <v>36731</v>
      </c>
      <c r="E271" s="77">
        <v>36731</v>
      </c>
      <c r="F271" s="77"/>
      <c r="G271" s="8">
        <v>7892.49</v>
      </c>
      <c r="H271" s="1" t="s">
        <v>8</v>
      </c>
      <c r="I271" s="78">
        <v>5</v>
      </c>
      <c r="J271" s="8">
        <v>7892.49</v>
      </c>
      <c r="K271" s="8">
        <f t="shared" si="44"/>
        <v>0</v>
      </c>
      <c r="L271" s="8">
        <f t="shared" si="45"/>
        <v>7892.49</v>
      </c>
      <c r="M271" s="57">
        <f t="shared" si="46"/>
        <v>0</v>
      </c>
      <c r="N271" s="57">
        <f t="shared" si="47"/>
        <v>0</v>
      </c>
      <c r="O271" s="57">
        <f>ROUND(Dot_ex($D271,$E271,$F271,$G271,$H271,$I271,$L271+SUM($N271:N271),E$115,E$117,E$117),2)</f>
        <v>0</v>
      </c>
      <c r="P271" s="57">
        <f>ROUND(Dot_ex($D271,$E271,$F271,$G271,$H271,$I271,$L271+SUM($N271:O271),F$115,F$117,F$117),2)</f>
        <v>0</v>
      </c>
      <c r="Q271" s="57">
        <f>ROUND(Dot_ex($D271,$E271,$F271,$G271,$H271,$I271,$L271+SUM($N271:P271),G$115,G$117,G$117),2)</f>
        <v>0</v>
      </c>
      <c r="R271" s="57">
        <f>ROUND(Dot_ex($D271,$E271,$F271,$G271,$H271,$I271,$L271+SUM($N271:Q271),H$115,H$117,H$117),2)</f>
        <v>0</v>
      </c>
      <c r="S271" s="57">
        <f>ROUND(Dot_ex($D271,$E271,$F271,$G271,$H271,$I271,$L271+SUM($N271:R271),I$115,I$117,I$117),2)</f>
        <v>0</v>
      </c>
      <c r="T271" s="57">
        <f>ROUND(Dot_ex($D271,$E271,$F271,$G271,$H271,$I271,$L271+SUM($N271:S271),J$115,J$117,J$117),2)</f>
        <v>0</v>
      </c>
      <c r="U271" s="57">
        <f>ROUND(Dot_ex($D271,$E271,$F271,$G271,$H271,$I271,$L271+SUM($N271:T271),K$115,K$117,K$117),2)</f>
        <v>0</v>
      </c>
      <c r="V271" s="57">
        <f>ROUND(Dot_ex($D271,$E271,$F271,$G271,$H271,$I271,$L271+SUM($N271:U271),L$115,L$117,L$117),2)</f>
        <v>0</v>
      </c>
      <c r="W271" s="57">
        <f>ROUND(Dot_ex($D271,$E271,$F271,$G271,$H271,$I271,$L271+SUM($N271:V271),M$115,M$117,M$117),2)</f>
        <v>0</v>
      </c>
    </row>
    <row r="272" spans="1:23" x14ac:dyDescent="0.2">
      <c r="A272" s="107">
        <f t="shared" ca="1" si="40"/>
        <v>66</v>
      </c>
      <c r="B272" s="1" t="s">
        <v>167</v>
      </c>
      <c r="C272" s="1" t="s">
        <v>8</v>
      </c>
      <c r="D272" s="77">
        <v>36812</v>
      </c>
      <c r="E272" s="77">
        <v>36812</v>
      </c>
      <c r="F272" s="77"/>
      <c r="G272" s="8">
        <v>2120.8200000000002</v>
      </c>
      <c r="H272" s="1" t="s">
        <v>8</v>
      </c>
      <c r="I272" s="78">
        <v>5</v>
      </c>
      <c r="J272" s="8">
        <v>2120.8200000000002</v>
      </c>
      <c r="K272" s="8">
        <f t="shared" si="44"/>
        <v>0</v>
      </c>
      <c r="L272" s="8">
        <f t="shared" si="45"/>
        <v>2120.8200000000002</v>
      </c>
      <c r="M272" s="57">
        <f t="shared" si="46"/>
        <v>0</v>
      </c>
      <c r="N272" s="57">
        <f t="shared" si="47"/>
        <v>0</v>
      </c>
      <c r="O272" s="57">
        <f>ROUND(Dot_ex($D272,$E272,$F272,$G272,$H272,$I272,$L272+SUM($N272:N272),E$115,E$117,E$117),2)</f>
        <v>0</v>
      </c>
      <c r="P272" s="57">
        <f>ROUND(Dot_ex($D272,$E272,$F272,$G272,$H272,$I272,$L272+SUM($N272:O272),F$115,F$117,F$117),2)</f>
        <v>0</v>
      </c>
      <c r="Q272" s="57">
        <f>ROUND(Dot_ex($D272,$E272,$F272,$G272,$H272,$I272,$L272+SUM($N272:P272),G$115,G$117,G$117),2)</f>
        <v>0</v>
      </c>
      <c r="R272" s="57">
        <f>ROUND(Dot_ex($D272,$E272,$F272,$G272,$H272,$I272,$L272+SUM($N272:Q272),H$115,H$117,H$117),2)</f>
        <v>0</v>
      </c>
      <c r="S272" s="57">
        <f>ROUND(Dot_ex($D272,$E272,$F272,$G272,$H272,$I272,$L272+SUM($N272:R272),I$115,I$117,I$117),2)</f>
        <v>0</v>
      </c>
      <c r="T272" s="57">
        <f>ROUND(Dot_ex($D272,$E272,$F272,$G272,$H272,$I272,$L272+SUM($N272:S272),J$115,J$117,J$117),2)</f>
        <v>0</v>
      </c>
      <c r="U272" s="57">
        <f>ROUND(Dot_ex($D272,$E272,$F272,$G272,$H272,$I272,$L272+SUM($N272:T272),K$115,K$117,K$117),2)</f>
        <v>0</v>
      </c>
      <c r="V272" s="57">
        <f>ROUND(Dot_ex($D272,$E272,$F272,$G272,$H272,$I272,$L272+SUM($N272:U272),L$115,L$117,L$117),2)</f>
        <v>0</v>
      </c>
      <c r="W272" s="57">
        <f>ROUND(Dot_ex($D272,$E272,$F272,$G272,$H272,$I272,$L272+SUM($N272:V272),M$115,M$117,M$117),2)</f>
        <v>0</v>
      </c>
    </row>
    <row r="273" spans="1:23" x14ac:dyDescent="0.2">
      <c r="A273" s="107">
        <f t="shared" ca="1" si="40"/>
        <v>67</v>
      </c>
      <c r="B273" s="1" t="s">
        <v>173</v>
      </c>
      <c r="C273" s="1" t="s">
        <v>8</v>
      </c>
      <c r="D273" s="77">
        <v>36902</v>
      </c>
      <c r="E273" s="77">
        <v>36902</v>
      </c>
      <c r="F273" s="77"/>
      <c r="G273" s="8">
        <v>505.37</v>
      </c>
      <c r="H273" s="1" t="s">
        <v>8</v>
      </c>
      <c r="I273" s="78">
        <v>5</v>
      </c>
      <c r="J273" s="8">
        <v>505.37</v>
      </c>
      <c r="K273" s="8">
        <f t="shared" si="44"/>
        <v>0</v>
      </c>
      <c r="L273" s="8">
        <f t="shared" si="45"/>
        <v>505.37</v>
      </c>
      <c r="M273" s="57">
        <f t="shared" si="46"/>
        <v>0</v>
      </c>
      <c r="N273" s="57">
        <f t="shared" si="47"/>
        <v>0</v>
      </c>
      <c r="O273" s="57">
        <f>ROUND(Dot_ex($D273,$E273,$F273,$G273,$H273,$I273,$L273+SUM($N273:N273),E$115,E$117,E$117),2)</f>
        <v>0</v>
      </c>
      <c r="P273" s="57">
        <f>ROUND(Dot_ex($D273,$E273,$F273,$G273,$H273,$I273,$L273+SUM($N273:O273),F$115,F$117,F$117),2)</f>
        <v>0</v>
      </c>
      <c r="Q273" s="57">
        <f>ROUND(Dot_ex($D273,$E273,$F273,$G273,$H273,$I273,$L273+SUM($N273:P273),G$115,G$117,G$117),2)</f>
        <v>0</v>
      </c>
      <c r="R273" s="57">
        <f>ROUND(Dot_ex($D273,$E273,$F273,$G273,$H273,$I273,$L273+SUM($N273:Q273),H$115,H$117,H$117),2)</f>
        <v>0</v>
      </c>
      <c r="S273" s="57">
        <f>ROUND(Dot_ex($D273,$E273,$F273,$G273,$H273,$I273,$L273+SUM($N273:R273),I$115,I$117,I$117),2)</f>
        <v>0</v>
      </c>
      <c r="T273" s="57">
        <f>ROUND(Dot_ex($D273,$E273,$F273,$G273,$H273,$I273,$L273+SUM($N273:S273),J$115,J$117,J$117),2)</f>
        <v>0</v>
      </c>
      <c r="U273" s="57">
        <f>ROUND(Dot_ex($D273,$E273,$F273,$G273,$H273,$I273,$L273+SUM($N273:T273),K$115,K$117,K$117),2)</f>
        <v>0</v>
      </c>
      <c r="V273" s="57">
        <f>ROUND(Dot_ex($D273,$E273,$F273,$G273,$H273,$I273,$L273+SUM($N273:U273),L$115,L$117,L$117),2)</f>
        <v>0</v>
      </c>
      <c r="W273" s="57">
        <f>ROUND(Dot_ex($D273,$E273,$F273,$G273,$H273,$I273,$L273+SUM($N273:V273),M$115,M$117,M$117),2)</f>
        <v>0</v>
      </c>
    </row>
    <row r="274" spans="1:23" x14ac:dyDescent="0.2">
      <c r="A274" s="107">
        <f t="shared" ca="1" si="40"/>
        <v>68</v>
      </c>
      <c r="B274" s="1" t="s">
        <v>180</v>
      </c>
      <c r="C274" s="1" t="s">
        <v>8</v>
      </c>
      <c r="D274" s="77">
        <v>37159</v>
      </c>
      <c r="E274" s="77">
        <v>37159</v>
      </c>
      <c r="F274" s="77"/>
      <c r="G274" s="8">
        <v>4605.18</v>
      </c>
      <c r="H274" s="1" t="s">
        <v>8</v>
      </c>
      <c r="I274" s="78">
        <v>5</v>
      </c>
      <c r="J274" s="8">
        <v>4605.18</v>
      </c>
      <c r="K274" s="8">
        <f t="shared" si="44"/>
        <v>0</v>
      </c>
      <c r="L274" s="8">
        <f t="shared" si="45"/>
        <v>4605.18</v>
      </c>
      <c r="M274" s="57">
        <f t="shared" si="46"/>
        <v>0</v>
      </c>
      <c r="N274" s="57">
        <f t="shared" si="47"/>
        <v>0</v>
      </c>
      <c r="O274" s="57">
        <f>ROUND(Dot_ex($D274,$E274,$F274,$G274,$H274,$I274,$L274+SUM($N274:N274),E$115,E$117,E$117),2)</f>
        <v>0</v>
      </c>
      <c r="P274" s="57">
        <f>ROUND(Dot_ex($D274,$E274,$F274,$G274,$H274,$I274,$L274+SUM($N274:O274),F$115,F$117,F$117),2)</f>
        <v>0</v>
      </c>
      <c r="Q274" s="57">
        <f>ROUND(Dot_ex($D274,$E274,$F274,$G274,$H274,$I274,$L274+SUM($N274:P274),G$115,G$117,G$117),2)</f>
        <v>0</v>
      </c>
      <c r="R274" s="57">
        <f>ROUND(Dot_ex($D274,$E274,$F274,$G274,$H274,$I274,$L274+SUM($N274:Q274),H$115,H$117,H$117),2)</f>
        <v>0</v>
      </c>
      <c r="S274" s="57">
        <f>ROUND(Dot_ex($D274,$E274,$F274,$G274,$H274,$I274,$L274+SUM($N274:R274),I$115,I$117,I$117),2)</f>
        <v>0</v>
      </c>
      <c r="T274" s="57">
        <f>ROUND(Dot_ex($D274,$E274,$F274,$G274,$H274,$I274,$L274+SUM($N274:S274),J$115,J$117,J$117),2)</f>
        <v>0</v>
      </c>
      <c r="U274" s="57">
        <f>ROUND(Dot_ex($D274,$E274,$F274,$G274,$H274,$I274,$L274+SUM($N274:T274),K$115,K$117,K$117),2)</f>
        <v>0</v>
      </c>
      <c r="V274" s="57">
        <f>ROUND(Dot_ex($D274,$E274,$F274,$G274,$H274,$I274,$L274+SUM($N274:U274),L$115,L$117,L$117),2)</f>
        <v>0</v>
      </c>
      <c r="W274" s="57">
        <f>ROUND(Dot_ex($D274,$E274,$F274,$G274,$H274,$I274,$L274+SUM($N274:V274),M$115,M$117,M$117),2)</f>
        <v>0</v>
      </c>
    </row>
    <row r="275" spans="1:23" x14ac:dyDescent="0.2">
      <c r="A275" s="107">
        <f t="shared" ca="1" si="40"/>
        <v>69</v>
      </c>
      <c r="B275" s="1" t="s">
        <v>182</v>
      </c>
      <c r="C275" s="1" t="s">
        <v>8</v>
      </c>
      <c r="D275" s="77">
        <v>37313</v>
      </c>
      <c r="E275" s="77">
        <v>37313</v>
      </c>
      <c r="F275" s="77"/>
      <c r="G275" s="8">
        <v>1615.38</v>
      </c>
      <c r="H275" s="1" t="s">
        <v>8</v>
      </c>
      <c r="I275" s="78">
        <v>5</v>
      </c>
      <c r="J275" s="8">
        <v>1615.38</v>
      </c>
      <c r="K275" s="8">
        <f t="shared" si="44"/>
        <v>0</v>
      </c>
      <c r="L275" s="8">
        <f t="shared" si="45"/>
        <v>1615.38</v>
      </c>
      <c r="M275" s="57">
        <f t="shared" si="46"/>
        <v>0</v>
      </c>
      <c r="N275" s="57">
        <f t="shared" si="47"/>
        <v>0</v>
      </c>
      <c r="O275" s="57">
        <f>ROUND(Dot_ex($D275,$E275,$F275,$G275,$H275,$I275,$L275+SUM($N275:N275),E$115,E$117,E$117),2)</f>
        <v>0</v>
      </c>
      <c r="P275" s="57">
        <f>ROUND(Dot_ex($D275,$E275,$F275,$G275,$H275,$I275,$L275+SUM($N275:O275),F$115,F$117,F$117),2)</f>
        <v>0</v>
      </c>
      <c r="Q275" s="57">
        <f>ROUND(Dot_ex($D275,$E275,$F275,$G275,$H275,$I275,$L275+SUM($N275:P275),G$115,G$117,G$117),2)</f>
        <v>0</v>
      </c>
      <c r="R275" s="57">
        <f>ROUND(Dot_ex($D275,$E275,$F275,$G275,$H275,$I275,$L275+SUM($N275:Q275),H$115,H$117,H$117),2)</f>
        <v>0</v>
      </c>
      <c r="S275" s="57">
        <f>ROUND(Dot_ex($D275,$E275,$F275,$G275,$H275,$I275,$L275+SUM($N275:R275),I$115,I$117,I$117),2)</f>
        <v>0</v>
      </c>
      <c r="T275" s="57">
        <f>ROUND(Dot_ex($D275,$E275,$F275,$G275,$H275,$I275,$L275+SUM($N275:S275),J$115,J$117,J$117),2)</f>
        <v>0</v>
      </c>
      <c r="U275" s="57">
        <f>ROUND(Dot_ex($D275,$E275,$F275,$G275,$H275,$I275,$L275+SUM($N275:T275),K$115,K$117,K$117),2)</f>
        <v>0</v>
      </c>
      <c r="V275" s="57">
        <f>ROUND(Dot_ex($D275,$E275,$F275,$G275,$H275,$I275,$L275+SUM($N275:U275),L$115,L$117,L$117),2)</f>
        <v>0</v>
      </c>
      <c r="W275" s="57">
        <f>ROUND(Dot_ex($D275,$E275,$F275,$G275,$H275,$I275,$L275+SUM($N275:V275),M$115,M$117,M$117),2)</f>
        <v>0</v>
      </c>
    </row>
    <row r="276" spans="1:23" x14ac:dyDescent="0.2">
      <c r="A276" s="107">
        <f t="shared" ca="1" si="40"/>
        <v>70</v>
      </c>
      <c r="B276" s="1" t="s">
        <v>183</v>
      </c>
      <c r="C276" s="1" t="s">
        <v>8</v>
      </c>
      <c r="D276" s="77">
        <v>37319</v>
      </c>
      <c r="E276" s="77">
        <v>37319</v>
      </c>
      <c r="F276" s="77"/>
      <c r="G276" s="8">
        <v>2480.66</v>
      </c>
      <c r="H276" s="1" t="s">
        <v>8</v>
      </c>
      <c r="I276" s="78">
        <v>5</v>
      </c>
      <c r="J276" s="8">
        <v>2480.66</v>
      </c>
      <c r="K276" s="8">
        <f t="shared" si="44"/>
        <v>0</v>
      </c>
      <c r="L276" s="8">
        <f t="shared" si="45"/>
        <v>2480.66</v>
      </c>
      <c r="M276" s="57">
        <f t="shared" si="46"/>
        <v>0</v>
      </c>
      <c r="N276" s="57">
        <f t="shared" si="47"/>
        <v>0</v>
      </c>
      <c r="O276" s="57">
        <f>ROUND(Dot_ex($D276,$E276,$F276,$G276,$H276,$I276,$L276+SUM($N276:N276),E$115,E$117,E$117),2)</f>
        <v>0</v>
      </c>
      <c r="P276" s="57">
        <f>ROUND(Dot_ex($D276,$E276,$F276,$G276,$H276,$I276,$L276+SUM($N276:O276),F$115,F$117,F$117),2)</f>
        <v>0</v>
      </c>
      <c r="Q276" s="57">
        <f>ROUND(Dot_ex($D276,$E276,$F276,$G276,$H276,$I276,$L276+SUM($N276:P276),G$115,G$117,G$117),2)</f>
        <v>0</v>
      </c>
      <c r="R276" s="57">
        <f>ROUND(Dot_ex($D276,$E276,$F276,$G276,$H276,$I276,$L276+SUM($N276:Q276),H$115,H$117,H$117),2)</f>
        <v>0</v>
      </c>
      <c r="S276" s="57">
        <f>ROUND(Dot_ex($D276,$E276,$F276,$G276,$H276,$I276,$L276+SUM($N276:R276),I$115,I$117,I$117),2)</f>
        <v>0</v>
      </c>
      <c r="T276" s="57">
        <f>ROUND(Dot_ex($D276,$E276,$F276,$G276,$H276,$I276,$L276+SUM($N276:S276),J$115,J$117,J$117),2)</f>
        <v>0</v>
      </c>
      <c r="U276" s="57">
        <f>ROUND(Dot_ex($D276,$E276,$F276,$G276,$H276,$I276,$L276+SUM($N276:T276),K$115,K$117,K$117),2)</f>
        <v>0</v>
      </c>
      <c r="V276" s="57">
        <f>ROUND(Dot_ex($D276,$E276,$F276,$G276,$H276,$I276,$L276+SUM($N276:U276),L$115,L$117,L$117),2)</f>
        <v>0</v>
      </c>
      <c r="W276" s="57">
        <f>ROUND(Dot_ex($D276,$E276,$F276,$G276,$H276,$I276,$L276+SUM($N276:V276),M$115,M$117,M$117),2)</f>
        <v>0</v>
      </c>
    </row>
    <row r="277" spans="1:23" x14ac:dyDescent="0.2">
      <c r="A277" s="107">
        <f t="shared" ca="1" si="40"/>
        <v>71</v>
      </c>
      <c r="B277" s="1" t="s">
        <v>181</v>
      </c>
      <c r="C277" s="1" t="s">
        <v>8</v>
      </c>
      <c r="D277" s="77">
        <v>37333</v>
      </c>
      <c r="E277" s="77">
        <v>37333</v>
      </c>
      <c r="F277" s="77"/>
      <c r="G277" s="8">
        <v>56000</v>
      </c>
      <c r="H277" s="1" t="s">
        <v>8</v>
      </c>
      <c r="I277" s="78">
        <v>5</v>
      </c>
      <c r="J277" s="8">
        <v>56000</v>
      </c>
      <c r="K277" s="8">
        <f t="shared" si="44"/>
        <v>0</v>
      </c>
      <c r="L277" s="8">
        <f t="shared" si="45"/>
        <v>56000</v>
      </c>
      <c r="M277" s="57">
        <f t="shared" si="46"/>
        <v>0</v>
      </c>
      <c r="N277" s="57">
        <f t="shared" si="47"/>
        <v>0</v>
      </c>
      <c r="O277" s="57">
        <f>ROUND(Dot_ex($D277,$E277,$F277,$G277,$H277,$I277,$L277+SUM($N277:N277),E$115,E$117,E$117),2)</f>
        <v>0</v>
      </c>
      <c r="P277" s="57">
        <f>ROUND(Dot_ex($D277,$E277,$F277,$G277,$H277,$I277,$L277+SUM($N277:O277),F$115,F$117,F$117),2)</f>
        <v>0</v>
      </c>
      <c r="Q277" s="57">
        <f>ROUND(Dot_ex($D277,$E277,$F277,$G277,$H277,$I277,$L277+SUM($N277:P277),G$115,G$117,G$117),2)</f>
        <v>0</v>
      </c>
      <c r="R277" s="57">
        <f>ROUND(Dot_ex($D277,$E277,$F277,$G277,$H277,$I277,$L277+SUM($N277:Q277),H$115,H$117,H$117),2)</f>
        <v>0</v>
      </c>
      <c r="S277" s="57">
        <f>ROUND(Dot_ex($D277,$E277,$F277,$G277,$H277,$I277,$L277+SUM($N277:R277),I$115,I$117,I$117),2)</f>
        <v>0</v>
      </c>
      <c r="T277" s="57">
        <f>ROUND(Dot_ex($D277,$E277,$F277,$G277,$H277,$I277,$L277+SUM($N277:S277),J$115,J$117,J$117),2)</f>
        <v>0</v>
      </c>
      <c r="U277" s="57">
        <f>ROUND(Dot_ex($D277,$E277,$F277,$G277,$H277,$I277,$L277+SUM($N277:T277),K$115,K$117,K$117),2)</f>
        <v>0</v>
      </c>
      <c r="V277" s="57">
        <f>ROUND(Dot_ex($D277,$E277,$F277,$G277,$H277,$I277,$L277+SUM($N277:U277),L$115,L$117,L$117),2)</f>
        <v>0</v>
      </c>
      <c r="W277" s="57">
        <f>ROUND(Dot_ex($D277,$E277,$F277,$G277,$H277,$I277,$L277+SUM($N277:V277),M$115,M$117,M$117),2)</f>
        <v>0</v>
      </c>
    </row>
    <row r="278" spans="1:23" x14ac:dyDescent="0.2">
      <c r="A278" s="107">
        <f t="shared" ca="1" si="40"/>
        <v>72</v>
      </c>
      <c r="B278" s="1" t="s">
        <v>184</v>
      </c>
      <c r="C278" s="1" t="s">
        <v>8</v>
      </c>
      <c r="D278" s="77">
        <v>37358</v>
      </c>
      <c r="E278" s="77">
        <v>37358</v>
      </c>
      <c r="F278" s="77"/>
      <c r="G278" s="8">
        <v>1274.6600000000001</v>
      </c>
      <c r="H278" s="1" t="s">
        <v>8</v>
      </c>
      <c r="I278" s="78">
        <v>5</v>
      </c>
      <c r="J278" s="8">
        <v>1274.6600000000001</v>
      </c>
      <c r="K278" s="8">
        <f t="shared" si="44"/>
        <v>0</v>
      </c>
      <c r="L278" s="8">
        <f t="shared" si="45"/>
        <v>1274.6600000000001</v>
      </c>
      <c r="M278" s="57">
        <f t="shared" si="46"/>
        <v>0</v>
      </c>
      <c r="N278" s="57">
        <f t="shared" si="47"/>
        <v>0</v>
      </c>
      <c r="O278" s="57">
        <f>ROUND(Dot_ex($D278,$E278,$F278,$G278,$H278,$I278,$L278+SUM($N278:N278),E$115,E$117,E$117),2)</f>
        <v>0</v>
      </c>
      <c r="P278" s="57">
        <f>ROUND(Dot_ex($D278,$E278,$F278,$G278,$H278,$I278,$L278+SUM($N278:O278),F$115,F$117,F$117),2)</f>
        <v>0</v>
      </c>
      <c r="Q278" s="57">
        <f>ROUND(Dot_ex($D278,$E278,$F278,$G278,$H278,$I278,$L278+SUM($N278:P278),G$115,G$117,G$117),2)</f>
        <v>0</v>
      </c>
      <c r="R278" s="57">
        <f>ROUND(Dot_ex($D278,$E278,$F278,$G278,$H278,$I278,$L278+SUM($N278:Q278),H$115,H$117,H$117),2)</f>
        <v>0</v>
      </c>
      <c r="S278" s="57">
        <f>ROUND(Dot_ex($D278,$E278,$F278,$G278,$H278,$I278,$L278+SUM($N278:R278),I$115,I$117,I$117),2)</f>
        <v>0</v>
      </c>
      <c r="T278" s="57">
        <f>ROUND(Dot_ex($D278,$E278,$F278,$G278,$H278,$I278,$L278+SUM($N278:S278),J$115,J$117,J$117),2)</f>
        <v>0</v>
      </c>
      <c r="U278" s="57">
        <f>ROUND(Dot_ex($D278,$E278,$F278,$G278,$H278,$I278,$L278+SUM($N278:T278),K$115,K$117,K$117),2)</f>
        <v>0</v>
      </c>
      <c r="V278" s="57">
        <f>ROUND(Dot_ex($D278,$E278,$F278,$G278,$H278,$I278,$L278+SUM($N278:U278),L$115,L$117,L$117),2)</f>
        <v>0</v>
      </c>
      <c r="W278" s="57">
        <f>ROUND(Dot_ex($D278,$E278,$F278,$G278,$H278,$I278,$L278+SUM($N278:V278),M$115,M$117,M$117),2)</f>
        <v>0</v>
      </c>
    </row>
    <row r="279" spans="1:23" x14ac:dyDescent="0.2">
      <c r="A279" s="107">
        <f t="shared" ca="1" si="40"/>
        <v>73</v>
      </c>
      <c r="B279" s="1" t="s">
        <v>185</v>
      </c>
      <c r="C279" s="1" t="s">
        <v>8</v>
      </c>
      <c r="D279" s="77">
        <v>37365</v>
      </c>
      <c r="E279" s="77">
        <v>37365</v>
      </c>
      <c r="F279" s="77"/>
      <c r="G279" s="8">
        <v>3513</v>
      </c>
      <c r="H279" s="1" t="s">
        <v>8</v>
      </c>
      <c r="I279" s="78">
        <v>5</v>
      </c>
      <c r="J279" s="8">
        <v>3513</v>
      </c>
      <c r="K279" s="8">
        <f t="shared" si="44"/>
        <v>0</v>
      </c>
      <c r="L279" s="8">
        <f t="shared" si="45"/>
        <v>3513</v>
      </c>
      <c r="M279" s="57">
        <f t="shared" si="46"/>
        <v>0</v>
      </c>
      <c r="N279" s="57">
        <f t="shared" si="47"/>
        <v>0</v>
      </c>
      <c r="O279" s="57">
        <f>ROUND(Dot_ex($D279,$E279,$F279,$G279,$H279,$I279,$L279+SUM($N279:N279),E$115,E$117,E$117),2)</f>
        <v>0</v>
      </c>
      <c r="P279" s="57">
        <f>ROUND(Dot_ex($D279,$E279,$F279,$G279,$H279,$I279,$L279+SUM($N279:O279),F$115,F$117,F$117),2)</f>
        <v>0</v>
      </c>
      <c r="Q279" s="57">
        <f>ROUND(Dot_ex($D279,$E279,$F279,$G279,$H279,$I279,$L279+SUM($N279:P279),G$115,G$117,G$117),2)</f>
        <v>0</v>
      </c>
      <c r="R279" s="57">
        <f>ROUND(Dot_ex($D279,$E279,$F279,$G279,$H279,$I279,$L279+SUM($N279:Q279),H$115,H$117,H$117),2)</f>
        <v>0</v>
      </c>
      <c r="S279" s="57">
        <f>ROUND(Dot_ex($D279,$E279,$F279,$G279,$H279,$I279,$L279+SUM($N279:R279),I$115,I$117,I$117),2)</f>
        <v>0</v>
      </c>
      <c r="T279" s="57">
        <f>ROUND(Dot_ex($D279,$E279,$F279,$G279,$H279,$I279,$L279+SUM($N279:S279),J$115,J$117,J$117),2)</f>
        <v>0</v>
      </c>
      <c r="U279" s="57">
        <f>ROUND(Dot_ex($D279,$E279,$F279,$G279,$H279,$I279,$L279+SUM($N279:T279),K$115,K$117,K$117),2)</f>
        <v>0</v>
      </c>
      <c r="V279" s="57">
        <f>ROUND(Dot_ex($D279,$E279,$F279,$G279,$H279,$I279,$L279+SUM($N279:U279),L$115,L$117,L$117),2)</f>
        <v>0</v>
      </c>
      <c r="W279" s="57">
        <f>ROUND(Dot_ex($D279,$E279,$F279,$G279,$H279,$I279,$L279+SUM($N279:V279),M$115,M$117,M$117),2)</f>
        <v>0</v>
      </c>
    </row>
    <row r="280" spans="1:23" x14ac:dyDescent="0.2">
      <c r="A280" s="107">
        <f t="shared" ca="1" si="40"/>
        <v>74</v>
      </c>
      <c r="B280" s="1" t="s">
        <v>186</v>
      </c>
      <c r="C280" s="1" t="s">
        <v>8</v>
      </c>
      <c r="D280" s="77">
        <v>37403</v>
      </c>
      <c r="E280" s="77">
        <v>37403</v>
      </c>
      <c r="F280" s="77"/>
      <c r="G280" s="8">
        <v>865</v>
      </c>
      <c r="H280" s="1" t="s">
        <v>8</v>
      </c>
      <c r="I280" s="78">
        <v>5</v>
      </c>
      <c r="J280" s="8">
        <v>865</v>
      </c>
      <c r="K280" s="8">
        <f t="shared" si="44"/>
        <v>0</v>
      </c>
      <c r="L280" s="8">
        <f t="shared" si="45"/>
        <v>865</v>
      </c>
      <c r="M280" s="57">
        <f t="shared" si="46"/>
        <v>0</v>
      </c>
      <c r="N280" s="57">
        <f t="shared" si="47"/>
        <v>0</v>
      </c>
      <c r="O280" s="57">
        <f>ROUND(Dot_ex($D280,$E280,$F280,$G280,$H280,$I280,$L280+SUM($N280:N280),E$115,E$117,E$117),2)</f>
        <v>0</v>
      </c>
      <c r="P280" s="57">
        <f>ROUND(Dot_ex($D280,$E280,$F280,$G280,$H280,$I280,$L280+SUM($N280:O280),F$115,F$117,F$117),2)</f>
        <v>0</v>
      </c>
      <c r="Q280" s="57">
        <f>ROUND(Dot_ex($D280,$E280,$F280,$G280,$H280,$I280,$L280+SUM($N280:P280),G$115,G$117,G$117),2)</f>
        <v>0</v>
      </c>
      <c r="R280" s="57">
        <f>ROUND(Dot_ex($D280,$E280,$F280,$G280,$H280,$I280,$L280+SUM($N280:Q280),H$115,H$117,H$117),2)</f>
        <v>0</v>
      </c>
      <c r="S280" s="57">
        <f>ROUND(Dot_ex($D280,$E280,$F280,$G280,$H280,$I280,$L280+SUM($N280:R280),I$115,I$117,I$117),2)</f>
        <v>0</v>
      </c>
      <c r="T280" s="57">
        <f>ROUND(Dot_ex($D280,$E280,$F280,$G280,$H280,$I280,$L280+SUM($N280:S280),J$115,J$117,J$117),2)</f>
        <v>0</v>
      </c>
      <c r="U280" s="57">
        <f>ROUND(Dot_ex($D280,$E280,$F280,$G280,$H280,$I280,$L280+SUM($N280:T280),K$115,K$117,K$117),2)</f>
        <v>0</v>
      </c>
      <c r="V280" s="57">
        <f>ROUND(Dot_ex($D280,$E280,$F280,$G280,$H280,$I280,$L280+SUM($N280:U280),L$115,L$117,L$117),2)</f>
        <v>0</v>
      </c>
      <c r="W280" s="57">
        <f>ROUND(Dot_ex($D280,$E280,$F280,$G280,$H280,$I280,$L280+SUM($N280:V280),M$115,M$117,M$117),2)</f>
        <v>0</v>
      </c>
    </row>
    <row r="281" spans="1:23" x14ac:dyDescent="0.2">
      <c r="A281" s="107">
        <f t="shared" ca="1" si="40"/>
        <v>75</v>
      </c>
      <c r="B281" s="1" t="s">
        <v>187</v>
      </c>
      <c r="C281" s="1" t="s">
        <v>8</v>
      </c>
      <c r="D281" s="77">
        <v>37406</v>
      </c>
      <c r="E281" s="77">
        <v>37406</v>
      </c>
      <c r="F281" s="77"/>
      <c r="G281" s="8">
        <v>2585.94</v>
      </c>
      <c r="H281" s="1" t="s">
        <v>8</v>
      </c>
      <c r="I281" s="78">
        <v>5</v>
      </c>
      <c r="J281" s="8">
        <v>2585.94</v>
      </c>
      <c r="K281" s="8">
        <f t="shared" si="44"/>
        <v>0</v>
      </c>
      <c r="L281" s="8">
        <f t="shared" si="45"/>
        <v>2585.94</v>
      </c>
      <c r="M281" s="57">
        <f t="shared" si="46"/>
        <v>0</v>
      </c>
      <c r="N281" s="57">
        <f t="shared" si="47"/>
        <v>0</v>
      </c>
      <c r="O281" s="57">
        <f>ROUND(Dot_ex($D281,$E281,$F281,$G281,$H281,$I281,$L281+SUM($N281:N281),E$115,E$117,E$117),2)</f>
        <v>0</v>
      </c>
      <c r="P281" s="57">
        <f>ROUND(Dot_ex($D281,$E281,$F281,$G281,$H281,$I281,$L281+SUM($N281:O281),F$115,F$117,F$117),2)</f>
        <v>0</v>
      </c>
      <c r="Q281" s="57">
        <f>ROUND(Dot_ex($D281,$E281,$F281,$G281,$H281,$I281,$L281+SUM($N281:P281),G$115,G$117,G$117),2)</f>
        <v>0</v>
      </c>
      <c r="R281" s="57">
        <f>ROUND(Dot_ex($D281,$E281,$F281,$G281,$H281,$I281,$L281+SUM($N281:Q281),H$115,H$117,H$117),2)</f>
        <v>0</v>
      </c>
      <c r="S281" s="57">
        <f>ROUND(Dot_ex($D281,$E281,$F281,$G281,$H281,$I281,$L281+SUM($N281:R281),I$115,I$117,I$117),2)</f>
        <v>0</v>
      </c>
      <c r="T281" s="57">
        <f>ROUND(Dot_ex($D281,$E281,$F281,$G281,$H281,$I281,$L281+SUM($N281:S281),J$115,J$117,J$117),2)</f>
        <v>0</v>
      </c>
      <c r="U281" s="57">
        <f>ROUND(Dot_ex($D281,$E281,$F281,$G281,$H281,$I281,$L281+SUM($N281:T281),K$115,K$117,K$117),2)</f>
        <v>0</v>
      </c>
      <c r="V281" s="57">
        <f>ROUND(Dot_ex($D281,$E281,$F281,$G281,$H281,$I281,$L281+SUM($N281:U281),L$115,L$117,L$117),2)</f>
        <v>0</v>
      </c>
      <c r="W281" s="57">
        <f>ROUND(Dot_ex($D281,$E281,$F281,$G281,$H281,$I281,$L281+SUM($N281:V281),M$115,M$117,M$117),2)</f>
        <v>0</v>
      </c>
    </row>
    <row r="282" spans="1:23" x14ac:dyDescent="0.2">
      <c r="A282" s="107">
        <f t="shared" ca="1" si="40"/>
        <v>76</v>
      </c>
      <c r="B282" s="1" t="s">
        <v>188</v>
      </c>
      <c r="C282" s="1" t="s">
        <v>8</v>
      </c>
      <c r="D282" s="77">
        <v>37414</v>
      </c>
      <c r="E282" s="77">
        <v>37414</v>
      </c>
      <c r="F282" s="77"/>
      <c r="G282" s="8">
        <v>7257.74</v>
      </c>
      <c r="H282" s="1" t="s">
        <v>8</v>
      </c>
      <c r="I282" s="78">
        <v>5</v>
      </c>
      <c r="J282" s="8">
        <v>7257.74</v>
      </c>
      <c r="K282" s="8">
        <f t="shared" si="44"/>
        <v>0</v>
      </c>
      <c r="L282" s="8">
        <f t="shared" si="45"/>
        <v>7257.74</v>
      </c>
      <c r="M282" s="57">
        <f t="shared" si="46"/>
        <v>0</v>
      </c>
      <c r="N282" s="57">
        <f t="shared" si="47"/>
        <v>0</v>
      </c>
      <c r="O282" s="57">
        <f>ROUND(Dot_ex($D282,$E282,$F282,$G282,$H282,$I282,$L282+SUM($N282:N282),E$115,E$117,E$117),2)</f>
        <v>0</v>
      </c>
      <c r="P282" s="57">
        <f>ROUND(Dot_ex($D282,$E282,$F282,$G282,$H282,$I282,$L282+SUM($N282:O282),F$115,F$117,F$117),2)</f>
        <v>0</v>
      </c>
      <c r="Q282" s="57">
        <f>ROUND(Dot_ex($D282,$E282,$F282,$G282,$H282,$I282,$L282+SUM($N282:P282),G$115,G$117,G$117),2)</f>
        <v>0</v>
      </c>
      <c r="R282" s="57">
        <f>ROUND(Dot_ex($D282,$E282,$F282,$G282,$H282,$I282,$L282+SUM($N282:Q282),H$115,H$117,H$117),2)</f>
        <v>0</v>
      </c>
      <c r="S282" s="57">
        <f>ROUND(Dot_ex($D282,$E282,$F282,$G282,$H282,$I282,$L282+SUM($N282:R282),I$115,I$117,I$117),2)</f>
        <v>0</v>
      </c>
      <c r="T282" s="57">
        <f>ROUND(Dot_ex($D282,$E282,$F282,$G282,$H282,$I282,$L282+SUM($N282:S282),J$115,J$117,J$117),2)</f>
        <v>0</v>
      </c>
      <c r="U282" s="57">
        <f>ROUND(Dot_ex($D282,$E282,$F282,$G282,$H282,$I282,$L282+SUM($N282:T282),K$115,K$117,K$117),2)</f>
        <v>0</v>
      </c>
      <c r="V282" s="57">
        <f>ROUND(Dot_ex($D282,$E282,$F282,$G282,$H282,$I282,$L282+SUM($N282:U282),L$115,L$117,L$117),2)</f>
        <v>0</v>
      </c>
      <c r="W282" s="57">
        <f>ROUND(Dot_ex($D282,$E282,$F282,$G282,$H282,$I282,$L282+SUM($N282:V282),M$115,M$117,M$117),2)</f>
        <v>0</v>
      </c>
    </row>
    <row r="283" spans="1:23" x14ac:dyDescent="0.2">
      <c r="A283" s="107">
        <f t="shared" ca="1" si="40"/>
        <v>77</v>
      </c>
      <c r="B283" s="1" t="s">
        <v>189</v>
      </c>
      <c r="C283" s="1" t="s">
        <v>8</v>
      </c>
      <c r="D283" s="77">
        <v>37414</v>
      </c>
      <c r="E283" s="77">
        <v>37414</v>
      </c>
      <c r="F283" s="77"/>
      <c r="G283" s="8">
        <v>19000</v>
      </c>
      <c r="H283" s="1" t="s">
        <v>8</v>
      </c>
      <c r="I283" s="78">
        <v>5</v>
      </c>
      <c r="J283" s="8">
        <v>19000</v>
      </c>
      <c r="K283" s="8">
        <f t="shared" si="44"/>
        <v>0</v>
      </c>
      <c r="L283" s="8">
        <f t="shared" si="45"/>
        <v>19000</v>
      </c>
      <c r="M283" s="57">
        <f t="shared" si="46"/>
        <v>0</v>
      </c>
      <c r="N283" s="57">
        <f t="shared" si="47"/>
        <v>0</v>
      </c>
      <c r="O283" s="57">
        <f>ROUND(Dot_ex($D283,$E283,$F283,$G283,$H283,$I283,$L283+SUM($N283:N283),E$115,E$117,E$117),2)</f>
        <v>0</v>
      </c>
      <c r="P283" s="57">
        <f>ROUND(Dot_ex($D283,$E283,$F283,$G283,$H283,$I283,$L283+SUM($N283:O283),F$115,F$117,F$117),2)</f>
        <v>0</v>
      </c>
      <c r="Q283" s="57">
        <f>ROUND(Dot_ex($D283,$E283,$F283,$G283,$H283,$I283,$L283+SUM($N283:P283),G$115,G$117,G$117),2)</f>
        <v>0</v>
      </c>
      <c r="R283" s="57">
        <f>ROUND(Dot_ex($D283,$E283,$F283,$G283,$H283,$I283,$L283+SUM($N283:Q283),H$115,H$117,H$117),2)</f>
        <v>0</v>
      </c>
      <c r="S283" s="57">
        <f>ROUND(Dot_ex($D283,$E283,$F283,$G283,$H283,$I283,$L283+SUM($N283:R283),I$115,I$117,I$117),2)</f>
        <v>0</v>
      </c>
      <c r="T283" s="57">
        <f>ROUND(Dot_ex($D283,$E283,$F283,$G283,$H283,$I283,$L283+SUM($N283:S283),J$115,J$117,J$117),2)</f>
        <v>0</v>
      </c>
      <c r="U283" s="57">
        <f>ROUND(Dot_ex($D283,$E283,$F283,$G283,$H283,$I283,$L283+SUM($N283:T283),K$115,K$117,K$117),2)</f>
        <v>0</v>
      </c>
      <c r="V283" s="57">
        <f>ROUND(Dot_ex($D283,$E283,$F283,$G283,$H283,$I283,$L283+SUM($N283:U283),L$115,L$117,L$117),2)</f>
        <v>0</v>
      </c>
      <c r="W283" s="57">
        <f>ROUND(Dot_ex($D283,$E283,$F283,$G283,$H283,$I283,$L283+SUM($N283:V283),M$115,M$117,M$117),2)</f>
        <v>0</v>
      </c>
    </row>
    <row r="284" spans="1:23" x14ac:dyDescent="0.2">
      <c r="A284" s="107">
        <f t="shared" ca="1" si="40"/>
        <v>78</v>
      </c>
      <c r="B284" s="1" t="s">
        <v>218</v>
      </c>
      <c r="C284" s="1" t="s">
        <v>8</v>
      </c>
      <c r="D284" s="77">
        <v>37529</v>
      </c>
      <c r="E284" s="77">
        <v>37529</v>
      </c>
      <c r="F284" s="77"/>
      <c r="G284" s="8">
        <v>3258.95</v>
      </c>
      <c r="H284" s="1" t="s">
        <v>8</v>
      </c>
      <c r="I284" s="78">
        <v>5</v>
      </c>
      <c r="J284" s="8">
        <v>3258.95</v>
      </c>
      <c r="K284" s="8">
        <f t="shared" si="44"/>
        <v>0</v>
      </c>
      <c r="L284" s="8">
        <f t="shared" si="45"/>
        <v>3258.95</v>
      </c>
      <c r="M284" s="57">
        <f t="shared" si="46"/>
        <v>0</v>
      </c>
      <c r="N284" s="57">
        <f t="shared" si="47"/>
        <v>0</v>
      </c>
      <c r="O284" s="57">
        <f>ROUND(Dot_ex($D284,$E284,$F284,$G284,$H284,$I284,$L284+SUM($N284:N284),E$115,E$117,E$117),2)</f>
        <v>0</v>
      </c>
      <c r="P284" s="57">
        <f>ROUND(Dot_ex($D284,$E284,$F284,$G284,$H284,$I284,$L284+SUM($N284:O284),F$115,F$117,F$117),2)</f>
        <v>0</v>
      </c>
      <c r="Q284" s="57">
        <f>ROUND(Dot_ex($D284,$E284,$F284,$G284,$H284,$I284,$L284+SUM($N284:P284),G$115,G$117,G$117),2)</f>
        <v>0</v>
      </c>
      <c r="R284" s="57">
        <f>ROUND(Dot_ex($D284,$E284,$F284,$G284,$H284,$I284,$L284+SUM($N284:Q284),H$115,H$117,H$117),2)</f>
        <v>0</v>
      </c>
      <c r="S284" s="57">
        <f>ROUND(Dot_ex($D284,$E284,$F284,$G284,$H284,$I284,$L284+SUM($N284:R284),I$115,I$117,I$117),2)</f>
        <v>0</v>
      </c>
      <c r="T284" s="57">
        <f>ROUND(Dot_ex($D284,$E284,$F284,$G284,$H284,$I284,$L284+SUM($N284:S284),J$115,J$117,J$117),2)</f>
        <v>0</v>
      </c>
      <c r="U284" s="57">
        <f>ROUND(Dot_ex($D284,$E284,$F284,$G284,$H284,$I284,$L284+SUM($N284:T284),K$115,K$117,K$117),2)</f>
        <v>0</v>
      </c>
      <c r="V284" s="57">
        <f>ROUND(Dot_ex($D284,$E284,$F284,$G284,$H284,$I284,$L284+SUM($N284:U284),L$115,L$117,L$117),2)</f>
        <v>0</v>
      </c>
      <c r="W284" s="57">
        <f>ROUND(Dot_ex($D284,$E284,$F284,$G284,$H284,$I284,$L284+SUM($N284:V284),M$115,M$117,M$117),2)</f>
        <v>0</v>
      </c>
    </row>
    <row r="285" spans="1:23" x14ac:dyDescent="0.2">
      <c r="A285" s="107">
        <f t="shared" ca="1" si="40"/>
        <v>79</v>
      </c>
      <c r="B285" s="1" t="s">
        <v>220</v>
      </c>
      <c r="C285" s="1" t="s">
        <v>8</v>
      </c>
      <c r="D285" s="77">
        <v>37627</v>
      </c>
      <c r="E285" s="77">
        <v>37627</v>
      </c>
      <c r="F285" s="77"/>
      <c r="G285" s="8">
        <v>1291.29</v>
      </c>
      <c r="H285" s="1" t="s">
        <v>8</v>
      </c>
      <c r="I285" s="78">
        <v>5</v>
      </c>
      <c r="J285" s="8">
        <v>1291.29</v>
      </c>
      <c r="K285" s="8">
        <f t="shared" si="44"/>
        <v>0</v>
      </c>
      <c r="L285" s="8">
        <f t="shared" si="45"/>
        <v>1291.29</v>
      </c>
      <c r="M285" s="57">
        <f t="shared" si="46"/>
        <v>0</v>
      </c>
      <c r="N285" s="57">
        <f t="shared" si="47"/>
        <v>0</v>
      </c>
      <c r="O285" s="57">
        <f>ROUND(Dot_ex($D285,$E285,$F285,$G285,$H285,$I285,$L285+SUM($N285:N285),E$115,E$117,E$117),2)</f>
        <v>0</v>
      </c>
      <c r="P285" s="57">
        <f>ROUND(Dot_ex($D285,$E285,$F285,$G285,$H285,$I285,$L285+SUM($N285:O285),F$115,F$117,F$117),2)</f>
        <v>0</v>
      </c>
      <c r="Q285" s="57">
        <f>ROUND(Dot_ex($D285,$E285,$F285,$G285,$H285,$I285,$L285+SUM($N285:P285),G$115,G$117,G$117),2)</f>
        <v>0</v>
      </c>
      <c r="R285" s="57">
        <f>ROUND(Dot_ex($D285,$E285,$F285,$G285,$H285,$I285,$L285+SUM($N285:Q285),H$115,H$117,H$117),2)</f>
        <v>0</v>
      </c>
      <c r="S285" s="57">
        <f>ROUND(Dot_ex($D285,$E285,$F285,$G285,$H285,$I285,$L285+SUM($N285:R285),I$115,I$117,I$117),2)</f>
        <v>0</v>
      </c>
      <c r="T285" s="57">
        <f>ROUND(Dot_ex($D285,$E285,$F285,$G285,$H285,$I285,$L285+SUM($N285:S285),J$115,J$117,J$117),2)</f>
        <v>0</v>
      </c>
      <c r="U285" s="57">
        <f>ROUND(Dot_ex($D285,$E285,$F285,$G285,$H285,$I285,$L285+SUM($N285:T285),K$115,K$117,K$117),2)</f>
        <v>0</v>
      </c>
      <c r="V285" s="57">
        <f>ROUND(Dot_ex($D285,$E285,$F285,$G285,$H285,$I285,$L285+SUM($N285:U285),L$115,L$117,L$117),2)</f>
        <v>0</v>
      </c>
      <c r="W285" s="57">
        <f>ROUND(Dot_ex($D285,$E285,$F285,$G285,$H285,$I285,$L285+SUM($N285:V285),M$115,M$117,M$117),2)</f>
        <v>0</v>
      </c>
    </row>
    <row r="286" spans="1:23" x14ac:dyDescent="0.2">
      <c r="A286" s="107">
        <f t="shared" ca="1" si="40"/>
        <v>80</v>
      </c>
      <c r="B286" s="1" t="s">
        <v>219</v>
      </c>
      <c r="C286" s="1" t="s">
        <v>8</v>
      </c>
      <c r="D286" s="77">
        <v>37635</v>
      </c>
      <c r="E286" s="77">
        <v>37635</v>
      </c>
      <c r="F286" s="77"/>
      <c r="G286" s="8">
        <v>1812.8</v>
      </c>
      <c r="H286" s="1" t="s">
        <v>8</v>
      </c>
      <c r="I286" s="78">
        <v>5</v>
      </c>
      <c r="J286" s="8">
        <v>1812.8</v>
      </c>
      <c r="K286" s="8">
        <f t="shared" si="44"/>
        <v>0</v>
      </c>
      <c r="L286" s="8">
        <f t="shared" si="45"/>
        <v>1812.8</v>
      </c>
      <c r="M286" s="57">
        <f t="shared" si="46"/>
        <v>0</v>
      </c>
      <c r="N286" s="57">
        <f t="shared" si="47"/>
        <v>0</v>
      </c>
      <c r="O286" s="57">
        <f>ROUND(Dot_ex($D286,$E286,$F286,$G286,$H286,$I286,$L286+SUM($N286:N286),E$115,E$117,E$117),2)</f>
        <v>0</v>
      </c>
      <c r="P286" s="57">
        <f>ROUND(Dot_ex($D286,$E286,$F286,$G286,$H286,$I286,$L286+SUM($N286:O286),F$115,F$117,F$117),2)</f>
        <v>0</v>
      </c>
      <c r="Q286" s="57">
        <f>ROUND(Dot_ex($D286,$E286,$F286,$G286,$H286,$I286,$L286+SUM($N286:P286),G$115,G$117,G$117),2)</f>
        <v>0</v>
      </c>
      <c r="R286" s="57">
        <f>ROUND(Dot_ex($D286,$E286,$F286,$G286,$H286,$I286,$L286+SUM($N286:Q286),H$115,H$117,H$117),2)</f>
        <v>0</v>
      </c>
      <c r="S286" s="57">
        <f>ROUND(Dot_ex($D286,$E286,$F286,$G286,$H286,$I286,$L286+SUM($N286:R286),I$115,I$117,I$117),2)</f>
        <v>0</v>
      </c>
      <c r="T286" s="57">
        <f>ROUND(Dot_ex($D286,$E286,$F286,$G286,$H286,$I286,$L286+SUM($N286:S286),J$115,J$117,J$117),2)</f>
        <v>0</v>
      </c>
      <c r="U286" s="57">
        <f>ROUND(Dot_ex($D286,$E286,$F286,$G286,$H286,$I286,$L286+SUM($N286:T286),K$115,K$117,K$117),2)</f>
        <v>0</v>
      </c>
      <c r="V286" s="57">
        <f>ROUND(Dot_ex($D286,$E286,$F286,$G286,$H286,$I286,$L286+SUM($N286:U286),L$115,L$117,L$117),2)</f>
        <v>0</v>
      </c>
      <c r="W286" s="57">
        <f>ROUND(Dot_ex($D286,$E286,$F286,$G286,$H286,$I286,$L286+SUM($N286:V286),M$115,M$117,M$117),2)</f>
        <v>0</v>
      </c>
    </row>
    <row r="287" spans="1:23" x14ac:dyDescent="0.2">
      <c r="A287" s="107">
        <f t="shared" ca="1" si="40"/>
        <v>81</v>
      </c>
      <c r="B287" s="1" t="s">
        <v>222</v>
      </c>
      <c r="C287" s="1" t="s">
        <v>8</v>
      </c>
      <c r="D287" s="77">
        <v>37672</v>
      </c>
      <c r="E287" s="77">
        <v>37672</v>
      </c>
      <c r="F287" s="77"/>
      <c r="G287" s="8">
        <v>2975</v>
      </c>
      <c r="H287" s="1" t="s">
        <v>8</v>
      </c>
      <c r="I287" s="78">
        <v>5</v>
      </c>
      <c r="J287" s="8">
        <v>2975</v>
      </c>
      <c r="K287" s="8">
        <f t="shared" si="44"/>
        <v>0</v>
      </c>
      <c r="L287" s="8">
        <f t="shared" si="45"/>
        <v>2975</v>
      </c>
      <c r="M287" s="57">
        <f t="shared" si="46"/>
        <v>0</v>
      </c>
      <c r="N287" s="57">
        <f t="shared" si="47"/>
        <v>0</v>
      </c>
      <c r="O287" s="57">
        <f>ROUND(Dot_ex($D287,$E287,$F287,$G287,$H287,$I287,$L287+SUM($N287:N287),E$115,E$117,E$117),2)</f>
        <v>0</v>
      </c>
      <c r="P287" s="57">
        <f>ROUND(Dot_ex($D287,$E287,$F287,$G287,$H287,$I287,$L287+SUM($N287:O287),F$115,F$117,F$117),2)</f>
        <v>0</v>
      </c>
      <c r="Q287" s="57">
        <f>ROUND(Dot_ex($D287,$E287,$F287,$G287,$H287,$I287,$L287+SUM($N287:P287),G$115,G$117,G$117),2)</f>
        <v>0</v>
      </c>
      <c r="R287" s="57">
        <f>ROUND(Dot_ex($D287,$E287,$F287,$G287,$H287,$I287,$L287+SUM($N287:Q287),H$115,H$117,H$117),2)</f>
        <v>0</v>
      </c>
      <c r="S287" s="57">
        <f>ROUND(Dot_ex($D287,$E287,$F287,$G287,$H287,$I287,$L287+SUM($N287:R287),I$115,I$117,I$117),2)</f>
        <v>0</v>
      </c>
      <c r="T287" s="57">
        <f>ROUND(Dot_ex($D287,$E287,$F287,$G287,$H287,$I287,$L287+SUM($N287:S287),J$115,J$117,J$117),2)</f>
        <v>0</v>
      </c>
      <c r="U287" s="57">
        <f>ROUND(Dot_ex($D287,$E287,$F287,$G287,$H287,$I287,$L287+SUM($N287:T287),K$115,K$117,K$117),2)</f>
        <v>0</v>
      </c>
      <c r="V287" s="57">
        <f>ROUND(Dot_ex($D287,$E287,$F287,$G287,$H287,$I287,$L287+SUM($N287:U287),L$115,L$117,L$117),2)</f>
        <v>0</v>
      </c>
      <c r="W287" s="57">
        <f>ROUND(Dot_ex($D287,$E287,$F287,$G287,$H287,$I287,$L287+SUM($N287:V287),M$115,M$117,M$117),2)</f>
        <v>0</v>
      </c>
    </row>
    <row r="288" spans="1:23" x14ac:dyDescent="0.2">
      <c r="A288" s="107">
        <f t="shared" ca="1" si="40"/>
        <v>82</v>
      </c>
      <c r="B288" s="1" t="s">
        <v>221</v>
      </c>
      <c r="C288" s="1" t="s">
        <v>8</v>
      </c>
      <c r="D288" s="77">
        <v>37693</v>
      </c>
      <c r="E288" s="77">
        <v>37693</v>
      </c>
      <c r="F288" s="77"/>
      <c r="G288" s="8">
        <v>5764</v>
      </c>
      <c r="H288" s="1" t="s">
        <v>8</v>
      </c>
      <c r="I288" s="78">
        <v>5</v>
      </c>
      <c r="J288" s="8">
        <v>5764</v>
      </c>
      <c r="K288" s="8">
        <f t="shared" si="44"/>
        <v>0</v>
      </c>
      <c r="L288" s="8">
        <f t="shared" si="45"/>
        <v>5764</v>
      </c>
      <c r="M288" s="57">
        <f t="shared" si="46"/>
        <v>0</v>
      </c>
      <c r="N288" s="57">
        <f t="shared" si="47"/>
        <v>0</v>
      </c>
      <c r="O288" s="57">
        <f>ROUND(Dot_ex($D288,$E288,$F288,$G288,$H288,$I288,$L288+SUM($N288:N288),E$115,E$117,E$117),2)</f>
        <v>0</v>
      </c>
      <c r="P288" s="57">
        <f>ROUND(Dot_ex($D288,$E288,$F288,$G288,$H288,$I288,$L288+SUM($N288:O288),F$115,F$117,F$117),2)</f>
        <v>0</v>
      </c>
      <c r="Q288" s="57">
        <f>ROUND(Dot_ex($D288,$E288,$F288,$G288,$H288,$I288,$L288+SUM($N288:P288),G$115,G$117,G$117),2)</f>
        <v>0</v>
      </c>
      <c r="R288" s="57">
        <f>ROUND(Dot_ex($D288,$E288,$F288,$G288,$H288,$I288,$L288+SUM($N288:Q288),H$115,H$117,H$117),2)</f>
        <v>0</v>
      </c>
      <c r="S288" s="57">
        <f>ROUND(Dot_ex($D288,$E288,$F288,$G288,$H288,$I288,$L288+SUM($N288:R288),I$115,I$117,I$117),2)</f>
        <v>0</v>
      </c>
      <c r="T288" s="57">
        <f>ROUND(Dot_ex($D288,$E288,$F288,$G288,$H288,$I288,$L288+SUM($N288:S288),J$115,J$117,J$117),2)</f>
        <v>0</v>
      </c>
      <c r="U288" s="57">
        <f>ROUND(Dot_ex($D288,$E288,$F288,$G288,$H288,$I288,$L288+SUM($N288:T288),K$115,K$117,K$117),2)</f>
        <v>0</v>
      </c>
      <c r="V288" s="57">
        <f>ROUND(Dot_ex($D288,$E288,$F288,$G288,$H288,$I288,$L288+SUM($N288:U288),L$115,L$117,L$117),2)</f>
        <v>0</v>
      </c>
      <c r="W288" s="57">
        <f>ROUND(Dot_ex($D288,$E288,$F288,$G288,$H288,$I288,$L288+SUM($N288:V288),M$115,M$117,M$117),2)</f>
        <v>0</v>
      </c>
    </row>
    <row r="289" spans="1:23" x14ac:dyDescent="0.2">
      <c r="A289" s="107">
        <f t="shared" ca="1" si="40"/>
        <v>83</v>
      </c>
      <c r="B289" s="1" t="s">
        <v>239</v>
      </c>
      <c r="C289" s="1" t="s">
        <v>8</v>
      </c>
      <c r="D289" s="77">
        <v>37910</v>
      </c>
      <c r="E289" s="77">
        <v>37910</v>
      </c>
      <c r="F289" s="77"/>
      <c r="G289" s="8">
        <v>1987.92</v>
      </c>
      <c r="H289" s="1" t="s">
        <v>8</v>
      </c>
      <c r="I289" s="78">
        <v>5</v>
      </c>
      <c r="J289" s="8">
        <v>1987.92</v>
      </c>
      <c r="K289" s="8">
        <f t="shared" si="44"/>
        <v>0</v>
      </c>
      <c r="L289" s="8">
        <f t="shared" si="45"/>
        <v>1987.92</v>
      </c>
      <c r="M289" s="57">
        <f t="shared" si="46"/>
        <v>0</v>
      </c>
      <c r="N289" s="57">
        <f t="shared" si="47"/>
        <v>0</v>
      </c>
      <c r="O289" s="57">
        <f>ROUND(Dot_ex($D289,$E289,$F289,$G289,$H289,$I289,$L289+SUM($N289:N289),E$115,E$117,E$117),2)</f>
        <v>0</v>
      </c>
      <c r="P289" s="57">
        <f>ROUND(Dot_ex($D289,$E289,$F289,$G289,$H289,$I289,$L289+SUM($N289:O289),F$115,F$117,F$117),2)</f>
        <v>0</v>
      </c>
      <c r="Q289" s="57">
        <f>ROUND(Dot_ex($D289,$E289,$F289,$G289,$H289,$I289,$L289+SUM($N289:P289),G$115,G$117,G$117),2)</f>
        <v>0</v>
      </c>
      <c r="R289" s="57">
        <f>ROUND(Dot_ex($D289,$E289,$F289,$G289,$H289,$I289,$L289+SUM($N289:Q289),H$115,H$117,H$117),2)</f>
        <v>0</v>
      </c>
      <c r="S289" s="57">
        <f>ROUND(Dot_ex($D289,$E289,$F289,$G289,$H289,$I289,$L289+SUM($N289:R289),I$115,I$117,I$117),2)</f>
        <v>0</v>
      </c>
      <c r="T289" s="57">
        <f>ROUND(Dot_ex($D289,$E289,$F289,$G289,$H289,$I289,$L289+SUM($N289:S289),J$115,J$117,J$117),2)</f>
        <v>0</v>
      </c>
      <c r="U289" s="57">
        <f>ROUND(Dot_ex($D289,$E289,$F289,$G289,$H289,$I289,$L289+SUM($N289:T289),K$115,K$117,K$117),2)</f>
        <v>0</v>
      </c>
      <c r="V289" s="57">
        <f>ROUND(Dot_ex($D289,$E289,$F289,$G289,$H289,$I289,$L289+SUM($N289:U289),L$115,L$117,L$117),2)</f>
        <v>0</v>
      </c>
      <c r="W289" s="57">
        <f>ROUND(Dot_ex($D289,$E289,$F289,$G289,$H289,$I289,$L289+SUM($N289:V289),M$115,M$117,M$117),2)</f>
        <v>0</v>
      </c>
    </row>
    <row r="290" spans="1:23" x14ac:dyDescent="0.2">
      <c r="A290" s="107">
        <f t="shared" ca="1" si="40"/>
        <v>84</v>
      </c>
      <c r="B290" s="1" t="s">
        <v>240</v>
      </c>
      <c r="C290" s="1" t="s">
        <v>8</v>
      </c>
      <c r="D290" s="77">
        <v>38210</v>
      </c>
      <c r="E290" s="77">
        <v>38210</v>
      </c>
      <c r="F290" s="77"/>
      <c r="G290" s="8">
        <v>2364</v>
      </c>
      <c r="H290" s="1" t="s">
        <v>8</v>
      </c>
      <c r="I290" s="78">
        <v>5</v>
      </c>
      <c r="J290" s="8">
        <v>2364</v>
      </c>
      <c r="K290" s="8">
        <f t="shared" si="44"/>
        <v>0</v>
      </c>
      <c r="L290" s="8">
        <f t="shared" si="45"/>
        <v>2364</v>
      </c>
      <c r="M290" s="57">
        <f t="shared" si="46"/>
        <v>0</v>
      </c>
      <c r="N290" s="57">
        <f t="shared" si="47"/>
        <v>0</v>
      </c>
      <c r="O290" s="57">
        <f>ROUND(Dot_ex($D290,$E290,$F290,$G290,$H290,$I290,$L290+SUM($N290:N290),E$115,E$117,E$117),2)</f>
        <v>0</v>
      </c>
      <c r="P290" s="57">
        <f>ROUND(Dot_ex($D290,$E290,$F290,$G290,$H290,$I290,$L290+SUM($N290:O290),F$115,F$117,F$117),2)</f>
        <v>0</v>
      </c>
      <c r="Q290" s="57">
        <f>ROUND(Dot_ex($D290,$E290,$F290,$G290,$H290,$I290,$L290+SUM($N290:P290),G$115,G$117,G$117),2)</f>
        <v>0</v>
      </c>
      <c r="R290" s="57">
        <f>ROUND(Dot_ex($D290,$E290,$F290,$G290,$H290,$I290,$L290+SUM($N290:Q290),H$115,H$117,H$117),2)</f>
        <v>0</v>
      </c>
      <c r="S290" s="57">
        <f>ROUND(Dot_ex($D290,$E290,$F290,$G290,$H290,$I290,$L290+SUM($N290:R290),I$115,I$117,I$117),2)</f>
        <v>0</v>
      </c>
      <c r="T290" s="57">
        <f>ROUND(Dot_ex($D290,$E290,$F290,$G290,$H290,$I290,$L290+SUM($N290:S290),J$115,J$117,J$117),2)</f>
        <v>0</v>
      </c>
      <c r="U290" s="57">
        <f>ROUND(Dot_ex($D290,$E290,$F290,$G290,$H290,$I290,$L290+SUM($N290:T290),K$115,K$117,K$117),2)</f>
        <v>0</v>
      </c>
      <c r="V290" s="57">
        <f>ROUND(Dot_ex($D290,$E290,$F290,$G290,$H290,$I290,$L290+SUM($N290:U290),L$115,L$117,L$117),2)</f>
        <v>0</v>
      </c>
      <c r="W290" s="57">
        <f>ROUND(Dot_ex($D290,$E290,$F290,$G290,$H290,$I290,$L290+SUM($N290:V290),M$115,M$117,M$117),2)</f>
        <v>0</v>
      </c>
    </row>
    <row r="291" spans="1:23" x14ac:dyDescent="0.2">
      <c r="A291" s="107">
        <f t="shared" ca="1" si="40"/>
        <v>85</v>
      </c>
      <c r="B291" s="1" t="s">
        <v>241</v>
      </c>
      <c r="C291" s="1" t="s">
        <v>8</v>
      </c>
      <c r="D291" s="77">
        <v>38337</v>
      </c>
      <c r="E291" s="77">
        <v>38337</v>
      </c>
      <c r="F291" s="77"/>
      <c r="G291" s="8">
        <v>3217</v>
      </c>
      <c r="H291" s="1" t="s">
        <v>8</v>
      </c>
      <c r="I291" s="78">
        <v>5</v>
      </c>
      <c r="J291" s="8">
        <v>3217</v>
      </c>
      <c r="K291" s="8">
        <f t="shared" si="44"/>
        <v>0</v>
      </c>
      <c r="L291" s="8">
        <f t="shared" si="45"/>
        <v>3217</v>
      </c>
      <c r="M291" s="57">
        <f t="shared" si="46"/>
        <v>0</v>
      </c>
      <c r="N291" s="57">
        <f t="shared" si="47"/>
        <v>0</v>
      </c>
      <c r="O291" s="57">
        <f>ROUND(Dot_ex($D291,$E291,$F291,$G291,$H291,$I291,$L291+SUM($N291:N291),E$115,E$117,E$117),2)</f>
        <v>0</v>
      </c>
      <c r="P291" s="57">
        <f>ROUND(Dot_ex($D291,$E291,$F291,$G291,$H291,$I291,$L291+SUM($N291:O291),F$115,F$117,F$117),2)</f>
        <v>0</v>
      </c>
      <c r="Q291" s="57">
        <f>ROUND(Dot_ex($D291,$E291,$F291,$G291,$H291,$I291,$L291+SUM($N291:P291),G$115,G$117,G$117),2)</f>
        <v>0</v>
      </c>
      <c r="R291" s="57">
        <f>ROUND(Dot_ex($D291,$E291,$F291,$G291,$H291,$I291,$L291+SUM($N291:Q291),H$115,H$117,H$117),2)</f>
        <v>0</v>
      </c>
      <c r="S291" s="57">
        <f>ROUND(Dot_ex($D291,$E291,$F291,$G291,$H291,$I291,$L291+SUM($N291:R291),I$115,I$117,I$117),2)</f>
        <v>0</v>
      </c>
      <c r="T291" s="57">
        <f>ROUND(Dot_ex($D291,$E291,$F291,$G291,$H291,$I291,$L291+SUM($N291:S291),J$115,J$117,J$117),2)</f>
        <v>0</v>
      </c>
      <c r="U291" s="57">
        <f>ROUND(Dot_ex($D291,$E291,$F291,$G291,$H291,$I291,$L291+SUM($N291:T291),K$115,K$117,K$117),2)</f>
        <v>0</v>
      </c>
      <c r="V291" s="57">
        <f>ROUND(Dot_ex($D291,$E291,$F291,$G291,$H291,$I291,$L291+SUM($N291:U291),L$115,L$117,L$117),2)</f>
        <v>0</v>
      </c>
      <c r="W291" s="57">
        <f>ROUND(Dot_ex($D291,$E291,$F291,$G291,$H291,$I291,$L291+SUM($N291:V291),M$115,M$117,M$117),2)</f>
        <v>0</v>
      </c>
    </row>
    <row r="292" spans="1:23" x14ac:dyDescent="0.2">
      <c r="A292" s="107">
        <f t="shared" ca="1" si="40"/>
        <v>86</v>
      </c>
      <c r="B292" s="1" t="s">
        <v>242</v>
      </c>
      <c r="C292" s="1" t="s">
        <v>8</v>
      </c>
      <c r="D292" s="77">
        <v>38356</v>
      </c>
      <c r="E292" s="77">
        <v>38356</v>
      </c>
      <c r="F292" s="77"/>
      <c r="G292" s="8">
        <v>660</v>
      </c>
      <c r="H292" s="1" t="s">
        <v>8</v>
      </c>
      <c r="I292" s="78">
        <v>5</v>
      </c>
      <c r="J292" s="8">
        <v>660</v>
      </c>
      <c r="K292" s="8">
        <f t="shared" si="44"/>
        <v>0</v>
      </c>
      <c r="L292" s="8">
        <f t="shared" si="45"/>
        <v>660</v>
      </c>
      <c r="M292" s="57">
        <f t="shared" si="46"/>
        <v>0</v>
      </c>
      <c r="N292" s="57">
        <f t="shared" si="47"/>
        <v>0</v>
      </c>
      <c r="O292" s="57">
        <f>ROUND(Dot_ex($D292,$E292,$F292,$G292,$H292,$I292,$L292+SUM($N292:N292),E$115,E$117,E$117),2)</f>
        <v>0</v>
      </c>
      <c r="P292" s="57">
        <f>ROUND(Dot_ex($D292,$E292,$F292,$G292,$H292,$I292,$L292+SUM($N292:O292),F$115,F$117,F$117),2)</f>
        <v>0</v>
      </c>
      <c r="Q292" s="57">
        <f>ROUND(Dot_ex($D292,$E292,$F292,$G292,$H292,$I292,$L292+SUM($N292:P292),G$115,G$117,G$117),2)</f>
        <v>0</v>
      </c>
      <c r="R292" s="57">
        <f>ROUND(Dot_ex($D292,$E292,$F292,$G292,$H292,$I292,$L292+SUM($N292:Q292),H$115,H$117,H$117),2)</f>
        <v>0</v>
      </c>
      <c r="S292" s="57">
        <f>ROUND(Dot_ex($D292,$E292,$F292,$G292,$H292,$I292,$L292+SUM($N292:R292),I$115,I$117,I$117),2)</f>
        <v>0</v>
      </c>
      <c r="T292" s="57">
        <f>ROUND(Dot_ex($D292,$E292,$F292,$G292,$H292,$I292,$L292+SUM($N292:S292),J$115,J$117,J$117),2)</f>
        <v>0</v>
      </c>
      <c r="U292" s="57">
        <f>ROUND(Dot_ex($D292,$E292,$F292,$G292,$H292,$I292,$L292+SUM($N292:T292),K$115,K$117,K$117),2)</f>
        <v>0</v>
      </c>
      <c r="V292" s="57">
        <f>ROUND(Dot_ex($D292,$E292,$F292,$G292,$H292,$I292,$L292+SUM($N292:U292),L$115,L$117,L$117),2)</f>
        <v>0</v>
      </c>
      <c r="W292" s="57">
        <f>ROUND(Dot_ex($D292,$E292,$F292,$G292,$H292,$I292,$L292+SUM($N292:V292),M$115,M$117,M$117),2)</f>
        <v>0</v>
      </c>
    </row>
    <row r="293" spans="1:23" x14ac:dyDescent="0.2">
      <c r="A293" s="107">
        <f t="shared" ca="1" si="40"/>
        <v>87</v>
      </c>
      <c r="B293" s="1" t="s">
        <v>243</v>
      </c>
      <c r="C293" s="1" t="s">
        <v>8</v>
      </c>
      <c r="D293" s="77">
        <v>38384</v>
      </c>
      <c r="E293" s="77">
        <v>38384</v>
      </c>
      <c r="F293" s="77"/>
      <c r="G293" s="8">
        <v>7500</v>
      </c>
      <c r="H293" s="1" t="s">
        <v>8</v>
      </c>
      <c r="I293" s="78">
        <v>5</v>
      </c>
      <c r="J293" s="8">
        <v>7500</v>
      </c>
      <c r="K293" s="8">
        <f t="shared" ref="K293:K303" si="48">ROUND(Dot_ex(D293,E293,F293,G293,H293,I293,J293,$G$6,$I$6,$I$8),2)</f>
        <v>0</v>
      </c>
      <c r="L293" s="8">
        <f t="shared" ref="L293:L303" si="49">J293+K293</f>
        <v>7500</v>
      </c>
      <c r="M293" s="57">
        <f t="shared" ref="M293:M303" si="50">G293-L293</f>
        <v>0</v>
      </c>
      <c r="N293" s="57">
        <f t="shared" si="47"/>
        <v>0</v>
      </c>
      <c r="O293" s="57">
        <f>ROUND(Dot_ex($D293,$E293,$F293,$G293,$H293,$I293,$L293+SUM($N293:N293),E$115,E$117,E$117),2)</f>
        <v>0</v>
      </c>
      <c r="P293" s="57">
        <f>ROUND(Dot_ex($D293,$E293,$F293,$G293,$H293,$I293,$L293+SUM($N293:O293),F$115,F$117,F$117),2)</f>
        <v>0</v>
      </c>
      <c r="Q293" s="57">
        <f>ROUND(Dot_ex($D293,$E293,$F293,$G293,$H293,$I293,$L293+SUM($N293:P293),G$115,G$117,G$117),2)</f>
        <v>0</v>
      </c>
      <c r="R293" s="57">
        <f>ROUND(Dot_ex($D293,$E293,$F293,$G293,$H293,$I293,$L293+SUM($N293:Q293),H$115,H$117,H$117),2)</f>
        <v>0</v>
      </c>
      <c r="S293" s="57">
        <f>ROUND(Dot_ex($D293,$E293,$F293,$G293,$H293,$I293,$L293+SUM($N293:R293),I$115,I$117,I$117),2)</f>
        <v>0</v>
      </c>
      <c r="T293" s="57">
        <f>ROUND(Dot_ex($D293,$E293,$F293,$G293,$H293,$I293,$L293+SUM($N293:S293),J$115,J$117,J$117),2)</f>
        <v>0</v>
      </c>
      <c r="U293" s="57">
        <f>ROUND(Dot_ex($D293,$E293,$F293,$G293,$H293,$I293,$L293+SUM($N293:T293),K$115,K$117,K$117),2)</f>
        <v>0</v>
      </c>
      <c r="V293" s="57">
        <f>ROUND(Dot_ex($D293,$E293,$F293,$G293,$H293,$I293,$L293+SUM($N293:U293),L$115,L$117,L$117),2)</f>
        <v>0</v>
      </c>
      <c r="W293" s="57">
        <f>ROUND(Dot_ex($D293,$E293,$F293,$G293,$H293,$I293,$L293+SUM($N293:V293),M$115,M$117,M$117),2)</f>
        <v>0</v>
      </c>
    </row>
    <row r="294" spans="1:23" x14ac:dyDescent="0.2">
      <c r="A294" s="107">
        <f t="shared" ca="1" si="40"/>
        <v>88</v>
      </c>
      <c r="B294" s="1" t="s">
        <v>244</v>
      </c>
      <c r="C294" s="1" t="s">
        <v>8</v>
      </c>
      <c r="D294" s="77">
        <v>38384</v>
      </c>
      <c r="E294" s="77">
        <v>38384</v>
      </c>
      <c r="F294" s="77"/>
      <c r="G294" s="8">
        <v>1935</v>
      </c>
      <c r="H294" s="1" t="s">
        <v>8</v>
      </c>
      <c r="I294" s="78">
        <v>5</v>
      </c>
      <c r="J294" s="8">
        <v>1935</v>
      </c>
      <c r="K294" s="8">
        <f t="shared" si="48"/>
        <v>0</v>
      </c>
      <c r="L294" s="8">
        <f t="shared" si="49"/>
        <v>1935</v>
      </c>
      <c r="M294" s="57">
        <f t="shared" si="50"/>
        <v>0</v>
      </c>
      <c r="N294" s="57">
        <f t="shared" si="47"/>
        <v>0</v>
      </c>
      <c r="O294" s="57">
        <f>ROUND(Dot_ex($D294,$E294,$F294,$G294,$H294,$I294,$L294+SUM($N294:N294),E$115,E$117,E$117),2)</f>
        <v>0</v>
      </c>
      <c r="P294" s="57">
        <f>ROUND(Dot_ex($D294,$E294,$F294,$G294,$H294,$I294,$L294+SUM($N294:O294),F$115,F$117,F$117),2)</f>
        <v>0</v>
      </c>
      <c r="Q294" s="57">
        <f>ROUND(Dot_ex($D294,$E294,$F294,$G294,$H294,$I294,$L294+SUM($N294:P294),G$115,G$117,G$117),2)</f>
        <v>0</v>
      </c>
      <c r="R294" s="57">
        <f>ROUND(Dot_ex($D294,$E294,$F294,$G294,$H294,$I294,$L294+SUM($N294:Q294),H$115,H$117,H$117),2)</f>
        <v>0</v>
      </c>
      <c r="S294" s="57">
        <f>ROUND(Dot_ex($D294,$E294,$F294,$G294,$H294,$I294,$L294+SUM($N294:R294),I$115,I$117,I$117),2)</f>
        <v>0</v>
      </c>
      <c r="T294" s="57">
        <f>ROUND(Dot_ex($D294,$E294,$F294,$G294,$H294,$I294,$L294+SUM($N294:S294),J$115,J$117,J$117),2)</f>
        <v>0</v>
      </c>
      <c r="U294" s="57">
        <f>ROUND(Dot_ex($D294,$E294,$F294,$G294,$H294,$I294,$L294+SUM($N294:T294),K$115,K$117,K$117),2)</f>
        <v>0</v>
      </c>
      <c r="V294" s="57">
        <f>ROUND(Dot_ex($D294,$E294,$F294,$G294,$H294,$I294,$L294+SUM($N294:U294),L$115,L$117,L$117),2)</f>
        <v>0</v>
      </c>
      <c r="W294" s="57">
        <f>ROUND(Dot_ex($D294,$E294,$F294,$G294,$H294,$I294,$L294+SUM($N294:V294),M$115,M$117,M$117),2)</f>
        <v>0</v>
      </c>
    </row>
    <row r="295" spans="1:23" x14ac:dyDescent="0.2">
      <c r="A295" s="107">
        <f t="shared" ca="1" si="40"/>
        <v>89</v>
      </c>
      <c r="B295" s="1" t="s">
        <v>245</v>
      </c>
      <c r="C295" s="1" t="s">
        <v>8</v>
      </c>
      <c r="D295" s="77">
        <v>38434</v>
      </c>
      <c r="E295" s="77">
        <v>38434</v>
      </c>
      <c r="F295" s="77"/>
      <c r="G295" s="8">
        <v>2080</v>
      </c>
      <c r="H295" s="1" t="s">
        <v>8</v>
      </c>
      <c r="I295" s="78">
        <v>5</v>
      </c>
      <c r="J295" s="8">
        <v>2080</v>
      </c>
      <c r="K295" s="8">
        <f t="shared" si="48"/>
        <v>0</v>
      </c>
      <c r="L295" s="8">
        <f t="shared" si="49"/>
        <v>2080</v>
      </c>
      <c r="M295" s="57">
        <f t="shared" si="50"/>
        <v>0</v>
      </c>
      <c r="N295" s="57">
        <f t="shared" si="47"/>
        <v>0</v>
      </c>
      <c r="O295" s="57">
        <f>ROUND(Dot_ex($D295,$E295,$F295,$G295,$H295,$I295,$L295+SUM($N295:N295),E$115,E$117,E$117),2)</f>
        <v>0</v>
      </c>
      <c r="P295" s="57">
        <f>ROUND(Dot_ex($D295,$E295,$F295,$G295,$H295,$I295,$L295+SUM($N295:O295),F$115,F$117,F$117),2)</f>
        <v>0</v>
      </c>
      <c r="Q295" s="57">
        <f>ROUND(Dot_ex($D295,$E295,$F295,$G295,$H295,$I295,$L295+SUM($N295:P295),G$115,G$117,G$117),2)</f>
        <v>0</v>
      </c>
      <c r="R295" s="57">
        <f>ROUND(Dot_ex($D295,$E295,$F295,$G295,$H295,$I295,$L295+SUM($N295:Q295),H$115,H$117,H$117),2)</f>
        <v>0</v>
      </c>
      <c r="S295" s="57">
        <f>ROUND(Dot_ex($D295,$E295,$F295,$G295,$H295,$I295,$L295+SUM($N295:R295),I$115,I$117,I$117),2)</f>
        <v>0</v>
      </c>
      <c r="T295" s="57">
        <f>ROUND(Dot_ex($D295,$E295,$F295,$G295,$H295,$I295,$L295+SUM($N295:S295),J$115,J$117,J$117),2)</f>
        <v>0</v>
      </c>
      <c r="U295" s="57">
        <f>ROUND(Dot_ex($D295,$E295,$F295,$G295,$H295,$I295,$L295+SUM($N295:T295),K$115,K$117,K$117),2)</f>
        <v>0</v>
      </c>
      <c r="V295" s="57">
        <f>ROUND(Dot_ex($D295,$E295,$F295,$G295,$H295,$I295,$L295+SUM($N295:U295),L$115,L$117,L$117),2)</f>
        <v>0</v>
      </c>
      <c r="W295" s="57">
        <f>ROUND(Dot_ex($D295,$E295,$F295,$G295,$H295,$I295,$L295+SUM($N295:V295),M$115,M$117,M$117),2)</f>
        <v>0</v>
      </c>
    </row>
    <row r="296" spans="1:23" x14ac:dyDescent="0.2">
      <c r="A296" s="107">
        <f t="shared" ca="1" si="40"/>
        <v>90</v>
      </c>
      <c r="B296" s="1" t="s">
        <v>246</v>
      </c>
      <c r="C296" s="1" t="s">
        <v>8</v>
      </c>
      <c r="D296" s="77">
        <v>38440</v>
      </c>
      <c r="E296" s="77">
        <v>38440</v>
      </c>
      <c r="F296" s="77"/>
      <c r="G296" s="8">
        <v>929.18</v>
      </c>
      <c r="H296" s="1" t="s">
        <v>8</v>
      </c>
      <c r="I296" s="78">
        <v>5</v>
      </c>
      <c r="J296" s="8">
        <v>929.18</v>
      </c>
      <c r="K296" s="8">
        <f t="shared" si="48"/>
        <v>0</v>
      </c>
      <c r="L296" s="8">
        <f t="shared" si="49"/>
        <v>929.18</v>
      </c>
      <c r="M296" s="57">
        <f t="shared" si="50"/>
        <v>0</v>
      </c>
      <c r="N296" s="57">
        <f t="shared" si="47"/>
        <v>0</v>
      </c>
      <c r="O296" s="57">
        <f>ROUND(Dot_ex($D296,$E296,$F296,$G296,$H296,$I296,$L296+SUM($N296:N296),E$115,E$117,E$117),2)</f>
        <v>0</v>
      </c>
      <c r="P296" s="57">
        <f>ROUND(Dot_ex($D296,$E296,$F296,$G296,$H296,$I296,$L296+SUM($N296:O296),F$115,F$117,F$117),2)</f>
        <v>0</v>
      </c>
      <c r="Q296" s="57">
        <f>ROUND(Dot_ex($D296,$E296,$F296,$G296,$H296,$I296,$L296+SUM($N296:P296),G$115,G$117,G$117),2)</f>
        <v>0</v>
      </c>
      <c r="R296" s="57">
        <f>ROUND(Dot_ex($D296,$E296,$F296,$G296,$H296,$I296,$L296+SUM($N296:Q296),H$115,H$117,H$117),2)</f>
        <v>0</v>
      </c>
      <c r="S296" s="57">
        <f>ROUND(Dot_ex($D296,$E296,$F296,$G296,$H296,$I296,$L296+SUM($N296:R296),I$115,I$117,I$117),2)</f>
        <v>0</v>
      </c>
      <c r="T296" s="57">
        <f>ROUND(Dot_ex($D296,$E296,$F296,$G296,$H296,$I296,$L296+SUM($N296:S296),J$115,J$117,J$117),2)</f>
        <v>0</v>
      </c>
      <c r="U296" s="57">
        <f>ROUND(Dot_ex($D296,$E296,$F296,$G296,$H296,$I296,$L296+SUM($N296:T296),K$115,K$117,K$117),2)</f>
        <v>0</v>
      </c>
      <c r="V296" s="57">
        <f>ROUND(Dot_ex($D296,$E296,$F296,$G296,$H296,$I296,$L296+SUM($N296:U296),L$115,L$117,L$117),2)</f>
        <v>0</v>
      </c>
      <c r="W296" s="57">
        <f>ROUND(Dot_ex($D296,$E296,$F296,$G296,$H296,$I296,$L296+SUM($N296:V296),M$115,M$117,M$117),2)</f>
        <v>0</v>
      </c>
    </row>
    <row r="297" spans="1:23" x14ac:dyDescent="0.2">
      <c r="A297" s="107">
        <f t="shared" ca="1" si="40"/>
        <v>91</v>
      </c>
      <c r="B297" s="1" t="s">
        <v>247</v>
      </c>
      <c r="C297" s="1" t="s">
        <v>8</v>
      </c>
      <c r="D297" s="77">
        <v>38450</v>
      </c>
      <c r="E297" s="77">
        <v>38450</v>
      </c>
      <c r="F297" s="77"/>
      <c r="G297" s="8">
        <v>20500</v>
      </c>
      <c r="H297" s="1" t="s">
        <v>8</v>
      </c>
      <c r="I297" s="78">
        <v>5</v>
      </c>
      <c r="J297" s="8">
        <v>20500</v>
      </c>
      <c r="K297" s="8">
        <f t="shared" si="48"/>
        <v>0</v>
      </c>
      <c r="L297" s="8">
        <f t="shared" si="49"/>
        <v>20500</v>
      </c>
      <c r="M297" s="57">
        <f t="shared" si="50"/>
        <v>0</v>
      </c>
      <c r="N297" s="57">
        <f t="shared" si="47"/>
        <v>0</v>
      </c>
      <c r="O297" s="57">
        <f>ROUND(Dot_ex($D297,$E297,$F297,$G297,$H297,$I297,$L297+SUM($N297:N297),E$115,E$117,E$117),2)</f>
        <v>0</v>
      </c>
      <c r="P297" s="57">
        <f>ROUND(Dot_ex($D297,$E297,$F297,$G297,$H297,$I297,$L297+SUM($N297:O297),F$115,F$117,F$117),2)</f>
        <v>0</v>
      </c>
      <c r="Q297" s="57">
        <f>ROUND(Dot_ex($D297,$E297,$F297,$G297,$H297,$I297,$L297+SUM($N297:P297),G$115,G$117,G$117),2)</f>
        <v>0</v>
      </c>
      <c r="R297" s="57">
        <f>ROUND(Dot_ex($D297,$E297,$F297,$G297,$H297,$I297,$L297+SUM($N297:Q297),H$115,H$117,H$117),2)</f>
        <v>0</v>
      </c>
      <c r="S297" s="57">
        <f>ROUND(Dot_ex($D297,$E297,$F297,$G297,$H297,$I297,$L297+SUM($N297:R297),I$115,I$117,I$117),2)</f>
        <v>0</v>
      </c>
      <c r="T297" s="57">
        <f>ROUND(Dot_ex($D297,$E297,$F297,$G297,$H297,$I297,$L297+SUM($N297:S297),J$115,J$117,J$117),2)</f>
        <v>0</v>
      </c>
      <c r="U297" s="57">
        <f>ROUND(Dot_ex($D297,$E297,$F297,$G297,$H297,$I297,$L297+SUM($N297:T297),K$115,K$117,K$117),2)</f>
        <v>0</v>
      </c>
      <c r="V297" s="57">
        <f>ROUND(Dot_ex($D297,$E297,$F297,$G297,$H297,$I297,$L297+SUM($N297:U297),L$115,L$117,L$117),2)</f>
        <v>0</v>
      </c>
      <c r="W297" s="57">
        <f>ROUND(Dot_ex($D297,$E297,$F297,$G297,$H297,$I297,$L297+SUM($N297:V297),M$115,M$117,M$117),2)</f>
        <v>0</v>
      </c>
    </row>
    <row r="298" spans="1:23" x14ac:dyDescent="0.2">
      <c r="A298" s="107">
        <f t="shared" ca="1" si="40"/>
        <v>92</v>
      </c>
      <c r="B298" s="1" t="s">
        <v>248</v>
      </c>
      <c r="C298" s="1" t="s">
        <v>8</v>
      </c>
      <c r="D298" s="77">
        <v>38463</v>
      </c>
      <c r="E298" s="77">
        <v>38463</v>
      </c>
      <c r="F298" s="77"/>
      <c r="G298" s="8">
        <v>6700</v>
      </c>
      <c r="H298" s="1" t="s">
        <v>8</v>
      </c>
      <c r="I298" s="78">
        <v>5</v>
      </c>
      <c r="J298" s="8">
        <v>6700</v>
      </c>
      <c r="K298" s="8">
        <f t="shared" si="48"/>
        <v>0</v>
      </c>
      <c r="L298" s="8">
        <f t="shared" si="49"/>
        <v>6700</v>
      </c>
      <c r="M298" s="57">
        <f t="shared" si="50"/>
        <v>0</v>
      </c>
      <c r="N298" s="57">
        <f t="shared" ref="N298:N304" si="51">ROUND(Dot_ex($D298,$E298,$F298,$G298,$H298,$I298,$L298,D$115,D$117,D$117),2)</f>
        <v>0</v>
      </c>
      <c r="O298" s="57">
        <f>ROUND(Dot_ex($D298,$E298,$F298,$G298,$H298,$I298,$L298+SUM($N298:N298),E$115,E$117,E$117),2)</f>
        <v>0</v>
      </c>
      <c r="P298" s="57">
        <f>ROUND(Dot_ex($D298,$E298,$F298,$G298,$H298,$I298,$L298+SUM($N298:O298),F$115,F$117,F$117),2)</f>
        <v>0</v>
      </c>
      <c r="Q298" s="57">
        <f>ROUND(Dot_ex($D298,$E298,$F298,$G298,$H298,$I298,$L298+SUM($N298:P298),G$115,G$117,G$117),2)</f>
        <v>0</v>
      </c>
      <c r="R298" s="57">
        <f>ROUND(Dot_ex($D298,$E298,$F298,$G298,$H298,$I298,$L298+SUM($N298:Q298),H$115,H$117,H$117),2)</f>
        <v>0</v>
      </c>
      <c r="S298" s="57">
        <f>ROUND(Dot_ex($D298,$E298,$F298,$G298,$H298,$I298,$L298+SUM($N298:R298),I$115,I$117,I$117),2)</f>
        <v>0</v>
      </c>
      <c r="T298" s="57">
        <f>ROUND(Dot_ex($D298,$E298,$F298,$G298,$H298,$I298,$L298+SUM($N298:S298),J$115,J$117,J$117),2)</f>
        <v>0</v>
      </c>
      <c r="U298" s="57">
        <f>ROUND(Dot_ex($D298,$E298,$F298,$G298,$H298,$I298,$L298+SUM($N298:T298),K$115,K$117,K$117),2)</f>
        <v>0</v>
      </c>
      <c r="V298" s="57">
        <f>ROUND(Dot_ex($D298,$E298,$F298,$G298,$H298,$I298,$L298+SUM($N298:U298),L$115,L$117,L$117),2)</f>
        <v>0</v>
      </c>
      <c r="W298" s="57">
        <f>ROUND(Dot_ex($D298,$E298,$F298,$G298,$H298,$I298,$L298+SUM($N298:V298),M$115,M$117,M$117),2)</f>
        <v>0</v>
      </c>
    </row>
    <row r="299" spans="1:23" x14ac:dyDescent="0.2">
      <c r="A299" s="107">
        <f t="shared" ref="A299:A310" ca="1" si="52">IF(ISNUMBER(A298),A298+1,OFFSET(A299,-Nbre_Ligne_Entre_Compte,0,1,1)+1)</f>
        <v>93</v>
      </c>
      <c r="B299" s="1" t="s">
        <v>255</v>
      </c>
      <c r="C299" s="1" t="s">
        <v>8</v>
      </c>
      <c r="D299" s="77">
        <v>38589</v>
      </c>
      <c r="E299" s="77">
        <v>38589</v>
      </c>
      <c r="F299" s="77"/>
      <c r="G299" s="8">
        <v>3200</v>
      </c>
      <c r="H299" s="1" t="s">
        <v>8</v>
      </c>
      <c r="I299" s="78">
        <v>5</v>
      </c>
      <c r="J299" s="8">
        <v>3200</v>
      </c>
      <c r="K299" s="8">
        <f t="shared" si="48"/>
        <v>0</v>
      </c>
      <c r="L299" s="8">
        <f t="shared" si="49"/>
        <v>3200</v>
      </c>
      <c r="M299" s="57">
        <f t="shared" si="50"/>
        <v>0</v>
      </c>
      <c r="N299" s="57">
        <f t="shared" si="51"/>
        <v>0</v>
      </c>
      <c r="O299" s="57">
        <f>ROUND(Dot_ex($D299,$E299,$F299,$G299,$H299,$I299,$L299+SUM($N299:N299),E$115,E$117,E$117),2)</f>
        <v>0</v>
      </c>
      <c r="P299" s="57">
        <f>ROUND(Dot_ex($D299,$E299,$F299,$G299,$H299,$I299,$L299+SUM($N299:O299),F$115,F$117,F$117),2)</f>
        <v>0</v>
      </c>
      <c r="Q299" s="57">
        <f>ROUND(Dot_ex($D299,$E299,$F299,$G299,$H299,$I299,$L299+SUM($N299:P299),G$115,G$117,G$117),2)</f>
        <v>0</v>
      </c>
      <c r="R299" s="57">
        <f>ROUND(Dot_ex($D299,$E299,$F299,$G299,$H299,$I299,$L299+SUM($N299:Q299),H$115,H$117,H$117),2)</f>
        <v>0</v>
      </c>
      <c r="S299" s="57">
        <f>ROUND(Dot_ex($D299,$E299,$F299,$G299,$H299,$I299,$L299+SUM($N299:R299),I$115,I$117,I$117),2)</f>
        <v>0</v>
      </c>
      <c r="T299" s="57">
        <f>ROUND(Dot_ex($D299,$E299,$F299,$G299,$H299,$I299,$L299+SUM($N299:S299),J$115,J$117,J$117),2)</f>
        <v>0</v>
      </c>
      <c r="U299" s="57">
        <f>ROUND(Dot_ex($D299,$E299,$F299,$G299,$H299,$I299,$L299+SUM($N299:T299),K$115,K$117,K$117),2)</f>
        <v>0</v>
      </c>
      <c r="V299" s="57">
        <f>ROUND(Dot_ex($D299,$E299,$F299,$G299,$H299,$I299,$L299+SUM($N299:U299),L$115,L$117,L$117),2)</f>
        <v>0</v>
      </c>
      <c r="W299" s="57">
        <f>ROUND(Dot_ex($D299,$E299,$F299,$G299,$H299,$I299,$L299+SUM($N299:V299),M$115,M$117,M$117),2)</f>
        <v>0</v>
      </c>
    </row>
    <row r="300" spans="1:23" x14ac:dyDescent="0.2">
      <c r="A300" s="107">
        <f t="shared" ca="1" si="52"/>
        <v>94</v>
      </c>
      <c r="B300" s="1" t="s">
        <v>258</v>
      </c>
      <c r="C300" s="1" t="s">
        <v>8</v>
      </c>
      <c r="D300" s="77">
        <v>38705</v>
      </c>
      <c r="E300" s="77">
        <v>38705</v>
      </c>
      <c r="F300" s="77"/>
      <c r="G300" s="8">
        <v>1846.2</v>
      </c>
      <c r="H300" s="1" t="s">
        <v>8</v>
      </c>
      <c r="I300" s="78">
        <v>5</v>
      </c>
      <c r="J300" s="8">
        <v>1846.2</v>
      </c>
      <c r="K300" s="8">
        <f t="shared" si="48"/>
        <v>0</v>
      </c>
      <c r="L300" s="8">
        <f t="shared" si="49"/>
        <v>1846.2</v>
      </c>
      <c r="M300" s="57">
        <f t="shared" si="50"/>
        <v>0</v>
      </c>
      <c r="N300" s="57">
        <f t="shared" si="51"/>
        <v>0</v>
      </c>
      <c r="O300" s="57">
        <f>ROUND(Dot_ex($D300,$E300,$F300,$G300,$H300,$I300,$L300+SUM($N300:N300),E$115,E$117,E$117),2)</f>
        <v>0</v>
      </c>
      <c r="P300" s="57">
        <f>ROUND(Dot_ex($D300,$E300,$F300,$G300,$H300,$I300,$L300+SUM($N300:O300),F$115,F$117,F$117),2)</f>
        <v>0</v>
      </c>
      <c r="Q300" s="57">
        <f>ROUND(Dot_ex($D300,$E300,$F300,$G300,$H300,$I300,$L300+SUM($N300:P300),G$115,G$117,G$117),2)</f>
        <v>0</v>
      </c>
      <c r="R300" s="57">
        <f>ROUND(Dot_ex($D300,$E300,$F300,$G300,$H300,$I300,$L300+SUM($N300:Q300),H$115,H$117,H$117),2)</f>
        <v>0</v>
      </c>
      <c r="S300" s="57">
        <f>ROUND(Dot_ex($D300,$E300,$F300,$G300,$H300,$I300,$L300+SUM($N300:R300),I$115,I$117,I$117),2)</f>
        <v>0</v>
      </c>
      <c r="T300" s="57">
        <f>ROUND(Dot_ex($D300,$E300,$F300,$G300,$H300,$I300,$L300+SUM($N300:S300),J$115,J$117,J$117),2)</f>
        <v>0</v>
      </c>
      <c r="U300" s="57">
        <f>ROUND(Dot_ex($D300,$E300,$F300,$G300,$H300,$I300,$L300+SUM($N300:T300),K$115,K$117,K$117),2)</f>
        <v>0</v>
      </c>
      <c r="V300" s="57">
        <f>ROUND(Dot_ex($D300,$E300,$F300,$G300,$H300,$I300,$L300+SUM($N300:U300),L$115,L$117,L$117),2)</f>
        <v>0</v>
      </c>
      <c r="W300" s="57">
        <f>ROUND(Dot_ex($D300,$E300,$F300,$G300,$H300,$I300,$L300+SUM($N300:V300),M$115,M$117,M$117),2)</f>
        <v>0</v>
      </c>
    </row>
    <row r="301" spans="1:23" x14ac:dyDescent="0.2">
      <c r="A301" s="107">
        <f t="shared" ca="1" si="52"/>
        <v>95</v>
      </c>
      <c r="B301" s="1" t="s">
        <v>259</v>
      </c>
      <c r="C301" s="1" t="s">
        <v>8</v>
      </c>
      <c r="D301" s="77">
        <v>38709</v>
      </c>
      <c r="E301" s="77">
        <v>38709</v>
      </c>
      <c r="F301" s="77"/>
      <c r="G301" s="8">
        <v>25385</v>
      </c>
      <c r="H301" s="1" t="s">
        <v>8</v>
      </c>
      <c r="I301" s="78">
        <v>5</v>
      </c>
      <c r="J301" s="8">
        <v>25385</v>
      </c>
      <c r="K301" s="8">
        <f t="shared" si="48"/>
        <v>0</v>
      </c>
      <c r="L301" s="8">
        <f t="shared" si="49"/>
        <v>25385</v>
      </c>
      <c r="M301" s="57">
        <f t="shared" si="50"/>
        <v>0</v>
      </c>
      <c r="N301" s="57">
        <f t="shared" si="51"/>
        <v>0</v>
      </c>
      <c r="O301" s="57">
        <f>ROUND(Dot_ex($D301,$E301,$F301,$G301,$H301,$I301,$L301+SUM($N301:N301),E$115,E$117,E$117),2)</f>
        <v>0</v>
      </c>
      <c r="P301" s="57">
        <f>ROUND(Dot_ex($D301,$E301,$F301,$G301,$H301,$I301,$L301+SUM($N301:O301),F$115,F$117,F$117),2)</f>
        <v>0</v>
      </c>
      <c r="Q301" s="57">
        <f>ROUND(Dot_ex($D301,$E301,$F301,$G301,$H301,$I301,$L301+SUM($N301:P301),G$115,G$117,G$117),2)</f>
        <v>0</v>
      </c>
      <c r="R301" s="57">
        <f>ROUND(Dot_ex($D301,$E301,$F301,$G301,$H301,$I301,$L301+SUM($N301:Q301),H$115,H$117,H$117),2)</f>
        <v>0</v>
      </c>
      <c r="S301" s="57">
        <f>ROUND(Dot_ex($D301,$E301,$F301,$G301,$H301,$I301,$L301+SUM($N301:R301),I$115,I$117,I$117),2)</f>
        <v>0</v>
      </c>
      <c r="T301" s="57">
        <f>ROUND(Dot_ex($D301,$E301,$F301,$G301,$H301,$I301,$L301+SUM($N301:S301),J$115,J$117,J$117),2)</f>
        <v>0</v>
      </c>
      <c r="U301" s="57">
        <f>ROUND(Dot_ex($D301,$E301,$F301,$G301,$H301,$I301,$L301+SUM($N301:T301),K$115,K$117,K$117),2)</f>
        <v>0</v>
      </c>
      <c r="V301" s="57">
        <f>ROUND(Dot_ex($D301,$E301,$F301,$G301,$H301,$I301,$L301+SUM($N301:U301),L$115,L$117,L$117),2)</f>
        <v>0</v>
      </c>
      <c r="W301" s="57">
        <f>ROUND(Dot_ex($D301,$E301,$F301,$G301,$H301,$I301,$L301+SUM($N301:V301),M$115,M$117,M$117),2)</f>
        <v>0</v>
      </c>
    </row>
    <row r="302" spans="1:23" x14ac:dyDescent="0.2">
      <c r="A302" s="107">
        <f t="shared" ca="1" si="52"/>
        <v>96</v>
      </c>
      <c r="B302" s="1" t="s">
        <v>259</v>
      </c>
      <c r="C302" s="1" t="s">
        <v>8</v>
      </c>
      <c r="D302" s="77">
        <v>38714</v>
      </c>
      <c r="E302" s="77">
        <v>38714</v>
      </c>
      <c r="F302" s="77"/>
      <c r="G302" s="8">
        <v>25385</v>
      </c>
      <c r="H302" s="1" t="s">
        <v>8</v>
      </c>
      <c r="I302" s="78">
        <v>5</v>
      </c>
      <c r="J302" s="8">
        <v>25385</v>
      </c>
      <c r="K302" s="8">
        <f t="shared" si="48"/>
        <v>0</v>
      </c>
      <c r="L302" s="8">
        <f t="shared" si="49"/>
        <v>25385</v>
      </c>
      <c r="M302" s="57">
        <f t="shared" si="50"/>
        <v>0</v>
      </c>
      <c r="N302" s="57">
        <f t="shared" si="51"/>
        <v>0</v>
      </c>
      <c r="O302" s="57">
        <f>ROUND(Dot_ex($D302,$E302,$F302,$G302,$H302,$I302,$L302+SUM($N302:N302),E$115,E$117,E$117),2)</f>
        <v>0</v>
      </c>
      <c r="P302" s="57">
        <f>ROUND(Dot_ex($D302,$E302,$F302,$G302,$H302,$I302,$L302+SUM($N302:O302),F$115,F$117,F$117),2)</f>
        <v>0</v>
      </c>
      <c r="Q302" s="57">
        <f>ROUND(Dot_ex($D302,$E302,$F302,$G302,$H302,$I302,$L302+SUM($N302:P302),G$115,G$117,G$117),2)</f>
        <v>0</v>
      </c>
      <c r="R302" s="57">
        <f>ROUND(Dot_ex($D302,$E302,$F302,$G302,$H302,$I302,$L302+SUM($N302:Q302),H$115,H$117,H$117),2)</f>
        <v>0</v>
      </c>
      <c r="S302" s="57">
        <f>ROUND(Dot_ex($D302,$E302,$F302,$G302,$H302,$I302,$L302+SUM($N302:R302),I$115,I$117,I$117),2)</f>
        <v>0</v>
      </c>
      <c r="T302" s="57">
        <f>ROUND(Dot_ex($D302,$E302,$F302,$G302,$H302,$I302,$L302+SUM($N302:S302),J$115,J$117,J$117),2)</f>
        <v>0</v>
      </c>
      <c r="U302" s="57">
        <f>ROUND(Dot_ex($D302,$E302,$F302,$G302,$H302,$I302,$L302+SUM($N302:T302),K$115,K$117,K$117),2)</f>
        <v>0</v>
      </c>
      <c r="V302" s="57">
        <f>ROUND(Dot_ex($D302,$E302,$F302,$G302,$H302,$I302,$L302+SUM($N302:U302),L$115,L$117,L$117),2)</f>
        <v>0</v>
      </c>
      <c r="W302" s="57">
        <f>ROUND(Dot_ex($D302,$E302,$F302,$G302,$H302,$I302,$L302+SUM($N302:V302),M$115,M$117,M$117),2)</f>
        <v>0</v>
      </c>
    </row>
    <row r="303" spans="1:23" x14ac:dyDescent="0.2">
      <c r="A303" s="107">
        <f t="shared" ca="1" si="52"/>
        <v>97</v>
      </c>
      <c r="B303" s="1" t="s">
        <v>260</v>
      </c>
      <c r="C303" s="1" t="s">
        <v>8</v>
      </c>
      <c r="D303" s="77">
        <v>38828</v>
      </c>
      <c r="E303" s="77">
        <v>38828</v>
      </c>
      <c r="F303" s="77"/>
      <c r="G303" s="8">
        <v>2551</v>
      </c>
      <c r="H303" s="1" t="s">
        <v>8</v>
      </c>
      <c r="I303" s="78">
        <v>5</v>
      </c>
      <c r="J303" s="8">
        <v>2551</v>
      </c>
      <c r="K303" s="8">
        <f t="shared" si="48"/>
        <v>0</v>
      </c>
      <c r="L303" s="8">
        <f t="shared" si="49"/>
        <v>2551</v>
      </c>
      <c r="M303" s="57">
        <f t="shared" si="50"/>
        <v>0</v>
      </c>
      <c r="N303" s="57">
        <f t="shared" si="51"/>
        <v>0</v>
      </c>
      <c r="O303" s="57">
        <f>ROUND(Dot_ex($D303,$E303,$F303,$G303,$H303,$I303,$L303+SUM($N303:N303),E$115,E$117,E$117),2)</f>
        <v>0</v>
      </c>
      <c r="P303" s="57">
        <f>ROUND(Dot_ex($D303,$E303,$F303,$G303,$H303,$I303,$L303+SUM($N303:O303),F$115,F$117,F$117),2)</f>
        <v>0</v>
      </c>
      <c r="Q303" s="57">
        <f>ROUND(Dot_ex($D303,$E303,$F303,$G303,$H303,$I303,$L303+SUM($N303:P303),G$115,G$117,G$117),2)</f>
        <v>0</v>
      </c>
      <c r="R303" s="57">
        <f>ROUND(Dot_ex($D303,$E303,$F303,$G303,$H303,$I303,$L303+SUM($N303:Q303),H$115,H$117,H$117),2)</f>
        <v>0</v>
      </c>
      <c r="S303" s="57">
        <f>ROUND(Dot_ex($D303,$E303,$F303,$G303,$H303,$I303,$L303+SUM($N303:R303),I$115,I$117,I$117),2)</f>
        <v>0</v>
      </c>
      <c r="T303" s="57">
        <f>ROUND(Dot_ex($D303,$E303,$F303,$G303,$H303,$I303,$L303+SUM($N303:S303),J$115,J$117,J$117),2)</f>
        <v>0</v>
      </c>
      <c r="U303" s="57">
        <f>ROUND(Dot_ex($D303,$E303,$F303,$G303,$H303,$I303,$L303+SUM($N303:T303),K$115,K$117,K$117),2)</f>
        <v>0</v>
      </c>
      <c r="V303" s="57">
        <f>ROUND(Dot_ex($D303,$E303,$F303,$G303,$H303,$I303,$L303+SUM($N303:U303),L$115,L$117,L$117),2)</f>
        <v>0</v>
      </c>
      <c r="W303" s="57">
        <f>ROUND(Dot_ex($D303,$E303,$F303,$G303,$H303,$I303,$L303+SUM($N303:V303),M$115,M$117,M$117),2)</f>
        <v>0</v>
      </c>
    </row>
    <row r="304" spans="1:23" x14ac:dyDescent="0.2">
      <c r="A304" s="107">
        <f t="shared" ca="1" si="52"/>
        <v>98</v>
      </c>
      <c r="B304" s="1" t="s">
        <v>276</v>
      </c>
      <c r="C304" s="1" t="s">
        <v>8</v>
      </c>
      <c r="D304" s="77">
        <v>39300</v>
      </c>
      <c r="E304" s="77">
        <v>39300</v>
      </c>
      <c r="F304" s="77"/>
      <c r="G304" s="8">
        <v>3130</v>
      </c>
      <c r="H304" s="1" t="s">
        <v>8</v>
      </c>
      <c r="I304" s="78">
        <v>5</v>
      </c>
      <c r="J304" s="8">
        <v>3068.43</v>
      </c>
      <c r="K304" s="8">
        <f>ROUND(Dot_ex(D304,E304,F304,G304,H304,I304,J304,$G$6,$I$6,$I$8),2)</f>
        <v>61.57</v>
      </c>
      <c r="L304" s="8">
        <f>J304+K304</f>
        <v>3130</v>
      </c>
      <c r="M304" s="57">
        <f>G304-L304</f>
        <v>0</v>
      </c>
      <c r="N304" s="57">
        <f t="shared" si="51"/>
        <v>0</v>
      </c>
      <c r="O304" s="57">
        <f>ROUND(Dot_ex($D304,$E304,$F304,$G304,$H304,$I304,$L304+SUM($N304:N304),E$115,E$117,E$117),2)</f>
        <v>0</v>
      </c>
      <c r="P304" s="57">
        <f>ROUND(Dot_ex($D304,$E304,$F304,$G304,$H304,$I304,$L304+SUM($N304:O304),F$115,F$117,F$117),2)</f>
        <v>0</v>
      </c>
      <c r="Q304" s="57">
        <f>ROUND(Dot_ex($D304,$E304,$F304,$G304,$H304,$I304,$L304+SUM($N304:P304),G$115,G$117,G$117),2)</f>
        <v>0</v>
      </c>
      <c r="R304" s="57">
        <f>ROUND(Dot_ex($D304,$E304,$F304,$G304,$H304,$I304,$L304+SUM($N304:Q304),H$115,H$117,H$117),2)</f>
        <v>0</v>
      </c>
      <c r="S304" s="57">
        <f>ROUND(Dot_ex($D304,$E304,$F304,$G304,$H304,$I304,$L304+SUM($N304:R304),I$115,I$117,I$117),2)</f>
        <v>0</v>
      </c>
      <c r="T304" s="57">
        <f>ROUND(Dot_ex($D304,$E304,$F304,$G304,$H304,$I304,$L304+SUM($N304:S304),J$115,J$117,J$117),2)</f>
        <v>0</v>
      </c>
      <c r="U304" s="57">
        <f>ROUND(Dot_ex($D304,$E304,$F304,$G304,$H304,$I304,$L304+SUM($N304:T304),K$115,K$117,K$117),2)</f>
        <v>0</v>
      </c>
      <c r="V304" s="57">
        <f>ROUND(Dot_ex($D304,$E304,$F304,$G304,$H304,$I304,$L304+SUM($N304:U304),L$115,L$117,L$117),2)</f>
        <v>0</v>
      </c>
      <c r="W304" s="57">
        <f>ROUND(Dot_ex($D304,$E304,$F304,$G304,$H304,$I304,$L304+SUM($N304:V304),M$115,M$117,M$117),2)</f>
        <v>0</v>
      </c>
    </row>
    <row r="305" spans="1:23" x14ac:dyDescent="0.2">
      <c r="A305" s="107">
        <f t="shared" ca="1" si="52"/>
        <v>99</v>
      </c>
      <c r="B305" s="1" t="s">
        <v>284</v>
      </c>
      <c r="C305" s="1" t="s">
        <v>8</v>
      </c>
      <c r="D305" s="77">
        <v>40001</v>
      </c>
      <c r="E305" s="77">
        <v>40001</v>
      </c>
      <c r="F305" s="77"/>
      <c r="G305" s="8">
        <v>1931.43</v>
      </c>
      <c r="H305" s="1" t="s">
        <v>8</v>
      </c>
      <c r="I305" s="78">
        <v>5</v>
      </c>
      <c r="J305" s="8">
        <v>1152.52</v>
      </c>
      <c r="K305" s="8">
        <f>ROUND(Dot_ex(D305,E305,F305,G305,H305,I305,J305,$G$6,$I$6,$I$8),2)</f>
        <v>386.29</v>
      </c>
      <c r="L305" s="8">
        <f>J305+K305</f>
        <v>1538.81</v>
      </c>
      <c r="M305" s="57">
        <f>G305-L305</f>
        <v>392.62000000000012</v>
      </c>
      <c r="N305" s="57">
        <f>ROUND(Dot_ex($D305,$E305,$F305,$G305,$H305,$I305,$L305,D$115,D$117,D$117),2)</f>
        <v>386.29</v>
      </c>
      <c r="O305" s="57">
        <f>ROUND(Dot_ex($D305,$E305,$F305,$G305,$H305,$I305,$L305+SUM($N305:N305),E$115,E$117,E$117),2)</f>
        <v>6.33</v>
      </c>
      <c r="P305" s="57">
        <f>ROUND(Dot_ex($D305,$E305,$F305,$G305,$H305,$I305,$L305+SUM($N305:O305),F$115,F$117,F$117),2)</f>
        <v>0</v>
      </c>
      <c r="Q305" s="57">
        <f>ROUND(Dot_ex($D305,$E305,$F305,$G305,$H305,$I305,$L305+SUM($N305:P305),G$115,G$117,G$117),2)</f>
        <v>0</v>
      </c>
      <c r="R305" s="57">
        <f>ROUND(Dot_ex($D305,$E305,$F305,$G305,$H305,$I305,$L305+SUM($N305:Q305),H$115,H$117,H$117),2)</f>
        <v>0</v>
      </c>
      <c r="S305" s="57">
        <f>ROUND(Dot_ex($D305,$E305,$F305,$G305,$H305,$I305,$L305+SUM($N305:R305),I$115,I$117,I$117),2)</f>
        <v>0</v>
      </c>
      <c r="T305" s="57">
        <f>ROUND(Dot_ex($D305,$E305,$F305,$G305,$H305,$I305,$L305+SUM($N305:S305),J$115,J$117,J$117),2)</f>
        <v>0</v>
      </c>
      <c r="U305" s="57">
        <f>ROUND(Dot_ex($D305,$E305,$F305,$G305,$H305,$I305,$L305+SUM($N305:T305),K$115,K$117,K$117),2)</f>
        <v>0</v>
      </c>
      <c r="V305" s="57">
        <f>ROUND(Dot_ex($D305,$E305,$F305,$G305,$H305,$I305,$L305+SUM($N305:U305),L$115,L$117,L$117),2)</f>
        <v>0</v>
      </c>
      <c r="W305" s="57">
        <f>ROUND(Dot_ex($D305,$E305,$F305,$G305,$H305,$I305,$L305+SUM($N305:V305),M$115,M$117,M$117),2)</f>
        <v>0</v>
      </c>
    </row>
    <row r="306" spans="1:23" x14ac:dyDescent="0.2">
      <c r="A306" s="107">
        <f t="shared" ca="1" si="52"/>
        <v>100</v>
      </c>
      <c r="B306" s="1" t="s">
        <v>285</v>
      </c>
      <c r="C306" s="1" t="s">
        <v>8</v>
      </c>
      <c r="D306" s="77">
        <v>40330</v>
      </c>
      <c r="E306" s="77">
        <v>40330</v>
      </c>
      <c r="F306" s="77"/>
      <c r="G306" s="8">
        <v>8877</v>
      </c>
      <c r="H306" s="1" t="s">
        <v>8</v>
      </c>
      <c r="I306" s="78">
        <v>5</v>
      </c>
      <c r="J306" s="8">
        <v>3696.7200000000003</v>
      </c>
      <c r="K306" s="8">
        <f>ROUND(Dot_ex(D306,E306,F306,G306,H306,I306,J306,$G$6,$I$6,$I$8),2)</f>
        <v>1775.4</v>
      </c>
      <c r="L306" s="8">
        <f>J306+K306</f>
        <v>5472.1200000000008</v>
      </c>
      <c r="M306" s="57">
        <f>G306-L306</f>
        <v>3404.8799999999992</v>
      </c>
      <c r="N306" s="57">
        <f>ROUND(Dot_ex($D306,$E306,$F306,$G306,$H306,$I306,$L306,D$115,D$117,D$117),2)</f>
        <v>1775.4</v>
      </c>
      <c r="O306" s="57">
        <f>ROUND(Dot_ex($D306,$E306,$F306,$G306,$H306,$I306,$L306+SUM($N306:N306),E$115,E$117,E$117),2)</f>
        <v>1629.48</v>
      </c>
      <c r="P306" s="57">
        <f>ROUND(Dot_ex($D306,$E306,$F306,$G306,$H306,$I306,$L306+SUM($N306:O306),F$115,F$117,F$117),2)</f>
        <v>0</v>
      </c>
      <c r="Q306" s="57">
        <f>ROUND(Dot_ex($D306,$E306,$F306,$G306,$H306,$I306,$L306+SUM($N306:P306),G$115,G$117,G$117),2)</f>
        <v>0</v>
      </c>
      <c r="R306" s="57">
        <f>ROUND(Dot_ex($D306,$E306,$F306,$G306,$H306,$I306,$L306+SUM($N306:Q306),H$115,H$117,H$117),2)</f>
        <v>0</v>
      </c>
      <c r="S306" s="57">
        <f>ROUND(Dot_ex($D306,$E306,$F306,$G306,$H306,$I306,$L306+SUM($N306:R306),I$115,I$117,I$117),2)</f>
        <v>0</v>
      </c>
      <c r="T306" s="57">
        <f>ROUND(Dot_ex($D306,$E306,$F306,$G306,$H306,$I306,$L306+SUM($N306:S306),J$115,J$117,J$117),2)</f>
        <v>0</v>
      </c>
      <c r="U306" s="57">
        <f>ROUND(Dot_ex($D306,$E306,$F306,$G306,$H306,$I306,$L306+SUM($N306:T306),K$115,K$117,K$117),2)</f>
        <v>0</v>
      </c>
      <c r="V306" s="57">
        <f>ROUND(Dot_ex($D306,$E306,$F306,$G306,$H306,$I306,$L306+SUM($N306:U306),L$115,L$117,L$117),2)</f>
        <v>0</v>
      </c>
      <c r="W306" s="57">
        <f>ROUND(Dot_ex($D306,$E306,$F306,$G306,$H306,$I306,$L306+SUM($N306:V306),M$115,M$117,M$117),2)</f>
        <v>0</v>
      </c>
    </row>
    <row r="307" spans="1:23" x14ac:dyDescent="0.2">
      <c r="A307" s="107">
        <f t="shared" ca="1" si="52"/>
        <v>101</v>
      </c>
      <c r="B307" s="1" t="s">
        <v>287</v>
      </c>
      <c r="C307" s="1" t="s">
        <v>8</v>
      </c>
      <c r="D307" s="77">
        <v>40346</v>
      </c>
      <c r="E307" s="77">
        <v>40330</v>
      </c>
      <c r="F307" s="77"/>
      <c r="G307" s="8">
        <v>316.08999999999997</v>
      </c>
      <c r="H307" s="1" t="s">
        <v>8</v>
      </c>
      <c r="I307" s="78">
        <v>1</v>
      </c>
      <c r="J307" s="8">
        <v>316.08999999999997</v>
      </c>
      <c r="K307" s="8">
        <f>ROUND(Dot_ex(D307,E307,F307,G307,H307,I307,J307,$G$6,$I$6,$I$8),2)</f>
        <v>0</v>
      </c>
      <c r="L307" s="8">
        <f>J307+K307</f>
        <v>316.08999999999997</v>
      </c>
      <c r="M307" s="57">
        <f>G307-L307</f>
        <v>0</v>
      </c>
      <c r="N307" s="57">
        <f>ROUND(Dot_ex($D307,$E307,$F307,$G307,$H307,$I307,$L307,D$115,D$117,D$117),2)</f>
        <v>0</v>
      </c>
      <c r="O307" s="57">
        <f>ROUND(Dot_ex($D307,$E307,$F307,$G307,$H307,$I307,$L307+SUM($N307:N307),E$115,E$117,E$117),2)</f>
        <v>0</v>
      </c>
      <c r="P307" s="57">
        <f>ROUND(Dot_ex($D307,$E307,$F307,$G307,$H307,$I307,$L307+SUM($N307:O307),F$115,F$117,F$117),2)</f>
        <v>0</v>
      </c>
      <c r="Q307" s="57">
        <f>ROUND(Dot_ex($D307,$E307,$F307,$G307,$H307,$I307,$L307+SUM($N307:P307),G$115,G$117,G$117),2)</f>
        <v>0</v>
      </c>
      <c r="R307" s="57">
        <f>ROUND(Dot_ex($D307,$E307,$F307,$G307,$H307,$I307,$L307+SUM($N307:Q307),H$115,H$117,H$117),2)</f>
        <v>0</v>
      </c>
      <c r="S307" s="57"/>
      <c r="T307" s="57"/>
      <c r="U307" s="57"/>
      <c r="V307" s="57"/>
      <c r="W307" s="57"/>
    </row>
    <row r="308" spans="1:23" x14ac:dyDescent="0.2">
      <c r="A308" s="107">
        <f t="shared" ca="1" si="52"/>
        <v>102</v>
      </c>
      <c r="B308" s="1" t="s">
        <v>289</v>
      </c>
      <c r="C308" s="1" t="s">
        <v>8</v>
      </c>
      <c r="D308" s="77">
        <v>40481</v>
      </c>
      <c r="E308" s="77">
        <v>40481</v>
      </c>
      <c r="F308" s="77"/>
      <c r="G308" s="8">
        <v>830</v>
      </c>
      <c r="H308" s="1" t="s">
        <v>12</v>
      </c>
      <c r="I308" s="78">
        <v>3</v>
      </c>
      <c r="J308" s="8">
        <v>544.33000000000004</v>
      </c>
      <c r="K308" s="8">
        <f>ROUND(Dot_ex(D308,E308,F308,G308,H308,I308,J308,$G$6,$I$6,$I$8),2)</f>
        <v>285.67</v>
      </c>
      <c r="L308" s="8">
        <f>J308+K308</f>
        <v>830</v>
      </c>
      <c r="M308" s="57">
        <f>G308-L308</f>
        <v>0</v>
      </c>
      <c r="N308" s="57">
        <f>ROUND(Dot_ex($D308,$E308,$F308,$G308,$H308,$I308,$L308,D$115,D$117,D$117),2)</f>
        <v>0</v>
      </c>
      <c r="O308" s="57">
        <f>ROUND(Dot_ex($D308,$E308,$F308,$G308,$H308,$I308,$L308+SUM($N308:N308),E$115,E$117,E$117),2)</f>
        <v>0</v>
      </c>
      <c r="P308" s="57">
        <f>ROUND(Dot_ex($D308,$E308,$F308,$G308,$H308,$I308,$L308+SUM($N308:O308),F$115,F$117,F$117),2)</f>
        <v>0</v>
      </c>
      <c r="Q308" s="57">
        <f>ROUND(Dot_ex($D308,$E308,$F308,$G308,$H308,$I308,$L308+SUM($N308:P308),G$115,G$117,G$117),2)</f>
        <v>0</v>
      </c>
      <c r="R308" s="57">
        <f>ROUND(Dot_ex($D308,$E308,$F308,$G308,$H308,$I308,$L308+SUM($N308:Q308),H$115,H$117,H$117),2)</f>
        <v>0</v>
      </c>
      <c r="S308" s="57">
        <f>ROUND(Dot_ex($D308,$E308,$F308,$G308,$H308,$I308,$L308+SUM($N308:R308),I$115,I$117,I$117),2)</f>
        <v>0</v>
      </c>
      <c r="T308" s="57">
        <f>ROUND(Dot_ex($D308,$E308,$F308,$G308,$H308,$I308,$L308+SUM($N308:S308),J$115,J$117,J$117),2)</f>
        <v>0</v>
      </c>
      <c r="U308" s="57">
        <f>ROUND(Dot_ex($D308,$E308,$F308,$G308,$H308,$I308,$L308+SUM($N308:T308),K$115,K$117,K$117),2)</f>
        <v>0</v>
      </c>
      <c r="V308" s="57">
        <f>ROUND(Dot_ex($D308,$E308,$F308,$G308,$H308,$I308,$L308+SUM($N308:U308),L$115,L$117,L$117),2)</f>
        <v>0</v>
      </c>
      <c r="W308" s="57">
        <f>ROUND(Dot_ex($D308,$E308,$F308,$G308,$H308,$I308,$L308+SUM($N308:V308),M$115,M$117,M$117),2)</f>
        <v>0</v>
      </c>
    </row>
    <row r="309" spans="1:23" x14ac:dyDescent="0.2">
      <c r="A309" s="107">
        <f t="shared" ca="1" si="52"/>
        <v>103</v>
      </c>
      <c r="B309" s="1" t="s">
        <v>307</v>
      </c>
      <c r="C309" s="1" t="s">
        <v>8</v>
      </c>
      <c r="D309" s="77">
        <v>41151</v>
      </c>
      <c r="E309" s="77">
        <v>41151</v>
      </c>
      <c r="F309" s="77"/>
      <c r="G309" s="8">
        <v>2992.5</v>
      </c>
      <c r="H309" s="1" t="s">
        <v>8</v>
      </c>
      <c r="I309" s="78">
        <v>5</v>
      </c>
      <c r="J309" s="8"/>
      <c r="K309" s="8">
        <f t="shared" ref="K309:K310" si="53">ROUND(Dot_ex(D309,E309,F309,G309,H309,I309,J309,$G$6,$I$6,$I$8),2)</f>
        <v>500.12</v>
      </c>
      <c r="L309" s="8">
        <f t="shared" ref="L309:L310" si="54">J309+K309</f>
        <v>500.12</v>
      </c>
      <c r="M309" s="57">
        <f t="shared" ref="M309:M310" si="55">G309-L309</f>
        <v>2492.38</v>
      </c>
      <c r="N309" s="57">
        <f t="shared" ref="N309:N310" si="56">ROUND(Dot_ex($D309,$E309,$F309,$G309,$H309,$I309,$L309,D$115,D$117,D$117),2)</f>
        <v>598.5</v>
      </c>
      <c r="O309" s="57">
        <f>ROUND(Dot_ex($D309,$E309,$F309,$G309,$H309,$I309,$L309+SUM($N309:N309),E$115,E$117,E$117),2)</f>
        <v>598.5</v>
      </c>
      <c r="P309" s="57">
        <f>ROUND(Dot_ex($D309,$E309,$F309,$G309,$H309,$I309,$L309+SUM($N309:O309),F$115,F$117,F$117),2)</f>
        <v>598.5</v>
      </c>
      <c r="Q309" s="57">
        <f>ROUND(Dot_ex($D309,$E309,$F309,$G309,$H309,$I309,$L309+SUM($N309:P309),G$115,G$117,G$117),2)</f>
        <v>598.5</v>
      </c>
      <c r="R309" s="57">
        <f>ROUND(Dot_ex($D309,$E309,$F309,$G309,$H309,$I309,$L309+SUM($N309:Q309),H$115,H$117,H$117),2)</f>
        <v>98.38</v>
      </c>
      <c r="S309" s="57">
        <f>ROUND(Dot_ex($D309,$E309,$F309,$G309,$H309,$I309,$L309+SUM($N309:R309),I$115,I$117,I$117),2)</f>
        <v>0</v>
      </c>
      <c r="T309" s="57">
        <f>ROUND(Dot_ex($D309,$E309,$F309,$G309,$H309,$I309,$L309+SUM($N309:S309),J$115,J$117,J$117),2)</f>
        <v>0</v>
      </c>
      <c r="U309" s="57">
        <f>ROUND(Dot_ex($D309,$E309,$F309,$G309,$H309,$I309,$L309+SUM($N309:T309),K$115,K$117,K$117),2)</f>
        <v>0</v>
      </c>
      <c r="V309" s="57">
        <f>ROUND(Dot_ex($D309,$E309,$F309,$G309,$H309,$I309,$L309+SUM($N309:U309),L$115,L$117,L$117),2)</f>
        <v>0</v>
      </c>
      <c r="W309" s="57">
        <f>ROUND(Dot_ex($D309,$E309,$F309,$G309,$H309,$I309,$L309+SUM($N309:V309),M$115,M$117,M$117),2)</f>
        <v>0</v>
      </c>
    </row>
    <row r="310" spans="1:23" x14ac:dyDescent="0.2">
      <c r="A310" s="107">
        <f t="shared" ca="1" si="52"/>
        <v>104</v>
      </c>
      <c r="B310" s="1" t="s">
        <v>308</v>
      </c>
      <c r="C310" s="1" t="s">
        <v>8</v>
      </c>
      <c r="D310" s="77">
        <v>41191</v>
      </c>
      <c r="E310" s="77">
        <v>41191</v>
      </c>
      <c r="F310" s="77"/>
      <c r="G310" s="8">
        <v>65761.31</v>
      </c>
      <c r="H310" s="1" t="s">
        <v>8</v>
      </c>
      <c r="I310" s="78">
        <v>5</v>
      </c>
      <c r="J310" s="8"/>
      <c r="K310" s="8">
        <f t="shared" si="53"/>
        <v>9548.9</v>
      </c>
      <c r="L310" s="8">
        <f t="shared" si="54"/>
        <v>9548.9</v>
      </c>
      <c r="M310" s="57">
        <f t="shared" si="55"/>
        <v>56212.409999999996</v>
      </c>
      <c r="N310" s="57">
        <f t="shared" si="56"/>
        <v>13152.26</v>
      </c>
      <c r="O310" s="57">
        <f>ROUND(Dot_ex($D310,$E310,$F310,$G310,$H310,$I310,$L310+SUM($N310:N310),E$115,E$117,E$117),2)</f>
        <v>13152.26</v>
      </c>
      <c r="P310" s="57">
        <f>ROUND(Dot_ex($D310,$E310,$F310,$G310,$H310,$I310,$L310+SUM($N310:O310),F$115,F$117,F$117),2)</f>
        <v>13152.26</v>
      </c>
      <c r="Q310" s="57">
        <f>ROUND(Dot_ex($D310,$E310,$F310,$G310,$H310,$I310,$L310+SUM($N310:P310),G$115,G$117,G$117),2)</f>
        <v>13152.26</v>
      </c>
      <c r="R310" s="57">
        <f>ROUND(Dot_ex($D310,$E310,$F310,$G310,$H310,$I310,$L310+SUM($N310:Q310),H$115,H$117,H$117),2)</f>
        <v>3603.37</v>
      </c>
      <c r="S310" s="57">
        <f>ROUND(Dot_ex($D310,$E310,$F310,$G310,$H310,$I310,$L310+SUM($N310:R310),I$115,I$117,I$117),2)</f>
        <v>0</v>
      </c>
      <c r="T310" s="57">
        <f>ROUND(Dot_ex($D310,$E310,$F310,$G310,$H310,$I310,$L310+SUM($N310:S310),J$115,J$117,J$117),2)</f>
        <v>0</v>
      </c>
      <c r="U310" s="57">
        <f>ROUND(Dot_ex($D310,$E310,$F310,$G310,$H310,$I310,$L310+SUM($N310:T310),K$115,K$117,K$117),2)</f>
        <v>0</v>
      </c>
      <c r="V310" s="57">
        <f>ROUND(Dot_ex($D310,$E310,$F310,$G310,$H310,$I310,$L310+SUM($N310:U310),L$115,L$117,L$117),2)</f>
        <v>0</v>
      </c>
      <c r="W310" s="57">
        <f>ROUND(Dot_ex($D310,$E310,$F310,$G310,$H310,$I310,$L310+SUM($N310:V310),M$115,M$117,M$117),2)</f>
        <v>0</v>
      </c>
    </row>
    <row r="311" spans="1:23" x14ac:dyDescent="0.2">
      <c r="A311" s="107"/>
      <c r="B311" s="1"/>
      <c r="C311" s="1"/>
      <c r="D311" s="77"/>
      <c r="E311" s="77"/>
      <c r="F311" s="77"/>
      <c r="G311" s="8"/>
      <c r="H311" s="1"/>
      <c r="I311" s="78"/>
      <c r="J311" s="8"/>
      <c r="K311" s="8"/>
      <c r="L311" s="8"/>
      <c r="M311" s="57"/>
      <c r="N311" s="57"/>
      <c r="O311" s="57"/>
      <c r="P311" s="57"/>
      <c r="Q311" s="57"/>
      <c r="R311" s="57">
        <f>ROUND(Dot_ex($D311,$E311,$F311,$G311,$H311,$I311,$L311+SUM($N311:Q311),H$115,H$117,H$117),2)</f>
        <v>0</v>
      </c>
      <c r="S311" s="57">
        <f>ROUND(Dot_ex($D311,$E311,$F311,$G311,$H311,$I311,$L311+SUM($N311:R311),I$115,I$117,I$117),2)</f>
        <v>0</v>
      </c>
      <c r="T311" s="57">
        <f>ROUND(Dot_ex($D311,$E311,$F311,$G311,$H311,$I311,$L311+SUM($N311:S311),J$115,J$117,J$117),2)</f>
        <v>0</v>
      </c>
      <c r="U311" s="57">
        <f>ROUND(Dot_ex($D311,$E311,$F311,$G311,$H311,$I311,$L311+SUM($N311:T311),K$115,K$117,K$117),2)</f>
        <v>0</v>
      </c>
      <c r="V311" s="57">
        <f>ROUND(Dot_ex($D311,$E311,$F311,$G311,$H311,$I311,$L311+SUM($N311:U311),L$115,L$117,L$117),2)</f>
        <v>0</v>
      </c>
      <c r="W311" s="57">
        <f>ROUND(Dot_ex($D311,$E311,$F311,$G311,$H311,$I311,$L311+SUM($N311:V311),M$115,M$117,M$117),2)</f>
        <v>0</v>
      </c>
    </row>
    <row r="312" spans="1:23" x14ac:dyDescent="0.2">
      <c r="A312" s="101"/>
      <c r="E312" s="94" t="s">
        <v>14</v>
      </c>
      <c r="F312" s="95"/>
      <c r="G312" s="96">
        <f>SUM(G234:G311)</f>
        <v>481414.58999999997</v>
      </c>
      <c r="H312" s="94"/>
      <c r="I312" s="97"/>
      <c r="J312" s="96">
        <f t="shared" ref="J312:R312" si="57">SUM(J234:J311)</f>
        <v>406354.35</v>
      </c>
      <c r="K312" s="96">
        <f t="shared" si="57"/>
        <v>12557.95</v>
      </c>
      <c r="L312" s="96">
        <f t="shared" si="57"/>
        <v>418912.3</v>
      </c>
      <c r="M312" s="203">
        <f t="shared" si="57"/>
        <v>62502.289999999994</v>
      </c>
      <c r="N312" s="203">
        <f t="shared" si="57"/>
        <v>15912.45</v>
      </c>
      <c r="O312" s="203">
        <f t="shared" si="57"/>
        <v>15386.57</v>
      </c>
      <c r="P312" s="203">
        <f t="shared" si="57"/>
        <v>13750.76</v>
      </c>
      <c r="Q312" s="203">
        <f t="shared" si="57"/>
        <v>13750.76</v>
      </c>
      <c r="R312" s="203">
        <f t="shared" si="57"/>
        <v>3701.75</v>
      </c>
      <c r="S312" s="203">
        <f>SUM(S234:S311)</f>
        <v>0</v>
      </c>
      <c r="T312" s="203">
        <f>SUM(T234:T311)</f>
        <v>0</v>
      </c>
      <c r="U312" s="203">
        <f>SUM(U234:U311)</f>
        <v>0</v>
      </c>
      <c r="V312" s="203">
        <f>SUM(V234:V311)</f>
        <v>0</v>
      </c>
      <c r="W312" s="203">
        <f>SUM(W234:W311)</f>
        <v>0</v>
      </c>
    </row>
    <row r="313" spans="1:23" x14ac:dyDescent="0.2">
      <c r="A313" s="101"/>
      <c r="M313" s="14"/>
      <c r="N313" s="57"/>
      <c r="O313" s="57"/>
      <c r="P313" s="57"/>
      <c r="Q313" s="57"/>
      <c r="R313" s="57"/>
      <c r="S313" s="57"/>
      <c r="T313" s="57"/>
      <c r="U313" s="57"/>
      <c r="V313" s="57"/>
      <c r="W313" s="57"/>
    </row>
    <row r="314" spans="1:23" x14ac:dyDescent="0.2">
      <c r="A314" s="101"/>
      <c r="E314" s="1" t="s">
        <v>23</v>
      </c>
      <c r="G314" s="8">
        <f>SUMIF($D$234:$D$311,"&lt;"&amp;TEXT($G$6,"jj/mm/aa"),G$234:G$311)</f>
        <v>412660.77999999997</v>
      </c>
      <c r="J314" s="8">
        <f>SUMIF($D$234:$D$311,"&lt;"&amp;TEXT($G$6,"jj/mm/aa"),J$234:J$311)</f>
        <v>406354.35</v>
      </c>
      <c r="K314" s="8">
        <f>SUMIF($D$234:$D$311,"&lt;"&amp;TEXT($G$6,"jj/mm/aa"),K$234:K$311)</f>
        <v>2508.9300000000003</v>
      </c>
      <c r="L314" s="8">
        <f>SUMIF($D$234:$D$311,"&lt;"&amp;TEXT($G$6,"jj/mm/aa"),L$234:L$311)</f>
        <v>408863.27999999997</v>
      </c>
      <c r="M314" s="57">
        <f>SUMIF($D$234:$D$311,"&lt;"&amp;TEXT($G$6,"jj/mm/aa"),M$234:M$311)</f>
        <v>3797.4999999999991</v>
      </c>
      <c r="N314" s="57"/>
      <c r="O314" s="57"/>
      <c r="P314" s="57"/>
      <c r="Q314" s="57"/>
      <c r="R314" s="57"/>
      <c r="S314" s="57"/>
      <c r="T314" s="57"/>
      <c r="U314" s="57"/>
      <c r="V314" s="57"/>
      <c r="W314" s="57"/>
    </row>
    <row r="315" spans="1:23" x14ac:dyDescent="0.2">
      <c r="A315" s="101"/>
      <c r="E315" s="1" t="s">
        <v>38</v>
      </c>
      <c r="G315" s="8">
        <f>SUMIF($D$234:$D$311,"&gt;="&amp;TEXT($G$6,"jj/mm/aa"),G$234:G$311)</f>
        <v>68753.81</v>
      </c>
      <c r="J315" s="8">
        <f>SUMIF($D$234:$D$311,"&gt;="&amp;TEXT($G$6,"jj/mm/aa"),J$234:J$311)</f>
        <v>0</v>
      </c>
      <c r="K315" s="8">
        <f>SUMIF($D$234:$D$311,"&gt;="&amp;TEXT($G$6,"jj/mm/aa"),K$234:K$311)</f>
        <v>10049.02</v>
      </c>
      <c r="L315" s="8">
        <f>SUMIF($D$234:$D$311,"&gt;="&amp;TEXT($G$6,"jj/mm/aa"),L$234:L$311)</f>
        <v>10049.02</v>
      </c>
      <c r="M315" s="57">
        <f>SUMIF($D$234:$D$311,"&gt;="&amp;TEXT($G$6,"jj/mm/aa"),M$234:M$311)</f>
        <v>58704.789999999994</v>
      </c>
      <c r="N315" s="57"/>
      <c r="O315" s="57"/>
      <c r="P315" s="57"/>
      <c r="Q315" s="57"/>
      <c r="R315" s="57"/>
      <c r="S315" s="57"/>
      <c r="T315" s="57"/>
      <c r="U315" s="57"/>
      <c r="V315" s="57"/>
      <c r="W315" s="57"/>
    </row>
    <row r="316" spans="1:23" x14ac:dyDescent="0.2">
      <c r="A316" s="101"/>
      <c r="E316" s="1" t="s">
        <v>39</v>
      </c>
      <c r="G316" s="8">
        <f>SUMIF($F$234:$F$311,"&gt;="&amp;TEXT($G$6,"jj/mm/aa"),G$234:G$311)</f>
        <v>0</v>
      </c>
      <c r="J316" s="8">
        <f>SUMIF($F$234:$F$311,"&gt;="&amp;TEXT($G$6,"jj/mm/aa"),J$234:J$311)</f>
        <v>0</v>
      </c>
      <c r="K316" s="8">
        <f>SUMIF($F$234:$F$311,"&gt;="&amp;TEXT($G$6,"jj/mm/aa"),K$234:K$311)</f>
        <v>0</v>
      </c>
      <c r="L316" s="8">
        <f>SUMIF($F$234:$F$311,"&gt;="&amp;TEXT($G$6,"jj/mm/aa"),L$234:L$311)</f>
        <v>0</v>
      </c>
      <c r="M316" s="57">
        <f>SUMIF($F$234:$F$311,"&gt;="&amp;TEXT($G$6,"jj/mm/aa"),M$234:M$311)</f>
        <v>0</v>
      </c>
      <c r="N316" s="57"/>
      <c r="O316" s="57"/>
      <c r="P316" s="57"/>
      <c r="Q316" s="57"/>
      <c r="R316" s="57"/>
      <c r="S316" s="57"/>
      <c r="T316" s="57"/>
      <c r="U316" s="57"/>
      <c r="V316" s="57"/>
      <c r="W316" s="57"/>
    </row>
    <row r="317" spans="1:23" x14ac:dyDescent="0.2">
      <c r="A317" s="101"/>
      <c r="E317" s="1" t="s">
        <v>15</v>
      </c>
      <c r="G317" s="8">
        <f>G314+G315-G316</f>
        <v>481414.58999999997</v>
      </c>
      <c r="J317" s="8">
        <f>J314+J315-J316</f>
        <v>406354.35</v>
      </c>
      <c r="K317" s="8">
        <f>K314+K315-K316</f>
        <v>12557.95</v>
      </c>
      <c r="L317" s="8">
        <f>L314+L315-L316</f>
        <v>418912.3</v>
      </c>
      <c r="M317" s="57">
        <f>M314+M315-M316</f>
        <v>62502.289999999994</v>
      </c>
      <c r="N317" s="57"/>
      <c r="O317" s="57"/>
      <c r="P317" s="57"/>
      <c r="Q317" s="57"/>
      <c r="R317" s="57"/>
      <c r="S317" s="57"/>
      <c r="T317" s="57"/>
      <c r="U317" s="57"/>
      <c r="V317" s="57"/>
      <c r="W317" s="57"/>
    </row>
    <row r="318" spans="1:23" x14ac:dyDescent="0.2">
      <c r="A318" s="101"/>
      <c r="M318" s="14"/>
      <c r="N318" s="57"/>
      <c r="O318" s="57"/>
      <c r="P318" s="57"/>
      <c r="Q318" s="57"/>
      <c r="R318" s="57"/>
      <c r="S318" s="57"/>
      <c r="T318" s="57"/>
      <c r="U318" s="57"/>
      <c r="V318" s="57"/>
      <c r="W318" s="57"/>
    </row>
    <row r="319" spans="1:23" x14ac:dyDescent="0.2">
      <c r="A319" s="101"/>
      <c r="M319" s="14"/>
      <c r="N319" s="57"/>
      <c r="O319" s="57"/>
      <c r="P319" s="57"/>
      <c r="Q319" s="57"/>
      <c r="R319" s="57"/>
      <c r="S319" s="57"/>
      <c r="T319" s="57"/>
      <c r="U319" s="57"/>
      <c r="V319" s="57"/>
      <c r="W319" s="57"/>
    </row>
    <row r="320" spans="1:23" ht="24.95" customHeight="1" x14ac:dyDescent="0.2">
      <c r="A320" s="208" t="s">
        <v>190</v>
      </c>
      <c r="B320" s="209"/>
      <c r="C320" s="209"/>
      <c r="D320" s="209"/>
      <c r="E320" s="210"/>
      <c r="F320" s="211"/>
      <c r="G320" s="211"/>
      <c r="H320" s="211"/>
      <c r="I320" s="211"/>
      <c r="J320" s="211"/>
      <c r="K320" s="211"/>
      <c r="L320" s="211"/>
      <c r="M320" s="226"/>
      <c r="N320" s="212" t="str">
        <f>A320 &amp; "   -   Dotations prévisionnelles"</f>
        <v>215410 MATERIEL ET OUTILLAGE ( CONTROLEURS &amp; DIVERS)   -   Dotations prévisionnelles</v>
      </c>
      <c r="O320" s="212"/>
      <c r="P320" s="212"/>
      <c r="Q320" s="212"/>
      <c r="R320" s="212"/>
      <c r="S320" s="212"/>
      <c r="T320" s="212"/>
      <c r="U320" s="212"/>
      <c r="V320" s="212"/>
      <c r="W320" s="213"/>
    </row>
    <row r="321" spans="1:23" x14ac:dyDescent="0.2">
      <c r="A321" s="107">
        <f t="shared" ref="A321:A340" ca="1" si="58">IF(ISNUMBER(A320),A320+1,OFFSET(A321,-Nbre_Ligne_Entre_Compte,0,1,1)+1)</f>
        <v>105</v>
      </c>
      <c r="B321" s="1" t="s">
        <v>106</v>
      </c>
      <c r="C321" s="1"/>
      <c r="D321" s="77">
        <v>31897</v>
      </c>
      <c r="E321" s="77">
        <v>31897</v>
      </c>
      <c r="F321" s="77"/>
      <c r="G321" s="8">
        <v>270.02999999999997</v>
      </c>
      <c r="H321" s="1" t="s">
        <v>8</v>
      </c>
      <c r="I321" s="78">
        <v>5</v>
      </c>
      <c r="J321" s="8">
        <v>270.02999999999997</v>
      </c>
      <c r="K321" s="8">
        <f t="shared" ref="K321:K339" si="59">ROUND(Dot_ex(D321,E321,F321,G321,H321,I321,J321,$G$6,$I$6,$I$8),2)</f>
        <v>0</v>
      </c>
      <c r="L321" s="8">
        <f t="shared" ref="L321:L339" si="60">J321+K321</f>
        <v>270.02999999999997</v>
      </c>
      <c r="M321" s="57">
        <f t="shared" ref="M321:M339" si="61">G321-L321</f>
        <v>0</v>
      </c>
      <c r="N321" s="57">
        <f t="shared" ref="N321:N339" si="62">ROUND(Dot_ex($D321,$E321,$F321,$G321,$H321,$I321,$L321,D$115,D$117,D$117),2)</f>
        <v>0</v>
      </c>
      <c r="O321" s="57">
        <f>ROUND(Dot_ex($D321,$E321,$F321,$G321,$H321,$I321,$L321+SUM($N321:N321),E$115,E$117,E$117),2)</f>
        <v>0</v>
      </c>
      <c r="P321" s="57">
        <f>ROUND(Dot_ex($D321,$E321,$F321,$G321,$H321,$I321,$L321+SUM($N321:O321),F$115,F$117,F$117),2)</f>
        <v>0</v>
      </c>
      <c r="Q321" s="57">
        <f>ROUND(Dot_ex($D321,$E321,$F321,$G321,$H321,$I321,$L321+SUM($N321:P321),G$115,G$117,G$117),2)</f>
        <v>0</v>
      </c>
      <c r="R321" s="57">
        <f>ROUND(Dot_ex($D321,$E321,$F321,$G321,$H321,$I321,$L321+SUM($N321:Q321),H$115,H$117,H$117),2)</f>
        <v>0</v>
      </c>
      <c r="S321" s="57">
        <f>ROUND(Dot_ex($D321,$E321,$F321,$G321,$H321,$I321,$L321+SUM($N321:R321),I$115,I$117,I$117),2)</f>
        <v>0</v>
      </c>
      <c r="T321" s="57">
        <f>ROUND(Dot_ex($D321,$E321,$F321,$G321,$H321,$I321,$L321+SUM($N321:S321),J$115,J$117,J$117),2)</f>
        <v>0</v>
      </c>
      <c r="U321" s="57">
        <f>ROUND(Dot_ex($D321,$E321,$F321,$G321,$H321,$I321,$L321+SUM($N321:T321),K$115,K$117,K$117),2)</f>
        <v>0</v>
      </c>
      <c r="V321" s="57">
        <f>ROUND(Dot_ex($D321,$E321,$F321,$G321,$H321,$I321,$L321+SUM($N321:U321),L$115,L$117,L$117),2)</f>
        <v>0</v>
      </c>
      <c r="W321" s="57">
        <f>ROUND(Dot_ex($D321,$E321,$F321,$G321,$H321,$I321,$L321+SUM($N321:V321),M$115,M$117,M$117),2)</f>
        <v>0</v>
      </c>
    </row>
    <row r="322" spans="1:23" x14ac:dyDescent="0.2">
      <c r="A322" s="107">
        <f t="shared" ca="1" si="58"/>
        <v>106</v>
      </c>
      <c r="B322" s="1" t="s">
        <v>107</v>
      </c>
      <c r="C322" s="1"/>
      <c r="D322" s="77">
        <v>32717</v>
      </c>
      <c r="E322" s="77">
        <v>32717</v>
      </c>
      <c r="F322" s="77"/>
      <c r="G322" s="8">
        <v>2075.17</v>
      </c>
      <c r="H322" s="1" t="s">
        <v>8</v>
      </c>
      <c r="I322" s="78">
        <v>5</v>
      </c>
      <c r="J322" s="8">
        <v>2075.17</v>
      </c>
      <c r="K322" s="8">
        <f t="shared" si="59"/>
        <v>0</v>
      </c>
      <c r="L322" s="8">
        <f t="shared" si="60"/>
        <v>2075.17</v>
      </c>
      <c r="M322" s="57">
        <f t="shared" si="61"/>
        <v>0</v>
      </c>
      <c r="N322" s="57">
        <f t="shared" si="62"/>
        <v>0</v>
      </c>
      <c r="O322" s="57">
        <f>ROUND(Dot_ex($D322,$E322,$F322,$G322,$H322,$I322,$L322+SUM($N322:N322),E$115,E$117,E$117),2)</f>
        <v>0</v>
      </c>
      <c r="P322" s="57">
        <f>ROUND(Dot_ex($D322,$E322,$F322,$G322,$H322,$I322,$L322+SUM($N322:O322),F$115,F$117,F$117),2)</f>
        <v>0</v>
      </c>
      <c r="Q322" s="57">
        <f>ROUND(Dot_ex($D322,$E322,$F322,$G322,$H322,$I322,$L322+SUM($N322:P322),G$115,G$117,G$117),2)</f>
        <v>0</v>
      </c>
      <c r="R322" s="57">
        <f>ROUND(Dot_ex($D322,$E322,$F322,$G322,$H322,$I322,$L322+SUM($N322:Q322),H$115,H$117,H$117),2)</f>
        <v>0</v>
      </c>
      <c r="S322" s="57">
        <f>ROUND(Dot_ex($D322,$E322,$F322,$G322,$H322,$I322,$L322+SUM($N322:R322),I$115,I$117,I$117),2)</f>
        <v>0</v>
      </c>
      <c r="T322" s="57">
        <f>ROUND(Dot_ex($D322,$E322,$F322,$G322,$H322,$I322,$L322+SUM($N322:S322),J$115,J$117,J$117),2)</f>
        <v>0</v>
      </c>
      <c r="U322" s="57">
        <f>ROUND(Dot_ex($D322,$E322,$F322,$G322,$H322,$I322,$L322+SUM($N322:T322),K$115,K$117,K$117),2)</f>
        <v>0</v>
      </c>
      <c r="V322" s="57">
        <f>ROUND(Dot_ex($D322,$E322,$F322,$G322,$H322,$I322,$L322+SUM($N322:U322),L$115,L$117,L$117),2)</f>
        <v>0</v>
      </c>
      <c r="W322" s="57">
        <f>ROUND(Dot_ex($D322,$E322,$F322,$G322,$H322,$I322,$L322+SUM($N322:V322),M$115,M$117,M$117),2)</f>
        <v>0</v>
      </c>
    </row>
    <row r="323" spans="1:23" x14ac:dyDescent="0.2">
      <c r="A323" s="107">
        <f t="shared" ca="1" si="58"/>
        <v>107</v>
      </c>
      <c r="B323" s="1" t="s">
        <v>108</v>
      </c>
      <c r="C323" s="1"/>
      <c r="D323" s="77">
        <v>32849</v>
      </c>
      <c r="E323" s="77">
        <v>32849</v>
      </c>
      <c r="F323" s="77"/>
      <c r="G323" s="8">
        <v>952.38</v>
      </c>
      <c r="H323" s="1" t="s">
        <v>8</v>
      </c>
      <c r="I323" s="78">
        <v>7</v>
      </c>
      <c r="J323" s="8">
        <v>952.38</v>
      </c>
      <c r="K323" s="8">
        <f t="shared" si="59"/>
        <v>0</v>
      </c>
      <c r="L323" s="8">
        <f t="shared" si="60"/>
        <v>952.38</v>
      </c>
      <c r="M323" s="57">
        <f t="shared" si="61"/>
        <v>0</v>
      </c>
      <c r="N323" s="57">
        <f t="shared" si="62"/>
        <v>0</v>
      </c>
      <c r="O323" s="57">
        <f>ROUND(Dot_ex($D323,$E323,$F323,$G323,$H323,$I323,$L323+SUM($N323:N323),E$115,E$117,E$117),2)</f>
        <v>0</v>
      </c>
      <c r="P323" s="57">
        <f>ROUND(Dot_ex($D323,$E323,$F323,$G323,$H323,$I323,$L323+SUM($N323:O323),F$115,F$117,F$117),2)</f>
        <v>0</v>
      </c>
      <c r="Q323" s="57">
        <f>ROUND(Dot_ex($D323,$E323,$F323,$G323,$H323,$I323,$L323+SUM($N323:P323),G$115,G$117,G$117),2)</f>
        <v>0</v>
      </c>
      <c r="R323" s="57">
        <f>ROUND(Dot_ex($D323,$E323,$F323,$G323,$H323,$I323,$L323+SUM($N323:Q323),H$115,H$117,H$117),2)</f>
        <v>0</v>
      </c>
      <c r="S323" s="57">
        <f>ROUND(Dot_ex($D323,$E323,$F323,$G323,$H323,$I323,$L323+SUM($N323:R323),I$115,I$117,I$117),2)</f>
        <v>0</v>
      </c>
      <c r="T323" s="57">
        <f>ROUND(Dot_ex($D323,$E323,$F323,$G323,$H323,$I323,$L323+SUM($N323:S323),J$115,J$117,J$117),2)</f>
        <v>0</v>
      </c>
      <c r="U323" s="57">
        <f>ROUND(Dot_ex($D323,$E323,$F323,$G323,$H323,$I323,$L323+SUM($N323:T323),K$115,K$117,K$117),2)</f>
        <v>0</v>
      </c>
      <c r="V323" s="57">
        <f>ROUND(Dot_ex($D323,$E323,$F323,$G323,$H323,$I323,$L323+SUM($N323:U323),L$115,L$117,L$117),2)</f>
        <v>0</v>
      </c>
      <c r="W323" s="57">
        <f>ROUND(Dot_ex($D323,$E323,$F323,$G323,$H323,$I323,$L323+SUM($N323:V323),M$115,M$117,M$117),2)</f>
        <v>0</v>
      </c>
    </row>
    <row r="324" spans="1:23" x14ac:dyDescent="0.2">
      <c r="A324" s="107">
        <f t="shared" ca="1" si="58"/>
        <v>108</v>
      </c>
      <c r="B324" s="1" t="s">
        <v>109</v>
      </c>
      <c r="C324" s="1"/>
      <c r="D324" s="77">
        <v>32849</v>
      </c>
      <c r="E324" s="77">
        <v>32849</v>
      </c>
      <c r="F324" s="77"/>
      <c r="G324" s="8">
        <v>1223.43</v>
      </c>
      <c r="H324" s="1" t="s">
        <v>8</v>
      </c>
      <c r="I324" s="78">
        <v>7</v>
      </c>
      <c r="J324" s="8">
        <v>1223.43</v>
      </c>
      <c r="K324" s="8">
        <f t="shared" si="59"/>
        <v>0</v>
      </c>
      <c r="L324" s="8">
        <f t="shared" si="60"/>
        <v>1223.43</v>
      </c>
      <c r="M324" s="57">
        <f t="shared" si="61"/>
        <v>0</v>
      </c>
      <c r="N324" s="57">
        <f t="shared" si="62"/>
        <v>0</v>
      </c>
      <c r="O324" s="57">
        <f>ROUND(Dot_ex($D324,$E324,$F324,$G324,$H324,$I324,$L324+SUM($N324:N324),E$115,E$117,E$117),2)</f>
        <v>0</v>
      </c>
      <c r="P324" s="57">
        <f>ROUND(Dot_ex($D324,$E324,$F324,$G324,$H324,$I324,$L324+SUM($N324:O324),F$115,F$117,F$117),2)</f>
        <v>0</v>
      </c>
      <c r="Q324" s="57">
        <f>ROUND(Dot_ex($D324,$E324,$F324,$G324,$H324,$I324,$L324+SUM($N324:P324),G$115,G$117,G$117),2)</f>
        <v>0</v>
      </c>
      <c r="R324" s="57">
        <f>ROUND(Dot_ex($D324,$E324,$F324,$G324,$H324,$I324,$L324+SUM($N324:Q324),H$115,H$117,H$117),2)</f>
        <v>0</v>
      </c>
      <c r="S324" s="57">
        <f>ROUND(Dot_ex($D324,$E324,$F324,$G324,$H324,$I324,$L324+SUM($N324:R324),I$115,I$117,I$117),2)</f>
        <v>0</v>
      </c>
      <c r="T324" s="57">
        <f>ROUND(Dot_ex($D324,$E324,$F324,$G324,$H324,$I324,$L324+SUM($N324:S324),J$115,J$117,J$117),2)</f>
        <v>0</v>
      </c>
      <c r="U324" s="57">
        <f>ROUND(Dot_ex($D324,$E324,$F324,$G324,$H324,$I324,$L324+SUM($N324:T324),K$115,K$117,K$117),2)</f>
        <v>0</v>
      </c>
      <c r="V324" s="57">
        <f>ROUND(Dot_ex($D324,$E324,$F324,$G324,$H324,$I324,$L324+SUM($N324:U324),L$115,L$117,L$117),2)</f>
        <v>0</v>
      </c>
      <c r="W324" s="57">
        <f>ROUND(Dot_ex($D324,$E324,$F324,$G324,$H324,$I324,$L324+SUM($N324:V324),M$115,M$117,M$117),2)</f>
        <v>0</v>
      </c>
    </row>
    <row r="325" spans="1:23" x14ac:dyDescent="0.2">
      <c r="A325" s="107">
        <f t="shared" ca="1" si="58"/>
        <v>109</v>
      </c>
      <c r="B325" s="1" t="s">
        <v>108</v>
      </c>
      <c r="C325" s="1"/>
      <c r="D325" s="77">
        <v>32849</v>
      </c>
      <c r="E325" s="77">
        <v>32849</v>
      </c>
      <c r="F325" s="77"/>
      <c r="G325" s="8">
        <v>952.38</v>
      </c>
      <c r="H325" s="1" t="s">
        <v>8</v>
      </c>
      <c r="I325" s="78">
        <v>7</v>
      </c>
      <c r="J325" s="8">
        <v>952.38</v>
      </c>
      <c r="K325" s="8">
        <f t="shared" si="59"/>
        <v>0</v>
      </c>
      <c r="L325" s="8">
        <f t="shared" si="60"/>
        <v>952.38</v>
      </c>
      <c r="M325" s="57">
        <f t="shared" si="61"/>
        <v>0</v>
      </c>
      <c r="N325" s="57">
        <f t="shared" si="62"/>
        <v>0</v>
      </c>
      <c r="O325" s="57">
        <f>ROUND(Dot_ex($D325,$E325,$F325,$G325,$H325,$I325,$L325+SUM($N325:N325),E$115,E$117,E$117),2)</f>
        <v>0</v>
      </c>
      <c r="P325" s="57">
        <f>ROUND(Dot_ex($D325,$E325,$F325,$G325,$H325,$I325,$L325+SUM($N325:O325),F$115,F$117,F$117),2)</f>
        <v>0</v>
      </c>
      <c r="Q325" s="57">
        <f>ROUND(Dot_ex($D325,$E325,$F325,$G325,$H325,$I325,$L325+SUM($N325:P325),G$115,G$117,G$117),2)</f>
        <v>0</v>
      </c>
      <c r="R325" s="57">
        <f>ROUND(Dot_ex($D325,$E325,$F325,$G325,$H325,$I325,$L325+SUM($N325:Q325),H$115,H$117,H$117),2)</f>
        <v>0</v>
      </c>
      <c r="S325" s="57">
        <f>ROUND(Dot_ex($D325,$E325,$F325,$G325,$H325,$I325,$L325+SUM($N325:R325),I$115,I$117,I$117),2)</f>
        <v>0</v>
      </c>
      <c r="T325" s="57">
        <f>ROUND(Dot_ex($D325,$E325,$F325,$G325,$H325,$I325,$L325+SUM($N325:S325),J$115,J$117,J$117),2)</f>
        <v>0</v>
      </c>
      <c r="U325" s="57">
        <f>ROUND(Dot_ex($D325,$E325,$F325,$G325,$H325,$I325,$L325+SUM($N325:T325),K$115,K$117,K$117),2)</f>
        <v>0</v>
      </c>
      <c r="V325" s="57">
        <f>ROUND(Dot_ex($D325,$E325,$F325,$G325,$H325,$I325,$L325+SUM($N325:U325),L$115,L$117,L$117),2)</f>
        <v>0</v>
      </c>
      <c r="W325" s="57">
        <f>ROUND(Dot_ex($D325,$E325,$F325,$G325,$H325,$I325,$L325+SUM($N325:V325),M$115,M$117,M$117),2)</f>
        <v>0</v>
      </c>
    </row>
    <row r="326" spans="1:23" x14ac:dyDescent="0.2">
      <c r="A326" s="107">
        <f t="shared" ca="1" si="58"/>
        <v>110</v>
      </c>
      <c r="B326" s="1" t="s">
        <v>108</v>
      </c>
      <c r="C326" s="1"/>
      <c r="D326" s="77">
        <v>32853</v>
      </c>
      <c r="E326" s="77">
        <v>32853</v>
      </c>
      <c r="F326" s="77"/>
      <c r="G326" s="8">
        <v>950.4</v>
      </c>
      <c r="H326" s="1" t="s">
        <v>8</v>
      </c>
      <c r="I326" s="78">
        <v>7</v>
      </c>
      <c r="J326" s="8">
        <v>950.4</v>
      </c>
      <c r="K326" s="8">
        <f t="shared" si="59"/>
        <v>0</v>
      </c>
      <c r="L326" s="8">
        <f t="shared" si="60"/>
        <v>950.4</v>
      </c>
      <c r="M326" s="57">
        <f t="shared" si="61"/>
        <v>0</v>
      </c>
      <c r="N326" s="57">
        <f t="shared" si="62"/>
        <v>0</v>
      </c>
      <c r="O326" s="57">
        <f>ROUND(Dot_ex($D326,$E326,$F326,$G326,$H326,$I326,$L326+SUM($N326:N326),E$115,E$117,E$117),2)</f>
        <v>0</v>
      </c>
      <c r="P326" s="57">
        <f>ROUND(Dot_ex($D326,$E326,$F326,$G326,$H326,$I326,$L326+SUM($N326:O326),F$115,F$117,F$117),2)</f>
        <v>0</v>
      </c>
      <c r="Q326" s="57">
        <f>ROUND(Dot_ex($D326,$E326,$F326,$G326,$H326,$I326,$L326+SUM($N326:P326),G$115,G$117,G$117),2)</f>
        <v>0</v>
      </c>
      <c r="R326" s="57">
        <f>ROUND(Dot_ex($D326,$E326,$F326,$G326,$H326,$I326,$L326+SUM($N326:Q326),H$115,H$117,H$117),2)</f>
        <v>0</v>
      </c>
      <c r="S326" s="57">
        <f>ROUND(Dot_ex($D326,$E326,$F326,$G326,$H326,$I326,$L326+SUM($N326:R326),I$115,I$117,I$117),2)</f>
        <v>0</v>
      </c>
      <c r="T326" s="57">
        <f>ROUND(Dot_ex($D326,$E326,$F326,$G326,$H326,$I326,$L326+SUM($N326:S326),J$115,J$117,J$117),2)</f>
        <v>0</v>
      </c>
      <c r="U326" s="57">
        <f>ROUND(Dot_ex($D326,$E326,$F326,$G326,$H326,$I326,$L326+SUM($N326:T326),K$115,K$117,K$117),2)</f>
        <v>0</v>
      </c>
      <c r="V326" s="57">
        <f>ROUND(Dot_ex($D326,$E326,$F326,$G326,$H326,$I326,$L326+SUM($N326:U326),L$115,L$117,L$117),2)</f>
        <v>0</v>
      </c>
      <c r="W326" s="57">
        <f>ROUND(Dot_ex($D326,$E326,$F326,$G326,$H326,$I326,$L326+SUM($N326:V326),M$115,M$117,M$117),2)</f>
        <v>0</v>
      </c>
    </row>
    <row r="327" spans="1:23" x14ac:dyDescent="0.2">
      <c r="A327" s="107">
        <f t="shared" ca="1" si="58"/>
        <v>111</v>
      </c>
      <c r="B327" s="1" t="s">
        <v>108</v>
      </c>
      <c r="C327" s="1"/>
      <c r="D327" s="77">
        <v>32897</v>
      </c>
      <c r="E327" s="77">
        <v>32897</v>
      </c>
      <c r="F327" s="77"/>
      <c r="G327" s="8">
        <v>955.86</v>
      </c>
      <c r="H327" s="1" t="s">
        <v>8</v>
      </c>
      <c r="I327" s="78">
        <v>7</v>
      </c>
      <c r="J327" s="8">
        <v>955.86</v>
      </c>
      <c r="K327" s="8">
        <f t="shared" si="59"/>
        <v>0</v>
      </c>
      <c r="L327" s="8">
        <f t="shared" si="60"/>
        <v>955.86</v>
      </c>
      <c r="M327" s="57">
        <f t="shared" si="61"/>
        <v>0</v>
      </c>
      <c r="N327" s="57">
        <f t="shared" si="62"/>
        <v>0</v>
      </c>
      <c r="O327" s="57">
        <f>ROUND(Dot_ex($D327,$E327,$F327,$G327,$H327,$I327,$L327+SUM($N327:N327),E$115,E$117,E$117),2)</f>
        <v>0</v>
      </c>
      <c r="P327" s="57">
        <f>ROUND(Dot_ex($D327,$E327,$F327,$G327,$H327,$I327,$L327+SUM($N327:O327),F$115,F$117,F$117),2)</f>
        <v>0</v>
      </c>
      <c r="Q327" s="57">
        <f>ROUND(Dot_ex($D327,$E327,$F327,$G327,$H327,$I327,$L327+SUM($N327:P327),G$115,G$117,G$117),2)</f>
        <v>0</v>
      </c>
      <c r="R327" s="57">
        <f>ROUND(Dot_ex($D327,$E327,$F327,$G327,$H327,$I327,$L327+SUM($N327:Q327),H$115,H$117,H$117),2)</f>
        <v>0</v>
      </c>
      <c r="S327" s="57">
        <f>ROUND(Dot_ex($D327,$E327,$F327,$G327,$H327,$I327,$L327+SUM($N327:R327),I$115,I$117,I$117),2)</f>
        <v>0</v>
      </c>
      <c r="T327" s="57">
        <f>ROUND(Dot_ex($D327,$E327,$F327,$G327,$H327,$I327,$L327+SUM($N327:S327),J$115,J$117,J$117),2)</f>
        <v>0</v>
      </c>
      <c r="U327" s="57">
        <f>ROUND(Dot_ex($D327,$E327,$F327,$G327,$H327,$I327,$L327+SUM($N327:T327),K$115,K$117,K$117),2)</f>
        <v>0</v>
      </c>
      <c r="V327" s="57">
        <f>ROUND(Dot_ex($D327,$E327,$F327,$G327,$H327,$I327,$L327+SUM($N327:U327),L$115,L$117,L$117),2)</f>
        <v>0</v>
      </c>
      <c r="W327" s="57">
        <f>ROUND(Dot_ex($D327,$E327,$F327,$G327,$H327,$I327,$L327+SUM($N327:V327),M$115,M$117,M$117),2)</f>
        <v>0</v>
      </c>
    </row>
    <row r="328" spans="1:23" x14ac:dyDescent="0.2">
      <c r="A328" s="107">
        <f t="shared" ca="1" si="58"/>
        <v>112</v>
      </c>
      <c r="B328" s="1" t="s">
        <v>108</v>
      </c>
      <c r="C328" s="1"/>
      <c r="D328" s="77">
        <v>32897</v>
      </c>
      <c r="E328" s="77">
        <v>32897</v>
      </c>
      <c r="F328" s="77"/>
      <c r="G328" s="8">
        <v>958.74</v>
      </c>
      <c r="H328" s="1" t="s">
        <v>8</v>
      </c>
      <c r="I328" s="78">
        <v>7</v>
      </c>
      <c r="J328" s="8">
        <v>958.74</v>
      </c>
      <c r="K328" s="8">
        <f t="shared" si="59"/>
        <v>0</v>
      </c>
      <c r="L328" s="8">
        <f t="shared" si="60"/>
        <v>958.74</v>
      </c>
      <c r="M328" s="57">
        <f t="shared" si="61"/>
        <v>0</v>
      </c>
      <c r="N328" s="57">
        <f t="shared" si="62"/>
        <v>0</v>
      </c>
      <c r="O328" s="57">
        <f>ROUND(Dot_ex($D328,$E328,$F328,$G328,$H328,$I328,$L328+SUM($N328:N328),E$115,E$117,E$117),2)</f>
        <v>0</v>
      </c>
      <c r="P328" s="57">
        <f>ROUND(Dot_ex($D328,$E328,$F328,$G328,$H328,$I328,$L328+SUM($N328:O328),F$115,F$117,F$117),2)</f>
        <v>0</v>
      </c>
      <c r="Q328" s="57">
        <f>ROUND(Dot_ex($D328,$E328,$F328,$G328,$H328,$I328,$L328+SUM($N328:P328),G$115,G$117,G$117),2)</f>
        <v>0</v>
      </c>
      <c r="R328" s="57">
        <f>ROUND(Dot_ex($D328,$E328,$F328,$G328,$H328,$I328,$L328+SUM($N328:Q328),H$115,H$117,H$117),2)</f>
        <v>0</v>
      </c>
      <c r="S328" s="57">
        <f>ROUND(Dot_ex($D328,$E328,$F328,$G328,$H328,$I328,$L328+SUM($N328:R328),I$115,I$117,I$117),2)</f>
        <v>0</v>
      </c>
      <c r="T328" s="57">
        <f>ROUND(Dot_ex($D328,$E328,$F328,$G328,$H328,$I328,$L328+SUM($N328:S328),J$115,J$117,J$117),2)</f>
        <v>0</v>
      </c>
      <c r="U328" s="57">
        <f>ROUND(Dot_ex($D328,$E328,$F328,$G328,$H328,$I328,$L328+SUM($N328:T328),K$115,K$117,K$117),2)</f>
        <v>0</v>
      </c>
      <c r="V328" s="57">
        <f>ROUND(Dot_ex($D328,$E328,$F328,$G328,$H328,$I328,$L328+SUM($N328:U328),L$115,L$117,L$117),2)</f>
        <v>0</v>
      </c>
      <c r="W328" s="57">
        <f>ROUND(Dot_ex($D328,$E328,$F328,$G328,$H328,$I328,$L328+SUM($N328:V328),M$115,M$117,M$117),2)</f>
        <v>0</v>
      </c>
    </row>
    <row r="329" spans="1:23" x14ac:dyDescent="0.2">
      <c r="A329" s="107">
        <f t="shared" ca="1" si="58"/>
        <v>113</v>
      </c>
      <c r="B329" s="1" t="s">
        <v>108</v>
      </c>
      <c r="C329" s="1"/>
      <c r="D329" s="77">
        <v>32897</v>
      </c>
      <c r="E329" s="77">
        <v>32897</v>
      </c>
      <c r="F329" s="77"/>
      <c r="G329" s="8">
        <v>961.63</v>
      </c>
      <c r="H329" s="1" t="s">
        <v>8</v>
      </c>
      <c r="I329" s="78">
        <v>7</v>
      </c>
      <c r="J329" s="8">
        <v>961.63</v>
      </c>
      <c r="K329" s="8">
        <f t="shared" si="59"/>
        <v>0</v>
      </c>
      <c r="L329" s="8">
        <f t="shared" si="60"/>
        <v>961.63</v>
      </c>
      <c r="M329" s="57">
        <f t="shared" si="61"/>
        <v>0</v>
      </c>
      <c r="N329" s="57">
        <f t="shared" si="62"/>
        <v>0</v>
      </c>
      <c r="O329" s="57">
        <f>ROUND(Dot_ex($D329,$E329,$F329,$G329,$H329,$I329,$L329+SUM($N329:N329),E$115,E$117,E$117),2)</f>
        <v>0</v>
      </c>
      <c r="P329" s="57">
        <f>ROUND(Dot_ex($D329,$E329,$F329,$G329,$H329,$I329,$L329+SUM($N329:O329),F$115,F$117,F$117),2)</f>
        <v>0</v>
      </c>
      <c r="Q329" s="57">
        <f>ROUND(Dot_ex($D329,$E329,$F329,$G329,$H329,$I329,$L329+SUM($N329:P329),G$115,G$117,G$117),2)</f>
        <v>0</v>
      </c>
      <c r="R329" s="57">
        <f>ROUND(Dot_ex($D329,$E329,$F329,$G329,$H329,$I329,$L329+SUM($N329:Q329),H$115,H$117,H$117),2)</f>
        <v>0</v>
      </c>
      <c r="S329" s="57">
        <f>ROUND(Dot_ex($D329,$E329,$F329,$G329,$H329,$I329,$L329+SUM($N329:R329),I$115,I$117,I$117),2)</f>
        <v>0</v>
      </c>
      <c r="T329" s="57">
        <f>ROUND(Dot_ex($D329,$E329,$F329,$G329,$H329,$I329,$L329+SUM($N329:S329),J$115,J$117,J$117),2)</f>
        <v>0</v>
      </c>
      <c r="U329" s="57">
        <f>ROUND(Dot_ex($D329,$E329,$F329,$G329,$H329,$I329,$L329+SUM($N329:T329),K$115,K$117,K$117),2)</f>
        <v>0</v>
      </c>
      <c r="V329" s="57">
        <f>ROUND(Dot_ex($D329,$E329,$F329,$G329,$H329,$I329,$L329+SUM($N329:U329),L$115,L$117,L$117),2)</f>
        <v>0</v>
      </c>
      <c r="W329" s="57">
        <f>ROUND(Dot_ex($D329,$E329,$F329,$G329,$H329,$I329,$L329+SUM($N329:V329),M$115,M$117,M$117),2)</f>
        <v>0</v>
      </c>
    </row>
    <row r="330" spans="1:23" x14ac:dyDescent="0.2">
      <c r="A330" s="107">
        <f t="shared" ca="1" si="58"/>
        <v>114</v>
      </c>
      <c r="B330" s="1" t="s">
        <v>110</v>
      </c>
      <c r="C330" s="1"/>
      <c r="D330" s="77">
        <v>32940</v>
      </c>
      <c r="E330" s="77">
        <v>32940</v>
      </c>
      <c r="F330" s="77"/>
      <c r="G330" s="8">
        <v>311.42</v>
      </c>
      <c r="H330" s="1" t="s">
        <v>8</v>
      </c>
      <c r="I330" s="78">
        <v>7</v>
      </c>
      <c r="J330" s="8">
        <v>311.42</v>
      </c>
      <c r="K330" s="8">
        <f t="shared" si="59"/>
        <v>0</v>
      </c>
      <c r="L330" s="8">
        <f t="shared" si="60"/>
        <v>311.42</v>
      </c>
      <c r="M330" s="57">
        <f t="shared" si="61"/>
        <v>0</v>
      </c>
      <c r="N330" s="57">
        <f t="shared" si="62"/>
        <v>0</v>
      </c>
      <c r="O330" s="57">
        <f>ROUND(Dot_ex($D330,$E330,$F330,$G330,$H330,$I330,$L330+SUM($N330:N330),E$115,E$117,E$117),2)</f>
        <v>0</v>
      </c>
      <c r="P330" s="57">
        <f>ROUND(Dot_ex($D330,$E330,$F330,$G330,$H330,$I330,$L330+SUM($N330:O330),F$115,F$117,F$117),2)</f>
        <v>0</v>
      </c>
      <c r="Q330" s="57">
        <f>ROUND(Dot_ex($D330,$E330,$F330,$G330,$H330,$I330,$L330+SUM($N330:P330),G$115,G$117,G$117),2)</f>
        <v>0</v>
      </c>
      <c r="R330" s="57">
        <f>ROUND(Dot_ex($D330,$E330,$F330,$G330,$H330,$I330,$L330+SUM($N330:Q330),H$115,H$117,H$117),2)</f>
        <v>0</v>
      </c>
      <c r="S330" s="57">
        <f>ROUND(Dot_ex($D330,$E330,$F330,$G330,$H330,$I330,$L330+SUM($N330:R330),I$115,I$117,I$117),2)</f>
        <v>0</v>
      </c>
      <c r="T330" s="57">
        <f>ROUND(Dot_ex($D330,$E330,$F330,$G330,$H330,$I330,$L330+SUM($N330:S330),J$115,J$117,J$117),2)</f>
        <v>0</v>
      </c>
      <c r="U330" s="57">
        <f>ROUND(Dot_ex($D330,$E330,$F330,$G330,$H330,$I330,$L330+SUM($N330:T330),K$115,K$117,K$117),2)</f>
        <v>0</v>
      </c>
      <c r="V330" s="57">
        <f>ROUND(Dot_ex($D330,$E330,$F330,$G330,$H330,$I330,$L330+SUM($N330:U330),L$115,L$117,L$117),2)</f>
        <v>0</v>
      </c>
      <c r="W330" s="57">
        <f>ROUND(Dot_ex($D330,$E330,$F330,$G330,$H330,$I330,$L330+SUM($N330:V330),M$115,M$117,M$117),2)</f>
        <v>0</v>
      </c>
    </row>
    <row r="331" spans="1:23" x14ac:dyDescent="0.2">
      <c r="A331" s="107">
        <f t="shared" ca="1" si="58"/>
        <v>115</v>
      </c>
      <c r="B331" s="1" t="s">
        <v>111</v>
      </c>
      <c r="C331" s="1"/>
      <c r="D331" s="77">
        <v>33012</v>
      </c>
      <c r="E331" s="77">
        <v>33012</v>
      </c>
      <c r="F331" s="77"/>
      <c r="G331" s="8">
        <v>3088.21</v>
      </c>
      <c r="H331" s="1" t="s">
        <v>8</v>
      </c>
      <c r="I331" s="78">
        <v>7</v>
      </c>
      <c r="J331" s="8">
        <v>3088.21</v>
      </c>
      <c r="K331" s="8">
        <f t="shared" si="59"/>
        <v>0</v>
      </c>
      <c r="L331" s="8">
        <f t="shared" si="60"/>
        <v>3088.21</v>
      </c>
      <c r="M331" s="57">
        <f t="shared" si="61"/>
        <v>0</v>
      </c>
      <c r="N331" s="57">
        <f t="shared" si="62"/>
        <v>0</v>
      </c>
      <c r="O331" s="57">
        <f>ROUND(Dot_ex($D331,$E331,$F331,$G331,$H331,$I331,$L331+SUM($N331:N331),E$115,E$117,E$117),2)</f>
        <v>0</v>
      </c>
      <c r="P331" s="57">
        <f>ROUND(Dot_ex($D331,$E331,$F331,$G331,$H331,$I331,$L331+SUM($N331:O331),F$115,F$117,F$117),2)</f>
        <v>0</v>
      </c>
      <c r="Q331" s="57">
        <f>ROUND(Dot_ex($D331,$E331,$F331,$G331,$H331,$I331,$L331+SUM($N331:P331),G$115,G$117,G$117),2)</f>
        <v>0</v>
      </c>
      <c r="R331" s="57">
        <f>ROUND(Dot_ex($D331,$E331,$F331,$G331,$H331,$I331,$L331+SUM($N331:Q331),H$115,H$117,H$117),2)</f>
        <v>0</v>
      </c>
      <c r="S331" s="57">
        <f>ROUND(Dot_ex($D331,$E331,$F331,$G331,$H331,$I331,$L331+SUM($N331:R331),I$115,I$117,I$117),2)</f>
        <v>0</v>
      </c>
      <c r="T331" s="57">
        <f>ROUND(Dot_ex($D331,$E331,$F331,$G331,$H331,$I331,$L331+SUM($N331:S331),J$115,J$117,J$117),2)</f>
        <v>0</v>
      </c>
      <c r="U331" s="57">
        <f>ROUND(Dot_ex($D331,$E331,$F331,$G331,$H331,$I331,$L331+SUM($N331:T331),K$115,K$117,K$117),2)</f>
        <v>0</v>
      </c>
      <c r="V331" s="57">
        <f>ROUND(Dot_ex($D331,$E331,$F331,$G331,$H331,$I331,$L331+SUM($N331:U331),L$115,L$117,L$117),2)</f>
        <v>0</v>
      </c>
      <c r="W331" s="57">
        <f>ROUND(Dot_ex($D331,$E331,$F331,$G331,$H331,$I331,$L331+SUM($N331:V331),M$115,M$117,M$117),2)</f>
        <v>0</v>
      </c>
    </row>
    <row r="332" spans="1:23" x14ac:dyDescent="0.2">
      <c r="A332" s="107">
        <f t="shared" ca="1" si="58"/>
        <v>116</v>
      </c>
      <c r="B332" s="1" t="s">
        <v>108</v>
      </c>
      <c r="C332" s="1"/>
      <c r="D332" s="77">
        <v>33066</v>
      </c>
      <c r="E332" s="77">
        <v>33066</v>
      </c>
      <c r="F332" s="77"/>
      <c r="G332" s="8">
        <v>1005.87</v>
      </c>
      <c r="H332" s="1" t="s">
        <v>8</v>
      </c>
      <c r="I332" s="78">
        <v>7</v>
      </c>
      <c r="J332" s="8">
        <v>1005.87</v>
      </c>
      <c r="K332" s="8">
        <f t="shared" si="59"/>
        <v>0</v>
      </c>
      <c r="L332" s="8">
        <f t="shared" si="60"/>
        <v>1005.87</v>
      </c>
      <c r="M332" s="57">
        <f t="shared" si="61"/>
        <v>0</v>
      </c>
      <c r="N332" s="57">
        <f t="shared" si="62"/>
        <v>0</v>
      </c>
      <c r="O332" s="57">
        <f>ROUND(Dot_ex($D332,$E332,$F332,$G332,$H332,$I332,$L332+SUM($N332:N332),E$115,E$117,E$117),2)</f>
        <v>0</v>
      </c>
      <c r="P332" s="57">
        <f>ROUND(Dot_ex($D332,$E332,$F332,$G332,$H332,$I332,$L332+SUM($N332:O332),F$115,F$117,F$117),2)</f>
        <v>0</v>
      </c>
      <c r="Q332" s="57">
        <f>ROUND(Dot_ex($D332,$E332,$F332,$G332,$H332,$I332,$L332+SUM($N332:P332),G$115,G$117,G$117),2)</f>
        <v>0</v>
      </c>
      <c r="R332" s="57">
        <f>ROUND(Dot_ex($D332,$E332,$F332,$G332,$H332,$I332,$L332+SUM($N332:Q332),H$115,H$117,H$117),2)</f>
        <v>0</v>
      </c>
      <c r="S332" s="57">
        <f>ROUND(Dot_ex($D332,$E332,$F332,$G332,$H332,$I332,$L332+SUM($N332:R332),I$115,I$117,I$117),2)</f>
        <v>0</v>
      </c>
      <c r="T332" s="57">
        <f>ROUND(Dot_ex($D332,$E332,$F332,$G332,$H332,$I332,$L332+SUM($N332:S332),J$115,J$117,J$117),2)</f>
        <v>0</v>
      </c>
      <c r="U332" s="57">
        <f>ROUND(Dot_ex($D332,$E332,$F332,$G332,$H332,$I332,$L332+SUM($N332:T332),K$115,K$117,K$117),2)</f>
        <v>0</v>
      </c>
      <c r="V332" s="57">
        <f>ROUND(Dot_ex($D332,$E332,$F332,$G332,$H332,$I332,$L332+SUM($N332:U332),L$115,L$117,L$117),2)</f>
        <v>0</v>
      </c>
      <c r="W332" s="57">
        <f>ROUND(Dot_ex($D332,$E332,$F332,$G332,$H332,$I332,$L332+SUM($N332:V332),M$115,M$117,M$117),2)</f>
        <v>0</v>
      </c>
    </row>
    <row r="333" spans="1:23" x14ac:dyDescent="0.2">
      <c r="A333" s="107">
        <f t="shared" ca="1" si="58"/>
        <v>117</v>
      </c>
      <c r="B333" s="1" t="s">
        <v>112</v>
      </c>
      <c r="C333" s="1"/>
      <c r="D333" s="77">
        <v>33144</v>
      </c>
      <c r="E333" s="77">
        <v>33144</v>
      </c>
      <c r="F333" s="77"/>
      <c r="G333" s="8">
        <v>1964.88</v>
      </c>
      <c r="H333" s="1" t="s">
        <v>8</v>
      </c>
      <c r="I333" s="78">
        <v>7</v>
      </c>
      <c r="J333" s="8">
        <v>1964.88</v>
      </c>
      <c r="K333" s="8">
        <f t="shared" si="59"/>
        <v>0</v>
      </c>
      <c r="L333" s="8">
        <f t="shared" si="60"/>
        <v>1964.88</v>
      </c>
      <c r="M333" s="57">
        <f t="shared" si="61"/>
        <v>0</v>
      </c>
      <c r="N333" s="57">
        <f t="shared" si="62"/>
        <v>0</v>
      </c>
      <c r="O333" s="57">
        <f>ROUND(Dot_ex($D333,$E333,$F333,$G333,$H333,$I333,$L333+SUM($N333:N333),E$115,E$117,E$117),2)</f>
        <v>0</v>
      </c>
      <c r="P333" s="57">
        <f>ROUND(Dot_ex($D333,$E333,$F333,$G333,$H333,$I333,$L333+SUM($N333:O333),F$115,F$117,F$117),2)</f>
        <v>0</v>
      </c>
      <c r="Q333" s="57">
        <f>ROUND(Dot_ex($D333,$E333,$F333,$G333,$H333,$I333,$L333+SUM($N333:P333),G$115,G$117,G$117),2)</f>
        <v>0</v>
      </c>
      <c r="R333" s="57">
        <f>ROUND(Dot_ex($D333,$E333,$F333,$G333,$H333,$I333,$L333+SUM($N333:Q333),H$115,H$117,H$117),2)</f>
        <v>0</v>
      </c>
      <c r="S333" s="57">
        <f>ROUND(Dot_ex($D333,$E333,$F333,$G333,$H333,$I333,$L333+SUM($N333:R333),I$115,I$117,I$117),2)</f>
        <v>0</v>
      </c>
      <c r="T333" s="57">
        <f>ROUND(Dot_ex($D333,$E333,$F333,$G333,$H333,$I333,$L333+SUM($N333:S333),J$115,J$117,J$117),2)</f>
        <v>0</v>
      </c>
      <c r="U333" s="57">
        <f>ROUND(Dot_ex($D333,$E333,$F333,$G333,$H333,$I333,$L333+SUM($N333:T333),K$115,K$117,K$117),2)</f>
        <v>0</v>
      </c>
      <c r="V333" s="57">
        <f>ROUND(Dot_ex($D333,$E333,$F333,$G333,$H333,$I333,$L333+SUM($N333:U333),L$115,L$117,L$117),2)</f>
        <v>0</v>
      </c>
      <c r="W333" s="57">
        <f>ROUND(Dot_ex($D333,$E333,$F333,$G333,$H333,$I333,$L333+SUM($N333:V333),M$115,M$117,M$117),2)</f>
        <v>0</v>
      </c>
    </row>
    <row r="334" spans="1:23" x14ac:dyDescent="0.2">
      <c r="A334" s="107">
        <f t="shared" ca="1" si="58"/>
        <v>118</v>
      </c>
      <c r="B334" s="1" t="s">
        <v>113</v>
      </c>
      <c r="C334" s="1"/>
      <c r="D334" s="77">
        <v>33802</v>
      </c>
      <c r="E334" s="77">
        <v>33802</v>
      </c>
      <c r="F334" s="77"/>
      <c r="G334" s="8">
        <v>11967.25</v>
      </c>
      <c r="H334" s="1" t="s">
        <v>8</v>
      </c>
      <c r="I334" s="78">
        <v>4</v>
      </c>
      <c r="J334" s="8">
        <v>11967.25</v>
      </c>
      <c r="K334" s="8">
        <f t="shared" si="59"/>
        <v>0</v>
      </c>
      <c r="L334" s="8">
        <f t="shared" si="60"/>
        <v>11967.25</v>
      </c>
      <c r="M334" s="57">
        <f t="shared" si="61"/>
        <v>0</v>
      </c>
      <c r="N334" s="57">
        <f t="shared" si="62"/>
        <v>0</v>
      </c>
      <c r="O334" s="57">
        <f>ROUND(Dot_ex($D334,$E334,$F334,$G334,$H334,$I334,$L334+SUM($N334:N334),E$115,E$117,E$117),2)</f>
        <v>0</v>
      </c>
      <c r="P334" s="57">
        <f>ROUND(Dot_ex($D334,$E334,$F334,$G334,$H334,$I334,$L334+SUM($N334:O334),F$115,F$117,F$117),2)</f>
        <v>0</v>
      </c>
      <c r="Q334" s="57">
        <f>ROUND(Dot_ex($D334,$E334,$F334,$G334,$H334,$I334,$L334+SUM($N334:P334),G$115,G$117,G$117),2)</f>
        <v>0</v>
      </c>
      <c r="R334" s="57">
        <f>ROUND(Dot_ex($D334,$E334,$F334,$G334,$H334,$I334,$L334+SUM($N334:Q334),H$115,H$117,H$117),2)</f>
        <v>0</v>
      </c>
      <c r="S334" s="57">
        <f>ROUND(Dot_ex($D334,$E334,$F334,$G334,$H334,$I334,$L334+SUM($N334:R334),I$115,I$117,I$117),2)</f>
        <v>0</v>
      </c>
      <c r="T334" s="57">
        <f>ROUND(Dot_ex($D334,$E334,$F334,$G334,$H334,$I334,$L334+SUM($N334:S334),J$115,J$117,J$117),2)</f>
        <v>0</v>
      </c>
      <c r="U334" s="57">
        <f>ROUND(Dot_ex($D334,$E334,$F334,$G334,$H334,$I334,$L334+SUM($N334:T334),K$115,K$117,K$117),2)</f>
        <v>0</v>
      </c>
      <c r="V334" s="57">
        <f>ROUND(Dot_ex($D334,$E334,$F334,$G334,$H334,$I334,$L334+SUM($N334:U334),L$115,L$117,L$117),2)</f>
        <v>0</v>
      </c>
      <c r="W334" s="57">
        <f>ROUND(Dot_ex($D334,$E334,$F334,$G334,$H334,$I334,$L334+SUM($N334:V334),M$115,M$117,M$117),2)</f>
        <v>0</v>
      </c>
    </row>
    <row r="335" spans="1:23" x14ac:dyDescent="0.2">
      <c r="A335" s="107">
        <f t="shared" ca="1" si="58"/>
        <v>119</v>
      </c>
      <c r="B335" s="1" t="s">
        <v>114</v>
      </c>
      <c r="C335" s="1"/>
      <c r="D335" s="77">
        <v>33858</v>
      </c>
      <c r="E335" s="77">
        <v>33858</v>
      </c>
      <c r="F335" s="77"/>
      <c r="G335" s="8">
        <v>1314.11</v>
      </c>
      <c r="H335" s="1" t="s">
        <v>8</v>
      </c>
      <c r="I335" s="78">
        <v>4</v>
      </c>
      <c r="J335" s="8">
        <v>1314.11</v>
      </c>
      <c r="K335" s="8">
        <f t="shared" si="59"/>
        <v>0</v>
      </c>
      <c r="L335" s="8">
        <f t="shared" si="60"/>
        <v>1314.11</v>
      </c>
      <c r="M335" s="57">
        <f t="shared" si="61"/>
        <v>0</v>
      </c>
      <c r="N335" s="57">
        <f t="shared" si="62"/>
        <v>0</v>
      </c>
      <c r="O335" s="57">
        <f>ROUND(Dot_ex($D335,$E335,$F335,$G335,$H335,$I335,$L335+SUM($N335:N335),E$115,E$117,E$117),2)</f>
        <v>0</v>
      </c>
      <c r="P335" s="57">
        <f>ROUND(Dot_ex($D335,$E335,$F335,$G335,$H335,$I335,$L335+SUM($N335:O335),F$115,F$117,F$117),2)</f>
        <v>0</v>
      </c>
      <c r="Q335" s="57">
        <f>ROUND(Dot_ex($D335,$E335,$F335,$G335,$H335,$I335,$L335+SUM($N335:P335),G$115,G$117,G$117),2)</f>
        <v>0</v>
      </c>
      <c r="R335" s="57">
        <f>ROUND(Dot_ex($D335,$E335,$F335,$G335,$H335,$I335,$L335+SUM($N335:Q335),H$115,H$117,H$117),2)</f>
        <v>0</v>
      </c>
      <c r="S335" s="57">
        <f>ROUND(Dot_ex($D335,$E335,$F335,$G335,$H335,$I335,$L335+SUM($N335:R335),I$115,I$117,I$117),2)</f>
        <v>0</v>
      </c>
      <c r="T335" s="57">
        <f>ROUND(Dot_ex($D335,$E335,$F335,$G335,$H335,$I335,$L335+SUM($N335:S335),J$115,J$117,J$117),2)</f>
        <v>0</v>
      </c>
      <c r="U335" s="57">
        <f>ROUND(Dot_ex($D335,$E335,$F335,$G335,$H335,$I335,$L335+SUM($N335:T335),K$115,K$117,K$117),2)</f>
        <v>0</v>
      </c>
      <c r="V335" s="57">
        <f>ROUND(Dot_ex($D335,$E335,$F335,$G335,$H335,$I335,$L335+SUM($N335:U335),L$115,L$117,L$117),2)</f>
        <v>0</v>
      </c>
      <c r="W335" s="57">
        <f>ROUND(Dot_ex($D335,$E335,$F335,$G335,$H335,$I335,$L335+SUM($N335:V335),M$115,M$117,M$117),2)</f>
        <v>0</v>
      </c>
    </row>
    <row r="336" spans="1:23" x14ac:dyDescent="0.2">
      <c r="A336" s="107">
        <f t="shared" ca="1" si="58"/>
        <v>120</v>
      </c>
      <c r="B336" s="1" t="s">
        <v>120</v>
      </c>
      <c r="C336" s="1"/>
      <c r="D336" s="77">
        <v>36060</v>
      </c>
      <c r="E336" s="77">
        <v>36060</v>
      </c>
      <c r="F336" s="77"/>
      <c r="G336" s="8">
        <v>2683.1</v>
      </c>
      <c r="H336" s="1" t="s">
        <v>8</v>
      </c>
      <c r="I336" s="78">
        <v>5</v>
      </c>
      <c r="J336" s="8">
        <v>2683.1</v>
      </c>
      <c r="K336" s="8">
        <f t="shared" si="59"/>
        <v>0</v>
      </c>
      <c r="L336" s="8">
        <f t="shared" si="60"/>
        <v>2683.1</v>
      </c>
      <c r="M336" s="57">
        <f t="shared" si="61"/>
        <v>0</v>
      </c>
      <c r="N336" s="57">
        <f t="shared" si="62"/>
        <v>0</v>
      </c>
      <c r="O336" s="57">
        <f>ROUND(Dot_ex($D336,$E336,$F336,$G336,$H336,$I336,$L336+SUM($N336:N336),E$115,E$117,E$117),2)</f>
        <v>0</v>
      </c>
      <c r="P336" s="57">
        <f>ROUND(Dot_ex($D336,$E336,$F336,$G336,$H336,$I336,$L336+SUM($N336:O336),F$115,F$117,F$117),2)</f>
        <v>0</v>
      </c>
      <c r="Q336" s="57">
        <f>ROUND(Dot_ex($D336,$E336,$F336,$G336,$H336,$I336,$L336+SUM($N336:P336),G$115,G$117,G$117),2)</f>
        <v>0</v>
      </c>
      <c r="R336" s="57">
        <f>ROUND(Dot_ex($D336,$E336,$F336,$G336,$H336,$I336,$L336+SUM($N336:Q336),H$115,H$117,H$117),2)</f>
        <v>0</v>
      </c>
      <c r="S336" s="57">
        <f>ROUND(Dot_ex($D336,$E336,$F336,$G336,$H336,$I336,$L336+SUM($N336:R336),I$115,I$117,I$117),2)</f>
        <v>0</v>
      </c>
      <c r="T336" s="57">
        <f>ROUND(Dot_ex($D336,$E336,$F336,$G336,$H336,$I336,$L336+SUM($N336:S336),J$115,J$117,J$117),2)</f>
        <v>0</v>
      </c>
      <c r="U336" s="57">
        <f>ROUND(Dot_ex($D336,$E336,$F336,$G336,$H336,$I336,$L336+SUM($N336:T336),K$115,K$117,K$117),2)</f>
        <v>0</v>
      </c>
      <c r="V336" s="57">
        <f>ROUND(Dot_ex($D336,$E336,$F336,$G336,$H336,$I336,$L336+SUM($N336:U336),L$115,L$117,L$117),2)</f>
        <v>0</v>
      </c>
      <c r="W336" s="57">
        <f>ROUND(Dot_ex($D336,$E336,$F336,$G336,$H336,$I336,$L336+SUM($N336:V336),M$115,M$117,M$117),2)</f>
        <v>0</v>
      </c>
    </row>
    <row r="337" spans="1:23" x14ac:dyDescent="0.2">
      <c r="A337" s="107">
        <f t="shared" ca="1" si="58"/>
        <v>121</v>
      </c>
      <c r="B337" s="1" t="s">
        <v>121</v>
      </c>
      <c r="C337" s="1"/>
      <c r="D337" s="77">
        <v>36089</v>
      </c>
      <c r="E337" s="77">
        <v>36089</v>
      </c>
      <c r="F337" s="77"/>
      <c r="G337" s="8">
        <v>632.66</v>
      </c>
      <c r="H337" s="1" t="s">
        <v>8</v>
      </c>
      <c r="I337" s="78">
        <v>5</v>
      </c>
      <c r="J337" s="8">
        <v>632.66</v>
      </c>
      <c r="K337" s="8">
        <f t="shared" si="59"/>
        <v>0</v>
      </c>
      <c r="L337" s="8">
        <f t="shared" si="60"/>
        <v>632.66</v>
      </c>
      <c r="M337" s="57">
        <f t="shared" si="61"/>
        <v>0</v>
      </c>
      <c r="N337" s="57">
        <f t="shared" si="62"/>
        <v>0</v>
      </c>
      <c r="O337" s="57">
        <f>ROUND(Dot_ex($D337,$E337,$F337,$G337,$H337,$I337,$L337+SUM($N337:N337),E$115,E$117,E$117),2)</f>
        <v>0</v>
      </c>
      <c r="P337" s="57">
        <f>ROUND(Dot_ex($D337,$E337,$F337,$G337,$H337,$I337,$L337+SUM($N337:O337),F$115,F$117,F$117),2)</f>
        <v>0</v>
      </c>
      <c r="Q337" s="57">
        <f>ROUND(Dot_ex($D337,$E337,$F337,$G337,$H337,$I337,$L337+SUM($N337:P337),G$115,G$117,G$117),2)</f>
        <v>0</v>
      </c>
      <c r="R337" s="57">
        <f>ROUND(Dot_ex($D337,$E337,$F337,$G337,$H337,$I337,$L337+SUM($N337:Q337),H$115,H$117,H$117),2)</f>
        <v>0</v>
      </c>
      <c r="S337" s="57">
        <f>ROUND(Dot_ex($D337,$E337,$F337,$G337,$H337,$I337,$L337+SUM($N337:R337),I$115,I$117,I$117),2)</f>
        <v>0</v>
      </c>
      <c r="T337" s="57">
        <f>ROUND(Dot_ex($D337,$E337,$F337,$G337,$H337,$I337,$L337+SUM($N337:S337),J$115,J$117,J$117),2)</f>
        <v>0</v>
      </c>
      <c r="U337" s="57">
        <f>ROUND(Dot_ex($D337,$E337,$F337,$G337,$H337,$I337,$L337+SUM($N337:T337),K$115,K$117,K$117),2)</f>
        <v>0</v>
      </c>
      <c r="V337" s="57">
        <f>ROUND(Dot_ex($D337,$E337,$F337,$G337,$H337,$I337,$L337+SUM($N337:U337),L$115,L$117,L$117),2)</f>
        <v>0</v>
      </c>
      <c r="W337" s="57">
        <f>ROUND(Dot_ex($D337,$E337,$F337,$G337,$H337,$I337,$L337+SUM($N337:V337),M$115,M$117,M$117),2)</f>
        <v>0</v>
      </c>
    </row>
    <row r="338" spans="1:23" x14ac:dyDescent="0.2">
      <c r="A338" s="107">
        <f t="shared" ca="1" si="58"/>
        <v>122</v>
      </c>
      <c r="B338" s="1" t="s">
        <v>191</v>
      </c>
      <c r="C338" s="1" t="s">
        <v>265</v>
      </c>
      <c r="D338" s="77">
        <v>37330</v>
      </c>
      <c r="E338" s="77">
        <v>37330</v>
      </c>
      <c r="F338" s="77"/>
      <c r="G338" s="8">
        <v>636.04999999999995</v>
      </c>
      <c r="H338" s="1" t="s">
        <v>8</v>
      </c>
      <c r="I338" s="78">
        <v>5</v>
      </c>
      <c r="J338" s="8">
        <v>636.04999999999995</v>
      </c>
      <c r="K338" s="8">
        <f t="shared" si="59"/>
        <v>0</v>
      </c>
      <c r="L338" s="8">
        <f t="shared" si="60"/>
        <v>636.04999999999995</v>
      </c>
      <c r="M338" s="57">
        <f t="shared" si="61"/>
        <v>0</v>
      </c>
      <c r="N338" s="57">
        <f t="shared" si="62"/>
        <v>0</v>
      </c>
      <c r="O338" s="57">
        <f>ROUND(Dot_ex($D338,$E338,$F338,$G338,$H338,$I338,$L338+SUM($N338:N338),E$115,E$117,E$117),2)</f>
        <v>0</v>
      </c>
      <c r="P338" s="57">
        <f>ROUND(Dot_ex($D338,$E338,$F338,$G338,$H338,$I338,$L338+SUM($N338:O338),F$115,F$117,F$117),2)</f>
        <v>0</v>
      </c>
      <c r="Q338" s="57">
        <f>ROUND(Dot_ex($D338,$E338,$F338,$G338,$H338,$I338,$L338+SUM($N338:P338),G$115,G$117,G$117),2)</f>
        <v>0</v>
      </c>
      <c r="R338" s="57">
        <f>ROUND(Dot_ex($D338,$E338,$F338,$G338,$H338,$I338,$L338+SUM($N338:Q338),H$115,H$117,H$117),2)</f>
        <v>0</v>
      </c>
      <c r="S338" s="57">
        <f>ROUND(Dot_ex($D338,$E338,$F338,$G338,$H338,$I338,$L338+SUM($N338:R338),I$115,I$117,I$117),2)</f>
        <v>0</v>
      </c>
      <c r="T338" s="57">
        <f>ROUND(Dot_ex($D338,$E338,$F338,$G338,$H338,$I338,$L338+SUM($N338:S338),J$115,J$117,J$117),2)</f>
        <v>0</v>
      </c>
      <c r="U338" s="57">
        <f>ROUND(Dot_ex($D338,$E338,$F338,$G338,$H338,$I338,$L338+SUM($N338:T338),K$115,K$117,K$117),2)</f>
        <v>0</v>
      </c>
      <c r="V338" s="57">
        <f>ROUND(Dot_ex($D338,$E338,$F338,$G338,$H338,$I338,$L338+SUM($N338:U338),L$115,L$117,L$117),2)</f>
        <v>0</v>
      </c>
      <c r="W338" s="57">
        <f>ROUND(Dot_ex($D338,$E338,$F338,$G338,$H338,$I338,$L338+SUM($N338:V338),M$115,M$117,M$117),2)</f>
        <v>0</v>
      </c>
    </row>
    <row r="339" spans="1:23" x14ac:dyDescent="0.2">
      <c r="A339" s="107">
        <f t="shared" ca="1" si="58"/>
        <v>123</v>
      </c>
      <c r="B339" s="1" t="s">
        <v>223</v>
      </c>
      <c r="C339" s="1" t="s">
        <v>269</v>
      </c>
      <c r="D339" s="77">
        <v>37726</v>
      </c>
      <c r="E339" s="77">
        <v>37726</v>
      </c>
      <c r="F339" s="77"/>
      <c r="G339" s="8">
        <v>2670.94</v>
      </c>
      <c r="H339" s="1" t="s">
        <v>8</v>
      </c>
      <c r="I339" s="78">
        <v>5</v>
      </c>
      <c r="J339" s="8">
        <v>2670.94</v>
      </c>
      <c r="K339" s="8">
        <f t="shared" si="59"/>
        <v>0</v>
      </c>
      <c r="L339" s="8">
        <f t="shared" si="60"/>
        <v>2670.94</v>
      </c>
      <c r="M339" s="57">
        <f t="shared" si="61"/>
        <v>0</v>
      </c>
      <c r="N339" s="57">
        <f t="shared" si="62"/>
        <v>0</v>
      </c>
      <c r="O339" s="57">
        <f>ROUND(Dot_ex($D339,$E339,$F339,$G339,$H339,$I339,$L339+SUM($N339:N339),E$115,E$117,E$117),2)</f>
        <v>0</v>
      </c>
      <c r="P339" s="57">
        <f>ROUND(Dot_ex($D339,$E339,$F339,$G339,$H339,$I339,$L339+SUM($N339:O339),F$115,F$117,F$117),2)</f>
        <v>0</v>
      </c>
      <c r="Q339" s="57">
        <f>ROUND(Dot_ex($D339,$E339,$F339,$G339,$H339,$I339,$L339+SUM($N339:P339),G$115,G$117,G$117),2)</f>
        <v>0</v>
      </c>
      <c r="R339" s="57">
        <f>ROUND(Dot_ex($D339,$E339,$F339,$G339,$H339,$I339,$L339+SUM($N339:Q339),H$115,H$117,H$117),2)</f>
        <v>0</v>
      </c>
      <c r="S339" s="57">
        <f>ROUND(Dot_ex($D339,$E339,$F339,$G339,$H339,$I339,$L339+SUM($N339:R339),I$115,I$117,I$117),2)</f>
        <v>0</v>
      </c>
      <c r="T339" s="57">
        <f>ROUND(Dot_ex($D339,$E339,$F339,$G339,$H339,$I339,$L339+SUM($N339:S339),J$115,J$117,J$117),2)</f>
        <v>0</v>
      </c>
      <c r="U339" s="57">
        <f>ROUND(Dot_ex($D339,$E339,$F339,$G339,$H339,$I339,$L339+SUM($N339:T339),K$115,K$117,K$117),2)</f>
        <v>0</v>
      </c>
      <c r="V339" s="57">
        <f>ROUND(Dot_ex($D339,$E339,$F339,$G339,$H339,$I339,$L339+SUM($N339:U339),L$115,L$117,L$117),2)</f>
        <v>0</v>
      </c>
      <c r="W339" s="57">
        <f>ROUND(Dot_ex($D339,$E339,$F339,$G339,$H339,$I339,$L339+SUM($N339:V339),M$115,M$117,M$117),2)</f>
        <v>0</v>
      </c>
    </row>
    <row r="340" spans="1:23" x14ac:dyDescent="0.2">
      <c r="A340" s="107">
        <f t="shared" ca="1" si="58"/>
        <v>124</v>
      </c>
      <c r="B340" s="1" t="s">
        <v>309</v>
      </c>
      <c r="C340" s="1" t="s">
        <v>269</v>
      </c>
      <c r="D340" s="77">
        <v>41197</v>
      </c>
      <c r="E340" s="77">
        <v>41197</v>
      </c>
      <c r="F340" s="77"/>
      <c r="G340" s="8">
        <v>3915</v>
      </c>
      <c r="H340" s="1" t="s">
        <v>8</v>
      </c>
      <c r="I340" s="78">
        <v>5</v>
      </c>
      <c r="J340" s="8"/>
      <c r="K340" s="8">
        <f t="shared" ref="K340" si="63">ROUND(Dot_ex(D340,E340,F340,G340,H340,I340,J340,$G$6,$I$6,$I$8),2)</f>
        <v>555.61</v>
      </c>
      <c r="L340" s="8">
        <f t="shared" ref="L340" si="64">J340+K340</f>
        <v>555.61</v>
      </c>
      <c r="M340" s="57">
        <f t="shared" ref="M340" si="65">G340-L340</f>
        <v>3359.39</v>
      </c>
      <c r="N340" s="57">
        <f t="shared" ref="N340" si="66">ROUND(Dot_ex($D340,$E340,$F340,$G340,$H340,$I340,$L340,D$115,D$117,D$117),2)</f>
        <v>783</v>
      </c>
      <c r="O340" s="57">
        <f>ROUND(Dot_ex($D340,$E340,$F340,$G340,$H340,$I340,$L340+SUM($N340:N340),E$115,E$117,E$117),2)</f>
        <v>783</v>
      </c>
      <c r="P340" s="57">
        <f>ROUND(Dot_ex($D340,$E340,$F340,$G340,$H340,$I340,$L340+SUM($N340:O340),F$115,F$117,F$117),2)</f>
        <v>783</v>
      </c>
      <c r="Q340" s="57">
        <f>ROUND(Dot_ex($D340,$E340,$F340,$G340,$H340,$I340,$L340+SUM($N340:P340),G$115,G$117,G$117),2)</f>
        <v>783</v>
      </c>
      <c r="R340" s="57">
        <f>ROUND(Dot_ex($D340,$E340,$F340,$G340,$H340,$I340,$L340+SUM($N340:Q340),H$115,H$117,H$117),2)</f>
        <v>227.39</v>
      </c>
      <c r="S340" s="57">
        <f>ROUND(Dot_ex($D340,$E340,$F340,$G340,$H340,$I340,$L340+SUM($N340:R340),I$115,I$117,I$117),2)</f>
        <v>0</v>
      </c>
      <c r="T340" s="57">
        <f>ROUND(Dot_ex($D340,$E340,$F340,$G340,$H340,$I340,$L340+SUM($N340:S340),J$115,J$117,J$117),2)</f>
        <v>0</v>
      </c>
      <c r="U340" s="57">
        <f>ROUND(Dot_ex($D340,$E340,$F340,$G340,$H340,$I340,$L340+SUM($N340:T340),K$115,K$117,K$117),2)</f>
        <v>0</v>
      </c>
      <c r="V340" s="57">
        <f>ROUND(Dot_ex($D340,$E340,$F340,$G340,$H340,$I340,$L340+SUM($N340:U340),L$115,L$117,L$117),2)</f>
        <v>0</v>
      </c>
      <c r="W340" s="57">
        <f>ROUND(Dot_ex($D340,$E340,$F340,$G340,$H340,$I340,$L340+SUM($N340:V340),M$115,M$117,M$117),2)</f>
        <v>0</v>
      </c>
    </row>
    <row r="341" spans="1:23" x14ac:dyDescent="0.2">
      <c r="A341" s="101"/>
      <c r="G341" s="8"/>
      <c r="H341" s="1"/>
      <c r="I341" s="78"/>
      <c r="J341" s="8"/>
      <c r="K341" s="8"/>
      <c r="L341" s="8"/>
      <c r="M341" s="57"/>
      <c r="N341" s="57"/>
      <c r="O341" s="57"/>
      <c r="P341" s="57"/>
      <c r="Q341" s="57"/>
      <c r="R341" s="57"/>
      <c r="S341" s="57"/>
      <c r="T341" s="57"/>
      <c r="U341" s="57"/>
      <c r="V341" s="57"/>
      <c r="W341" s="57"/>
    </row>
    <row r="342" spans="1:23" x14ac:dyDescent="0.2">
      <c r="A342" s="101"/>
      <c r="E342" s="94" t="s">
        <v>14</v>
      </c>
      <c r="F342" s="95"/>
      <c r="G342" s="96">
        <f>SUM(G321:G341)</f>
        <v>39489.51</v>
      </c>
      <c r="H342" s="94"/>
      <c r="I342" s="97"/>
      <c r="J342" s="96">
        <f t="shared" ref="J342:Q342" si="67">SUM(J321:J341)</f>
        <v>35574.51</v>
      </c>
      <c r="K342" s="96">
        <f t="shared" si="67"/>
        <v>555.61</v>
      </c>
      <c r="L342" s="96">
        <f t="shared" si="67"/>
        <v>36130.120000000003</v>
      </c>
      <c r="M342" s="203">
        <f t="shared" si="67"/>
        <v>3359.39</v>
      </c>
      <c r="N342" s="57">
        <f t="shared" si="67"/>
        <v>783</v>
      </c>
      <c r="O342" s="57">
        <f t="shared" si="67"/>
        <v>783</v>
      </c>
      <c r="P342" s="57">
        <f t="shared" si="67"/>
        <v>783</v>
      </c>
      <c r="Q342" s="57">
        <f t="shared" si="67"/>
        <v>783</v>
      </c>
      <c r="R342" s="57"/>
      <c r="S342" s="57"/>
      <c r="T342" s="57"/>
      <c r="U342" s="57"/>
      <c r="V342" s="57"/>
      <c r="W342" s="57"/>
    </row>
    <row r="343" spans="1:23" x14ac:dyDescent="0.2">
      <c r="A343" s="101"/>
      <c r="M343" s="14"/>
      <c r="N343" s="57"/>
      <c r="O343" s="57"/>
      <c r="P343" s="57"/>
      <c r="Q343" s="57"/>
      <c r="R343" s="57"/>
      <c r="S343" s="57"/>
      <c r="T343" s="57"/>
      <c r="U343" s="57"/>
      <c r="V343" s="57"/>
      <c r="W343" s="57"/>
    </row>
    <row r="344" spans="1:23" x14ac:dyDescent="0.2">
      <c r="A344" s="101"/>
      <c r="E344" s="1" t="s">
        <v>23</v>
      </c>
      <c r="G344" s="8">
        <f>SUMIF($D321:$D341,"&lt;"&amp;TEXT($G$6,"jj/mm/aa"),G$321:G$341)</f>
        <v>35574.51</v>
      </c>
      <c r="J344" s="8">
        <f>SUMIF($D321:$D341,"&lt;"&amp;TEXT($G$6,"jj/mm/aa"),J$321:J$341)</f>
        <v>35574.51</v>
      </c>
      <c r="K344" s="8">
        <f>SUMIF($D321:$D341,"&lt;"&amp;TEXT($G$6,"jj/mm/aa"),K$321:K$341)</f>
        <v>0</v>
      </c>
      <c r="L344" s="8">
        <f>SUMIF($D321:$D341,"&lt;"&amp;TEXT($G$6,"jj/mm/aa"),L$321:L$341)</f>
        <v>35574.51</v>
      </c>
      <c r="M344" s="57">
        <f>SUMIF($D321:$D341,"&lt;"&amp;TEXT($G$6,"jj/mm/aa"),M$321:M$341)</f>
        <v>0</v>
      </c>
      <c r="N344" s="57"/>
      <c r="O344" s="57"/>
      <c r="P344" s="57"/>
      <c r="Q344" s="57"/>
      <c r="R344" s="57"/>
      <c r="S344" s="57"/>
      <c r="T344" s="57"/>
      <c r="U344" s="57"/>
      <c r="V344" s="57"/>
      <c r="W344" s="57"/>
    </row>
    <row r="345" spans="1:23" x14ac:dyDescent="0.2">
      <c r="A345" s="101"/>
      <c r="E345" s="1" t="s">
        <v>38</v>
      </c>
      <c r="G345" s="8">
        <f>SUMIF($D321:$D341,"&gt;="&amp;TEXT($G$6,"jj/mm/aa"),G$321:G$341)</f>
        <v>3915</v>
      </c>
      <c r="J345" s="8">
        <f>SUMIF($D321:$D341,"&gt;="&amp;TEXT($G$6,"jj/mm/aa"),J$321:J$341)</f>
        <v>0</v>
      </c>
      <c r="K345" s="8">
        <f>SUMIF($D321:$D341,"&gt;="&amp;TEXT($G$6,"jj/mm/aa"),K$321:K$341)</f>
        <v>555.61</v>
      </c>
      <c r="L345" s="8">
        <f>SUMIF($D321:$D341,"&gt;="&amp;TEXT($G$6,"jj/mm/aa"),L$321:L$341)</f>
        <v>555.61</v>
      </c>
      <c r="M345" s="57">
        <f>SUMIF($D321:$D341,"&gt;="&amp;TEXT($G$6,"jj/mm/aa"),M$321:M$341)</f>
        <v>3359.39</v>
      </c>
      <c r="N345" s="57"/>
      <c r="O345" s="57"/>
      <c r="P345" s="57"/>
      <c r="Q345" s="57"/>
      <c r="R345" s="57"/>
      <c r="S345" s="57"/>
      <c r="T345" s="57"/>
      <c r="U345" s="57"/>
      <c r="V345" s="57"/>
      <c r="W345" s="57"/>
    </row>
    <row r="346" spans="1:23" x14ac:dyDescent="0.2">
      <c r="A346" s="101"/>
      <c r="E346" s="1" t="s">
        <v>39</v>
      </c>
      <c r="G346" s="8">
        <f>SUMIF($F321:$F341,"&gt;="&amp;TEXT($G$6,"jj/mm/aa"),G$321:G$341)</f>
        <v>0</v>
      </c>
      <c r="J346" s="8">
        <f>SUMIF($F321:$F341,"&gt;="&amp;TEXT($G$6,"jj/mm/aa"),J$321:J$341)</f>
        <v>0</v>
      </c>
      <c r="K346" s="8">
        <f>SUMIF($F321:$F341,"&gt;="&amp;TEXT($G$6,"jj/mm/aa"),K$321:K$341)</f>
        <v>0</v>
      </c>
      <c r="L346" s="8">
        <f>SUMIF($F321:$F341,"&gt;="&amp;TEXT($G$6,"jj/mm/aa"),L$321:L$341)</f>
        <v>0</v>
      </c>
      <c r="M346" s="57">
        <f>SUMIF($F321:$F341,"&gt;="&amp;TEXT($G$6,"jj/mm/aa"),M$321:M$341)</f>
        <v>0</v>
      </c>
      <c r="N346" s="57"/>
      <c r="O346" s="57"/>
      <c r="P346" s="57"/>
      <c r="Q346" s="57"/>
      <c r="R346" s="57"/>
      <c r="S346" s="57"/>
      <c r="T346" s="57"/>
      <c r="U346" s="57"/>
      <c r="V346" s="57"/>
      <c r="W346" s="57"/>
    </row>
    <row r="347" spans="1:23" x14ac:dyDescent="0.2">
      <c r="A347" s="101"/>
      <c r="E347" s="1" t="s">
        <v>15</v>
      </c>
      <c r="G347" s="8">
        <f>G344+G345-G346</f>
        <v>39489.51</v>
      </c>
      <c r="J347" s="8">
        <f>J344+J345-J346</f>
        <v>35574.51</v>
      </c>
      <c r="K347" s="8">
        <f>K344+K345-K346</f>
        <v>555.61</v>
      </c>
      <c r="L347" s="8">
        <f>L344+L345-L346</f>
        <v>36130.120000000003</v>
      </c>
      <c r="M347" s="57">
        <f>M344+M345-M346</f>
        <v>3359.39</v>
      </c>
      <c r="N347" s="57"/>
      <c r="O347" s="57"/>
      <c r="P347" s="57"/>
      <c r="Q347" s="57"/>
      <c r="R347" s="57"/>
      <c r="S347" s="57"/>
      <c r="T347" s="57"/>
      <c r="U347" s="57"/>
      <c r="V347" s="57"/>
      <c r="W347" s="57"/>
    </row>
    <row r="348" spans="1:23" x14ac:dyDescent="0.2">
      <c r="A348" s="101"/>
      <c r="E348" s="1"/>
      <c r="G348" s="8"/>
      <c r="J348" s="8"/>
      <c r="K348" s="8"/>
      <c r="L348" s="8"/>
      <c r="M348" s="57"/>
      <c r="N348" s="57"/>
      <c r="O348" s="57"/>
      <c r="P348" s="57"/>
      <c r="Q348" s="57"/>
      <c r="R348" s="57"/>
      <c r="S348" s="57"/>
      <c r="T348" s="57"/>
      <c r="U348" s="57"/>
      <c r="V348" s="57"/>
      <c r="W348" s="57"/>
    </row>
    <row r="349" spans="1:23" x14ac:dyDescent="0.2">
      <c r="A349" s="101"/>
      <c r="M349" s="14"/>
      <c r="N349" s="57"/>
      <c r="O349" s="57"/>
      <c r="P349" s="57"/>
      <c r="Q349" s="57"/>
      <c r="R349" s="57"/>
      <c r="S349" s="57"/>
      <c r="T349" s="57"/>
      <c r="U349" s="57"/>
      <c r="V349" s="57"/>
      <c r="W349" s="57"/>
    </row>
    <row r="350" spans="1:23" ht="24.95" customHeight="1" x14ac:dyDescent="0.2">
      <c r="A350" s="208" t="s">
        <v>252</v>
      </c>
      <c r="B350" s="209"/>
      <c r="C350" s="209"/>
      <c r="D350" s="209"/>
      <c r="E350" s="210"/>
      <c r="F350" s="211"/>
      <c r="G350" s="211"/>
      <c r="H350" s="211"/>
      <c r="I350" s="211"/>
      <c r="J350" s="211"/>
      <c r="K350" s="211"/>
      <c r="L350" s="211"/>
      <c r="M350" s="226"/>
      <c r="N350" s="212" t="str">
        <f>A350 &amp; "   -   Dotations prévisionnelles"</f>
        <v>218100 AMENAGEMENTS DIVERS   -   Dotations prévisionnelles</v>
      </c>
      <c r="O350" s="212"/>
      <c r="P350" s="212"/>
      <c r="Q350" s="212"/>
      <c r="R350" s="212"/>
      <c r="S350" s="212"/>
      <c r="T350" s="212"/>
      <c r="U350" s="212"/>
      <c r="V350" s="212"/>
      <c r="W350" s="213"/>
    </row>
    <row r="351" spans="1:23" x14ac:dyDescent="0.2">
      <c r="A351" s="107">
        <f ca="1">IF(ISNUMBER(A350),A350+1,OFFSET(A351,-Nbre_Ligne_Entre_Compte,0,1,1)+1)</f>
        <v>125</v>
      </c>
      <c r="B351" s="1" t="s">
        <v>253</v>
      </c>
      <c r="C351" s="1" t="s">
        <v>265</v>
      </c>
      <c r="D351" s="77">
        <v>38433</v>
      </c>
      <c r="E351" s="77">
        <v>38433</v>
      </c>
      <c r="F351" s="77"/>
      <c r="G351" s="8">
        <v>2120</v>
      </c>
      <c r="H351" s="1" t="s">
        <v>8</v>
      </c>
      <c r="I351" s="78">
        <v>10</v>
      </c>
      <c r="J351" s="8">
        <v>1542.66</v>
      </c>
      <c r="K351" s="8">
        <f>ROUND(Dot_ex(D351,E351,F351,G351,H351,I351,J351,$G$6,$I$6,$I$8),2)</f>
        <v>212</v>
      </c>
      <c r="L351" s="8">
        <f>J351+K351</f>
        <v>1754.66</v>
      </c>
      <c r="M351" s="57">
        <f>G351-L351</f>
        <v>365.33999999999992</v>
      </c>
      <c r="N351" s="57">
        <f>ROUND(Dot_ex($D351,$E351,$F351,$G351,$H351,$I351,$L351,D$115,D$117,D$117),2)</f>
        <v>212</v>
      </c>
      <c r="O351" s="57">
        <f>ROUND(Dot_ex($D351,$E351,$F351,$G351,$H351,$I351,$L351+SUM($N351:N351),E$115,E$117,E$117),2)</f>
        <v>153.34</v>
      </c>
      <c r="P351" s="57">
        <f>ROUND(Dot_ex($D351,$E351,$F351,$G351,$H351,$I351,$L351+SUM($N351:O351),F$115,F$117,F$117),2)</f>
        <v>0</v>
      </c>
      <c r="Q351" s="57">
        <f>ROUND(Dot_ex($D351,$E351,$F351,$G351,$H351,$I351,$L351+SUM($N351:P351),G$115,G$117,G$117),2)</f>
        <v>0</v>
      </c>
      <c r="R351" s="57">
        <f>ROUND(Dot_ex($D351,$E351,$F351,$G351,$H351,$I351,$L351+SUM($N351:Q351),H$115,H$117,H$117),2)</f>
        <v>0</v>
      </c>
      <c r="S351" s="57">
        <f>ROUND(Dot_ex($D351,$E351,$F351,$G351,$H351,$I351,$L351+SUM($N351:R351),I$115,I$117,I$117),2)</f>
        <v>0</v>
      </c>
      <c r="T351" s="57">
        <f>ROUND(Dot_ex($D351,$E351,$F351,$G351,$H351,$I351,$L351+SUM($N351:S351),J$115,J$117,J$117),2)</f>
        <v>0</v>
      </c>
      <c r="U351" s="57">
        <f>ROUND(Dot_ex($D351,$E351,$F351,$G351,$H351,$I351,$L351+SUM($N351:T351),K$115,K$117,K$117),2)</f>
        <v>0</v>
      </c>
      <c r="V351" s="57">
        <f>ROUND(Dot_ex($D351,$E351,$F351,$G351,$H351,$I351,$L351+SUM($N351:U351),L$115,L$117,L$117),2)</f>
        <v>0</v>
      </c>
      <c r="W351" s="57">
        <f>ROUND(Dot_ex($D351,$E351,$F351,$G351,$H351,$I351,$L351+SUM($N351:V351),M$115,M$117,M$117),2)</f>
        <v>0</v>
      </c>
    </row>
    <row r="352" spans="1:23" x14ac:dyDescent="0.2">
      <c r="A352" s="107"/>
      <c r="B352" s="1"/>
      <c r="C352" s="1"/>
      <c r="D352" s="77"/>
      <c r="E352" s="77"/>
      <c r="F352" s="77"/>
      <c r="G352" s="8"/>
      <c r="H352" s="1"/>
      <c r="I352" s="78"/>
      <c r="J352" s="8"/>
      <c r="K352" s="8"/>
      <c r="L352" s="8"/>
      <c r="M352" s="57"/>
      <c r="N352" s="57"/>
      <c r="O352" s="57"/>
      <c r="P352" s="57"/>
      <c r="Q352" s="57"/>
      <c r="R352" s="57"/>
      <c r="S352" s="57"/>
      <c r="T352" s="57"/>
      <c r="U352" s="57"/>
      <c r="V352" s="57"/>
      <c r="W352" s="57"/>
    </row>
    <row r="353" spans="1:23" x14ac:dyDescent="0.2">
      <c r="A353" s="101"/>
      <c r="E353" s="94" t="s">
        <v>14</v>
      </c>
      <c r="F353" s="95"/>
      <c r="G353" s="96">
        <f>SUM(G351:G352)</f>
        <v>2120</v>
      </c>
      <c r="H353" s="94"/>
      <c r="I353" s="97"/>
      <c r="J353" s="96">
        <f t="shared" ref="J353:R353" si="68">SUM(J351:J352)</f>
        <v>1542.66</v>
      </c>
      <c r="K353" s="96">
        <f t="shared" si="68"/>
        <v>212</v>
      </c>
      <c r="L353" s="96">
        <f t="shared" si="68"/>
        <v>1754.66</v>
      </c>
      <c r="M353" s="203">
        <f t="shared" si="68"/>
        <v>365.33999999999992</v>
      </c>
      <c r="N353" s="203">
        <f t="shared" si="68"/>
        <v>212</v>
      </c>
      <c r="O353" s="203">
        <f t="shared" si="68"/>
        <v>153.34</v>
      </c>
      <c r="P353" s="203">
        <f t="shared" si="68"/>
        <v>0</v>
      </c>
      <c r="Q353" s="203">
        <f t="shared" si="68"/>
        <v>0</v>
      </c>
      <c r="R353" s="203">
        <f t="shared" si="68"/>
        <v>0</v>
      </c>
      <c r="S353" s="203">
        <f>SUM(S351:S352)</f>
        <v>0</v>
      </c>
      <c r="T353" s="203">
        <f>SUM(T351:T352)</f>
        <v>0</v>
      </c>
      <c r="U353" s="203">
        <f>SUM(U351:U352)</f>
        <v>0</v>
      </c>
      <c r="V353" s="203">
        <f>SUM(V351:V352)</f>
        <v>0</v>
      </c>
      <c r="W353" s="203">
        <f>SUM(W351:W352)</f>
        <v>0</v>
      </c>
    </row>
    <row r="354" spans="1:23" x14ac:dyDescent="0.2">
      <c r="A354" s="101"/>
      <c r="M354" s="14"/>
      <c r="N354" s="57"/>
      <c r="O354" s="57"/>
      <c r="P354" s="57"/>
      <c r="Q354" s="57"/>
      <c r="R354" s="57"/>
      <c r="S354" s="57"/>
      <c r="T354" s="57"/>
      <c r="U354" s="57"/>
      <c r="V354" s="57"/>
      <c r="W354" s="57"/>
    </row>
    <row r="355" spans="1:23" x14ac:dyDescent="0.2">
      <c r="A355" s="101"/>
      <c r="E355" s="1" t="s">
        <v>23</v>
      </c>
      <c r="G355" s="8">
        <f>SUMIF($D$351:$D$352,"&lt;"&amp;TEXT($G$6,"jj/mm/aa"),G$351:G$352)</f>
        <v>2120</v>
      </c>
      <c r="J355" s="8">
        <f>SUMIF($D$351:$D$352,"&lt;"&amp;TEXT($G$6,"jj/mm/aa"),J$351:J$352)</f>
        <v>1542.66</v>
      </c>
      <c r="K355" s="8">
        <f>SUMIF($D$351:$D$352,"&lt;"&amp;TEXT($G$6,"jj/mm/aa"),K$351:K$352)</f>
        <v>212</v>
      </c>
      <c r="L355" s="8">
        <f>SUMIF($D$351:$D$352,"&lt;"&amp;TEXT($G$6,"jj/mm/aa"),L$351:L$352)</f>
        <v>1754.66</v>
      </c>
      <c r="M355" s="57">
        <f>SUMIF($D$351:$D$352,"&lt;"&amp;TEXT($G$6,"jj/mm/aa"),M$351:M$352)</f>
        <v>365.33999999999992</v>
      </c>
      <c r="N355" s="57"/>
      <c r="O355" s="57"/>
      <c r="P355" s="57"/>
      <c r="Q355" s="57"/>
      <c r="R355" s="57"/>
      <c r="S355" s="57"/>
      <c r="T355" s="57"/>
      <c r="U355" s="57"/>
      <c r="V355" s="57"/>
      <c r="W355" s="57"/>
    </row>
    <row r="356" spans="1:23" x14ac:dyDescent="0.2">
      <c r="A356" s="101"/>
      <c r="E356" s="1" t="s">
        <v>38</v>
      </c>
      <c r="G356" s="8">
        <f>SUMIF($D$351:$D$352,"&gt;="&amp;TEXT($G$6,"jj/mm/aa"),G$351:G$352)</f>
        <v>0</v>
      </c>
      <c r="J356" s="8">
        <f>SUMIF($D$351:$D$352,"&gt;="&amp;TEXT($G$6,"jj/mm/aa"),J$351:J$352)</f>
        <v>0</v>
      </c>
      <c r="K356" s="8">
        <f>SUMIF($D$351:$D$352,"&gt;="&amp;TEXT($G$6,"jj/mm/aa"),K$351:K$352)</f>
        <v>0</v>
      </c>
      <c r="L356" s="8">
        <f>SUMIF($D$351:$D$352,"&gt;="&amp;TEXT($G$6,"jj/mm/aa"),L$351:L$352)</f>
        <v>0</v>
      </c>
      <c r="M356" s="57">
        <f>SUMIF($D$351:$D$352,"&gt;="&amp;TEXT($G$6,"jj/mm/aa"),M$351:M$352)</f>
        <v>0</v>
      </c>
      <c r="N356" s="57"/>
      <c r="O356" s="57"/>
      <c r="P356" s="57"/>
      <c r="Q356" s="57"/>
      <c r="R356" s="57"/>
      <c r="S356" s="57"/>
      <c r="T356" s="57"/>
      <c r="U356" s="57"/>
      <c r="V356" s="57"/>
      <c r="W356" s="57"/>
    </row>
    <row r="357" spans="1:23" x14ac:dyDescent="0.2">
      <c r="A357" s="101"/>
      <c r="E357" s="1" t="s">
        <v>39</v>
      </c>
      <c r="G357" s="8">
        <f>SUMIF($F$351:$F$352,"&gt;="&amp;TEXT($G$6,"jj/mm/aa"),G$351:G$352)</f>
        <v>0</v>
      </c>
      <c r="J357" s="8">
        <f>SUMIF($F$351:$F$352,"&gt;="&amp;TEXT($G$6,"jj/mm/aa"),J$351:J$352)</f>
        <v>0</v>
      </c>
      <c r="K357" s="8">
        <f>SUMIF($F$351:$F$352,"&gt;="&amp;TEXT($G$6,"jj/mm/aa"),K$351:K$352)</f>
        <v>0</v>
      </c>
      <c r="L357" s="8">
        <f>SUMIF($F$351:$F$352,"&gt;="&amp;TEXT($G$6,"jj/mm/aa"),L$351:L$352)</f>
        <v>0</v>
      </c>
      <c r="M357" s="57">
        <f>SUMIF($F$351:$F$352,"&gt;="&amp;TEXT($G$6,"jj/mm/aa"),M$351:M$352)</f>
        <v>0</v>
      </c>
      <c r="N357" s="57"/>
      <c r="O357" s="57"/>
      <c r="P357" s="57"/>
      <c r="Q357" s="57"/>
      <c r="R357" s="57"/>
      <c r="S357" s="57"/>
      <c r="T357" s="57"/>
      <c r="U357" s="57"/>
      <c r="V357" s="57"/>
      <c r="W357" s="57"/>
    </row>
    <row r="358" spans="1:23" x14ac:dyDescent="0.2">
      <c r="A358" s="101"/>
      <c r="E358" s="1" t="s">
        <v>15</v>
      </c>
      <c r="G358" s="8">
        <f>G355+G356-G357</f>
        <v>2120</v>
      </c>
      <c r="J358" s="8">
        <f>J355+J356-J357</f>
        <v>1542.66</v>
      </c>
      <c r="K358" s="8">
        <f>K355+K356-K357</f>
        <v>212</v>
      </c>
      <c r="L358" s="8">
        <f>L355+L356-L357</f>
        <v>1754.66</v>
      </c>
      <c r="M358" s="57">
        <f>M355+M356-M357</f>
        <v>365.33999999999992</v>
      </c>
      <c r="N358" s="57"/>
      <c r="O358" s="57"/>
      <c r="P358" s="57"/>
      <c r="Q358" s="57"/>
      <c r="R358" s="57"/>
      <c r="S358" s="57"/>
      <c r="T358" s="57"/>
      <c r="U358" s="57"/>
      <c r="V358" s="57"/>
      <c r="W358" s="57"/>
    </row>
    <row r="359" spans="1:23" x14ac:dyDescent="0.2">
      <c r="A359" s="101"/>
      <c r="E359" s="1"/>
      <c r="G359" s="8"/>
      <c r="J359" s="8"/>
      <c r="K359" s="8"/>
      <c r="L359" s="8"/>
      <c r="M359" s="57"/>
      <c r="N359" s="57"/>
      <c r="O359" s="57"/>
      <c r="P359" s="57"/>
      <c r="Q359" s="57"/>
      <c r="R359" s="57"/>
      <c r="S359" s="57"/>
      <c r="T359" s="57"/>
      <c r="U359" s="57"/>
      <c r="V359" s="57"/>
      <c r="W359" s="57"/>
    </row>
    <row r="360" spans="1:23" x14ac:dyDescent="0.2">
      <c r="A360" s="101"/>
      <c r="M360" s="14"/>
      <c r="N360" s="57"/>
      <c r="O360" s="57"/>
      <c r="P360" s="57"/>
      <c r="Q360" s="57"/>
      <c r="R360" s="57"/>
      <c r="S360" s="57"/>
      <c r="T360" s="57"/>
      <c r="U360" s="57"/>
      <c r="V360" s="57"/>
      <c r="W360" s="57"/>
    </row>
    <row r="361" spans="1:23" ht="24.95" customHeight="1" x14ac:dyDescent="0.2">
      <c r="A361" s="208" t="s">
        <v>293</v>
      </c>
      <c r="B361" s="209"/>
      <c r="C361" s="209"/>
      <c r="D361" s="209"/>
      <c r="E361" s="210"/>
      <c r="F361" s="211"/>
      <c r="G361" s="211"/>
      <c r="H361" s="211"/>
      <c r="I361" s="211"/>
      <c r="J361" s="211"/>
      <c r="K361" s="211"/>
      <c r="L361" s="211"/>
      <c r="M361" s="226"/>
      <c r="N361" s="212" t="str">
        <f>A361 &amp; "   -   Dotations prévisionnelles"</f>
        <v>218200 MATERIEL DE TRANSPORT   -   Dotations prévisionnelles</v>
      </c>
      <c r="O361" s="212"/>
      <c r="P361" s="212"/>
      <c r="Q361" s="212"/>
      <c r="R361" s="212"/>
      <c r="S361" s="212"/>
      <c r="T361" s="212"/>
      <c r="U361" s="212"/>
      <c r="V361" s="212"/>
      <c r="W361" s="213"/>
    </row>
    <row r="362" spans="1:23" x14ac:dyDescent="0.2">
      <c r="A362" s="107">
        <f t="shared" ref="A362:A369" ca="1" si="69">IF(ISNUMBER(A361),A361+1,OFFSET(A362,-Nbre_Ligne_Entre_Compte,0,1,1)+1)</f>
        <v>126</v>
      </c>
      <c r="B362" s="1" t="s">
        <v>294</v>
      </c>
      <c r="C362" s="1" t="s">
        <v>269</v>
      </c>
      <c r="D362" s="77">
        <v>40724</v>
      </c>
      <c r="E362" s="77">
        <v>40724</v>
      </c>
      <c r="F362" s="77"/>
      <c r="G362" s="8">
        <v>9880</v>
      </c>
      <c r="H362" s="1" t="s">
        <v>8</v>
      </c>
      <c r="I362" s="78">
        <v>3</v>
      </c>
      <c r="J362" s="8">
        <v>3302.35</v>
      </c>
      <c r="K362" s="8">
        <f t="shared" ref="K362:K367" si="70">ROUND(Dot_ex(D362,E362,F362,G362,H362,I362,J362,$G$6,$I$6,$I$8),2)</f>
        <v>3293.33</v>
      </c>
      <c r="L362" s="8">
        <f t="shared" ref="L362:L367" si="71">J362+K362</f>
        <v>6595.68</v>
      </c>
      <c r="M362" s="57">
        <f t="shared" ref="M362:M367" si="72">G362-L362</f>
        <v>3284.3199999999997</v>
      </c>
      <c r="N362" s="57">
        <f t="shared" ref="N362:N367" si="73">ROUND(Dot_ex($D362,$E362,$F362,$G362,$H362,$I362,$L362,D$115,D$117,D$117),2)</f>
        <v>3284.32</v>
      </c>
      <c r="O362" s="57">
        <f>ROUND(Dot_ex($D362,$E362,$F362,$G362,$H362,$I362,$L362+SUM($N362:N362),E$115,E$117,E$117),2)</f>
        <v>0</v>
      </c>
      <c r="P362" s="57">
        <f>ROUND(Dot_ex($D362,$E362,$F362,$G362,$H362,$I362,$L362+SUM($N362:O362),F$115,F$117,F$117),2)</f>
        <v>0</v>
      </c>
      <c r="Q362" s="57">
        <f>ROUND(Dot_ex($D362,$E362,$F362,$G362,$H362,$I362,$L362+SUM($N362:P362),G$115,G$117,G$117),2)</f>
        <v>0</v>
      </c>
      <c r="R362" s="57">
        <f>ROUND(Dot_ex($D362,$E362,$F362,$G362,$H362,$I362,$L362+SUM($N362:Q362),H$115,H$117,H$117),2)</f>
        <v>0</v>
      </c>
      <c r="S362" s="57">
        <f>ROUND(Dot_ex($D362,$E362,$F362,$G362,$H362,$I362,$L362+SUM($N362:R362),I$115,I$117,I$117),2)</f>
        <v>0</v>
      </c>
      <c r="T362" s="57">
        <f>ROUND(Dot_ex($D362,$E362,$F362,$G362,$H362,$I362,$L362+SUM($N362:S362),J$115,J$117,J$117),2)</f>
        <v>0</v>
      </c>
      <c r="U362" s="57">
        <f>ROUND(Dot_ex($D362,$E362,$F362,$G362,$H362,$I362,$L362+SUM($N362:T362),K$115,K$117,K$117),2)</f>
        <v>0</v>
      </c>
      <c r="V362" s="57">
        <f>ROUND(Dot_ex($D362,$E362,$F362,$G362,$H362,$I362,$L362+SUM($N362:U362),L$115,L$117,L$117),2)</f>
        <v>0</v>
      </c>
      <c r="W362" s="57">
        <f>ROUND(Dot_ex($D362,$E362,$F362,$G362,$H362,$I362,$L362+SUM($N362:V362),M$115,M$117,M$117),2)</f>
        <v>0</v>
      </c>
    </row>
    <row r="363" spans="1:23" x14ac:dyDescent="0.2">
      <c r="A363" s="107">
        <f t="shared" ca="1" si="69"/>
        <v>127</v>
      </c>
      <c r="B363" s="1" t="s">
        <v>295</v>
      </c>
      <c r="C363" s="1" t="s">
        <v>269</v>
      </c>
      <c r="D363" s="77">
        <v>40724</v>
      </c>
      <c r="E363" s="77">
        <v>40724</v>
      </c>
      <c r="F363" s="77"/>
      <c r="G363" s="8">
        <v>9880</v>
      </c>
      <c r="H363" s="1" t="s">
        <v>8</v>
      </c>
      <c r="I363" s="78">
        <v>3</v>
      </c>
      <c r="J363" s="8">
        <v>3302.35</v>
      </c>
      <c r="K363" s="8">
        <f t="shared" si="70"/>
        <v>3293.33</v>
      </c>
      <c r="L363" s="8">
        <f t="shared" si="71"/>
        <v>6595.68</v>
      </c>
      <c r="M363" s="57">
        <f t="shared" si="72"/>
        <v>3284.3199999999997</v>
      </c>
      <c r="N363" s="57">
        <f t="shared" si="73"/>
        <v>3284.32</v>
      </c>
      <c r="O363" s="57">
        <f>ROUND(Dot_ex($D363,$E363,$F363,$G363,$H363,$I363,$L363+SUM($N363:N363),E$115,E$117,E$117),2)</f>
        <v>0</v>
      </c>
      <c r="P363" s="57">
        <f>ROUND(Dot_ex($D363,$E363,$F363,$G363,$H363,$I363,$L363+SUM($N363:O363),F$115,F$117,F$117),2)</f>
        <v>0</v>
      </c>
      <c r="Q363" s="57">
        <f>ROUND(Dot_ex($D363,$E363,$F363,$G363,$H363,$I363,$L363+SUM($N363:P363),G$115,G$117,G$117),2)</f>
        <v>0</v>
      </c>
      <c r="R363" s="57">
        <f>ROUND(Dot_ex($D363,$E363,$F363,$G363,$H363,$I363,$L363+SUM($N363:Q363),H$115,H$117,H$117),2)</f>
        <v>0</v>
      </c>
      <c r="S363" s="57">
        <f>ROUND(Dot_ex($D363,$E363,$F363,$G363,$H363,$I363,$L363+SUM($N363:R363),I$115,I$117,I$117),2)</f>
        <v>0</v>
      </c>
      <c r="T363" s="57">
        <f>ROUND(Dot_ex($D363,$E363,$F363,$G363,$H363,$I363,$L363+SUM($N363:S363),J$115,J$117,J$117),2)</f>
        <v>0</v>
      </c>
      <c r="U363" s="57">
        <f>ROUND(Dot_ex($D363,$E363,$F363,$G363,$H363,$I363,$L363+SUM($N363:T363),K$115,K$117,K$117),2)</f>
        <v>0</v>
      </c>
      <c r="V363" s="57">
        <f>ROUND(Dot_ex($D363,$E363,$F363,$G363,$H363,$I363,$L363+SUM($N363:U363),L$115,L$117,L$117),2)</f>
        <v>0</v>
      </c>
      <c r="W363" s="57">
        <f>ROUND(Dot_ex($D363,$E363,$F363,$G363,$H363,$I363,$L363+SUM($N363:V363),M$115,M$117,M$117),2)</f>
        <v>0</v>
      </c>
    </row>
    <row r="364" spans="1:23" x14ac:dyDescent="0.2">
      <c r="A364" s="107">
        <f t="shared" ca="1" si="69"/>
        <v>128</v>
      </c>
      <c r="B364" s="1" t="s">
        <v>296</v>
      </c>
      <c r="C364" s="1" t="s">
        <v>269</v>
      </c>
      <c r="D364" s="77">
        <v>40724</v>
      </c>
      <c r="E364" s="77">
        <v>40724</v>
      </c>
      <c r="F364" s="77"/>
      <c r="G364" s="8">
        <v>9880</v>
      </c>
      <c r="H364" s="1" t="s">
        <v>8</v>
      </c>
      <c r="I364" s="78">
        <v>3</v>
      </c>
      <c r="J364" s="8">
        <v>3302.35</v>
      </c>
      <c r="K364" s="8">
        <f t="shared" si="70"/>
        <v>3293.33</v>
      </c>
      <c r="L364" s="8">
        <f t="shared" si="71"/>
        <v>6595.68</v>
      </c>
      <c r="M364" s="57">
        <f t="shared" si="72"/>
        <v>3284.3199999999997</v>
      </c>
      <c r="N364" s="57">
        <f t="shared" si="73"/>
        <v>3284.32</v>
      </c>
      <c r="O364" s="57">
        <f>ROUND(Dot_ex($D364,$E364,$F364,$G364,$H364,$I364,$L364+SUM($N364:N364),E$115,E$117,E$117),2)</f>
        <v>0</v>
      </c>
      <c r="P364" s="57">
        <f>ROUND(Dot_ex($D364,$E364,$F364,$G364,$H364,$I364,$L364+SUM($N364:O364),F$115,F$117,F$117),2)</f>
        <v>0</v>
      </c>
      <c r="Q364" s="57">
        <f>ROUND(Dot_ex($D364,$E364,$F364,$G364,$H364,$I364,$L364+SUM($N364:P364),G$115,G$117,G$117),2)</f>
        <v>0</v>
      </c>
      <c r="R364" s="57">
        <f>ROUND(Dot_ex($D364,$E364,$F364,$G364,$H364,$I364,$L364+SUM($N364:Q364),H$115,H$117,H$117),2)</f>
        <v>0</v>
      </c>
      <c r="S364" s="57">
        <f>ROUND(Dot_ex($D364,$E364,$F364,$G364,$H364,$I364,$L364+SUM($N364:R364),I$115,I$117,I$117),2)</f>
        <v>0</v>
      </c>
      <c r="T364" s="57">
        <f>ROUND(Dot_ex($D364,$E364,$F364,$G364,$H364,$I364,$L364+SUM($N364:S364),J$115,J$117,J$117),2)</f>
        <v>0</v>
      </c>
      <c r="U364" s="57">
        <f>ROUND(Dot_ex($D364,$E364,$F364,$G364,$H364,$I364,$L364+SUM($N364:T364),K$115,K$117,K$117),2)</f>
        <v>0</v>
      </c>
      <c r="V364" s="57">
        <f>ROUND(Dot_ex($D364,$E364,$F364,$G364,$H364,$I364,$L364+SUM($N364:U364),L$115,L$117,L$117),2)</f>
        <v>0</v>
      </c>
      <c r="W364" s="57">
        <f>ROUND(Dot_ex($D364,$E364,$F364,$G364,$H364,$I364,$L364+SUM($N364:V364),M$115,M$117,M$117),2)</f>
        <v>0</v>
      </c>
    </row>
    <row r="365" spans="1:23" x14ac:dyDescent="0.2">
      <c r="A365" s="107">
        <f t="shared" ca="1" si="69"/>
        <v>129</v>
      </c>
      <c r="B365" s="1" t="s">
        <v>297</v>
      </c>
      <c r="C365" s="1" t="s">
        <v>269</v>
      </c>
      <c r="D365" s="77">
        <v>40724</v>
      </c>
      <c r="E365" s="77">
        <v>40724</v>
      </c>
      <c r="F365" s="77"/>
      <c r="G365" s="8">
        <v>9880</v>
      </c>
      <c r="H365" s="1" t="s">
        <v>8</v>
      </c>
      <c r="I365" s="78">
        <v>3</v>
      </c>
      <c r="J365" s="8">
        <v>3302.35</v>
      </c>
      <c r="K365" s="8">
        <f t="shared" si="70"/>
        <v>3293.33</v>
      </c>
      <c r="L365" s="8">
        <f t="shared" si="71"/>
        <v>6595.68</v>
      </c>
      <c r="M365" s="57">
        <f t="shared" si="72"/>
        <v>3284.3199999999997</v>
      </c>
      <c r="N365" s="57">
        <f t="shared" si="73"/>
        <v>3284.32</v>
      </c>
      <c r="O365" s="57">
        <f>ROUND(Dot_ex($D365,$E365,$F365,$G365,$H365,$I365,$L365+SUM($N365:N365),E$115,E$117,E$117),2)</f>
        <v>0</v>
      </c>
      <c r="P365" s="57">
        <f>ROUND(Dot_ex($D365,$E365,$F365,$G365,$H365,$I365,$L365+SUM($N365:O365),F$115,F$117,F$117),2)</f>
        <v>0</v>
      </c>
      <c r="Q365" s="57">
        <f>ROUND(Dot_ex($D365,$E365,$F365,$G365,$H365,$I365,$L365+SUM($N365:P365),G$115,G$117,G$117),2)</f>
        <v>0</v>
      </c>
      <c r="R365" s="57">
        <f>ROUND(Dot_ex($D365,$E365,$F365,$G365,$H365,$I365,$L365+SUM($N365:Q365),H$115,H$117,H$117),2)</f>
        <v>0</v>
      </c>
      <c r="S365" s="57">
        <f>ROUND(Dot_ex($D365,$E365,$F365,$G365,$H365,$I365,$L365+SUM($N365:R365),I$115,I$117,I$117),2)</f>
        <v>0</v>
      </c>
      <c r="T365" s="57">
        <f>ROUND(Dot_ex($D365,$E365,$F365,$G365,$H365,$I365,$L365+SUM($N365:S365),J$115,J$117,J$117),2)</f>
        <v>0</v>
      </c>
      <c r="U365" s="57">
        <f>ROUND(Dot_ex($D365,$E365,$F365,$G365,$H365,$I365,$L365+SUM($N365:T365),K$115,K$117,K$117),2)</f>
        <v>0</v>
      </c>
      <c r="V365" s="57">
        <f>ROUND(Dot_ex($D365,$E365,$F365,$G365,$H365,$I365,$L365+SUM($N365:U365),L$115,L$117,L$117),2)</f>
        <v>0</v>
      </c>
      <c r="W365" s="57">
        <f>ROUND(Dot_ex($D365,$E365,$F365,$G365,$H365,$I365,$L365+SUM($N365:V365),M$115,M$117,M$117),2)</f>
        <v>0</v>
      </c>
    </row>
    <row r="366" spans="1:23" x14ac:dyDescent="0.2">
      <c r="A366" s="107">
        <f t="shared" ca="1" si="69"/>
        <v>130</v>
      </c>
      <c r="B366" s="1" t="s">
        <v>298</v>
      </c>
      <c r="C366" s="1" t="s">
        <v>269</v>
      </c>
      <c r="D366" s="77">
        <v>40724</v>
      </c>
      <c r="E366" s="77">
        <v>40724</v>
      </c>
      <c r="F366" s="77"/>
      <c r="G366" s="8">
        <v>9880</v>
      </c>
      <c r="H366" s="1" t="s">
        <v>8</v>
      </c>
      <c r="I366" s="78">
        <v>3</v>
      </c>
      <c r="J366" s="8">
        <v>3302.35</v>
      </c>
      <c r="K366" s="8">
        <f t="shared" si="70"/>
        <v>3293.33</v>
      </c>
      <c r="L366" s="8">
        <f t="shared" si="71"/>
        <v>6595.68</v>
      </c>
      <c r="M366" s="57">
        <f t="shared" si="72"/>
        <v>3284.3199999999997</v>
      </c>
      <c r="N366" s="57">
        <f t="shared" si="73"/>
        <v>3284.32</v>
      </c>
      <c r="O366" s="57">
        <f>ROUND(Dot_ex($D366,$E366,$F366,$G366,$H366,$I366,$L366+SUM($N366:N366),E$115,E$117,E$117),2)</f>
        <v>0</v>
      </c>
      <c r="P366" s="57">
        <f>ROUND(Dot_ex($D366,$E366,$F366,$G366,$H366,$I366,$L366+SUM($N366:O366),F$115,F$117,F$117),2)</f>
        <v>0</v>
      </c>
      <c r="Q366" s="57">
        <f>ROUND(Dot_ex($D366,$E366,$F366,$G366,$H366,$I366,$L366+SUM($N366:P366),G$115,G$117,G$117),2)</f>
        <v>0</v>
      </c>
      <c r="R366" s="57">
        <f>ROUND(Dot_ex($D366,$E366,$F366,$G366,$H366,$I366,$L366+SUM($N366:Q366),H$115,H$117,H$117),2)</f>
        <v>0</v>
      </c>
      <c r="S366" s="57">
        <f>ROUND(Dot_ex($D366,$E366,$F366,$G366,$H366,$I366,$L366+SUM($N366:R366),I$115,I$117,I$117),2)</f>
        <v>0</v>
      </c>
      <c r="T366" s="57">
        <f>ROUND(Dot_ex($D366,$E366,$F366,$G366,$H366,$I366,$L366+SUM($N366:S366),J$115,J$117,J$117),2)</f>
        <v>0</v>
      </c>
      <c r="U366" s="57">
        <f>ROUND(Dot_ex($D366,$E366,$F366,$G366,$H366,$I366,$L366+SUM($N366:T366),K$115,K$117,K$117),2)</f>
        <v>0</v>
      </c>
      <c r="V366" s="57">
        <f>ROUND(Dot_ex($D366,$E366,$F366,$G366,$H366,$I366,$L366+SUM($N366:U366),L$115,L$117,L$117),2)</f>
        <v>0</v>
      </c>
      <c r="W366" s="57">
        <f>ROUND(Dot_ex($D366,$E366,$F366,$G366,$H366,$I366,$L366+SUM($N366:V366),M$115,M$117,M$117),2)</f>
        <v>0</v>
      </c>
    </row>
    <row r="367" spans="1:23" x14ac:dyDescent="0.2">
      <c r="A367" s="107">
        <f t="shared" ca="1" si="69"/>
        <v>131</v>
      </c>
      <c r="B367" s="1" t="s">
        <v>299</v>
      </c>
      <c r="C367" s="1" t="s">
        <v>269</v>
      </c>
      <c r="D367" s="77">
        <v>40732</v>
      </c>
      <c r="E367" s="77">
        <v>40732</v>
      </c>
      <c r="F367" s="77"/>
      <c r="G367" s="8">
        <v>9880</v>
      </c>
      <c r="H367" s="1" t="s">
        <v>8</v>
      </c>
      <c r="I367" s="78">
        <v>3</v>
      </c>
      <c r="J367" s="8">
        <v>3230.35</v>
      </c>
      <c r="K367" s="8">
        <f t="shared" si="70"/>
        <v>3293.33</v>
      </c>
      <c r="L367" s="8">
        <f t="shared" si="71"/>
        <v>6523.68</v>
      </c>
      <c r="M367" s="57">
        <f t="shared" si="72"/>
        <v>3356.3199999999997</v>
      </c>
      <c r="N367" s="57">
        <f t="shared" si="73"/>
        <v>3293.33</v>
      </c>
      <c r="O367" s="57">
        <f>ROUND(Dot_ex($D367,$E367,$F367,$G367,$H367,$I367,$L367+SUM($N367:N367),E$115,E$117,E$117),2)</f>
        <v>62.99</v>
      </c>
      <c r="P367" s="57">
        <f>ROUND(Dot_ex($D367,$E367,$F367,$G367,$H367,$I367,$L367+SUM($N367:O367),F$115,F$117,F$117),2)</f>
        <v>0</v>
      </c>
      <c r="Q367" s="57">
        <f>ROUND(Dot_ex($D367,$E367,$F367,$G367,$H367,$I367,$L367+SUM($N367:P367),G$115,G$117,G$117),2)</f>
        <v>0</v>
      </c>
      <c r="R367" s="57">
        <f>ROUND(Dot_ex($D367,$E367,$F367,$G367,$H367,$I367,$L367+SUM($N367:Q367),H$115,H$117,H$117),2)</f>
        <v>0</v>
      </c>
      <c r="S367" s="57">
        <f>ROUND(Dot_ex($D367,$E367,$F367,$G367,$H367,$I367,$L367+SUM($N367:R367),I$115,I$117,I$117),2)</f>
        <v>0</v>
      </c>
      <c r="T367" s="57">
        <f>ROUND(Dot_ex($D367,$E367,$F367,$G367,$H367,$I367,$L367+SUM($N367:S367),J$115,J$117,J$117),2)</f>
        <v>0</v>
      </c>
      <c r="U367" s="57">
        <f>ROUND(Dot_ex($D367,$E367,$F367,$G367,$H367,$I367,$L367+SUM($N367:T367),K$115,K$117,K$117),2)</f>
        <v>0</v>
      </c>
      <c r="V367" s="57">
        <f>ROUND(Dot_ex($D367,$E367,$F367,$G367,$H367,$I367,$L367+SUM($N367:U367),L$115,L$117,L$117),2)</f>
        <v>0</v>
      </c>
      <c r="W367" s="57">
        <f>ROUND(Dot_ex($D367,$E367,$F367,$G367,$H367,$I367,$L367+SUM($N367:V367),M$115,M$117,M$117),2)</f>
        <v>0</v>
      </c>
    </row>
    <row r="368" spans="1:23" x14ac:dyDescent="0.2">
      <c r="A368" s="107">
        <f t="shared" ca="1" si="69"/>
        <v>132</v>
      </c>
      <c r="B368" s="1" t="s">
        <v>301</v>
      </c>
      <c r="C368" s="1" t="s">
        <v>269</v>
      </c>
      <c r="D368" s="77">
        <v>40893</v>
      </c>
      <c r="E368" s="77">
        <v>40893</v>
      </c>
      <c r="F368" s="77"/>
      <c r="G368" s="8">
        <v>15994</v>
      </c>
      <c r="H368" s="1" t="s">
        <v>8</v>
      </c>
      <c r="I368" s="78">
        <v>3</v>
      </c>
      <c r="J368" s="8">
        <v>2884.16</v>
      </c>
      <c r="K368" s="8">
        <f t="shared" ref="K368" si="74">ROUND(Dot_ex(D368,E368,F368,G368,H368,I368,J368,$G$6,$I$6,$I$8),2)</f>
        <v>5331.33</v>
      </c>
      <c r="L368" s="8">
        <f t="shared" ref="L368" si="75">J368+K368</f>
        <v>8215.49</v>
      </c>
      <c r="M368" s="57">
        <f t="shared" ref="M368" si="76">G368-L368</f>
        <v>7778.51</v>
      </c>
      <c r="N368" s="57">
        <f t="shared" ref="N368" si="77">ROUND(Dot_ex($D368,$E368,$F368,$G368,$H368,$I368,$L368,D$115,D$117,D$117),2)</f>
        <v>5331.33</v>
      </c>
      <c r="O368" s="57">
        <f>ROUND(Dot_ex($D368,$E368,$F368,$G368,$H368,$I368,$L368+SUM($N368:N368),E$115,E$117,E$117),2)</f>
        <v>2447.1799999999998</v>
      </c>
      <c r="P368" s="57">
        <f>ROUND(Dot_ex($D368,$E368,$F368,$G368,$H368,$I368,$L368+SUM($N368:O368),F$115,F$117,F$117),2)</f>
        <v>0</v>
      </c>
      <c r="Q368" s="57">
        <f>ROUND(Dot_ex($D368,$E368,$F368,$G368,$H368,$I368,$L368+SUM($N368:P368),G$115,G$117,G$117),2)</f>
        <v>0</v>
      </c>
      <c r="R368" s="57">
        <f>ROUND(Dot_ex($D368,$E368,$F368,$G368,$H368,$I368,$L368+SUM($N368:Q368),H$115,H$117,H$117),2)</f>
        <v>0</v>
      </c>
      <c r="S368" s="57">
        <f>ROUND(Dot_ex($D368,$E368,$F368,$G368,$H368,$I368,$L368+SUM($N368:R368),I$115,I$117,I$117),2)</f>
        <v>0</v>
      </c>
      <c r="T368" s="57">
        <f>ROUND(Dot_ex($D368,$E368,$F368,$G368,$H368,$I368,$L368+SUM($N368:S368),J$115,J$117,J$117),2)</f>
        <v>0</v>
      </c>
      <c r="U368" s="57">
        <f>ROUND(Dot_ex($D368,$E368,$F368,$G368,$H368,$I368,$L368+SUM($N368:T368),K$115,K$117,K$117),2)</f>
        <v>0</v>
      </c>
      <c r="V368" s="57">
        <f>ROUND(Dot_ex($D368,$E368,$F368,$G368,$H368,$I368,$L368+SUM($N368:U368),L$115,L$117,L$117),2)</f>
        <v>0</v>
      </c>
      <c r="W368" s="57">
        <f>ROUND(Dot_ex($D368,$E368,$F368,$G368,$H368,$I368,$L368+SUM($N368:V368),M$115,M$117,M$117),2)</f>
        <v>0</v>
      </c>
    </row>
    <row r="369" spans="1:23" x14ac:dyDescent="0.2">
      <c r="A369" s="107">
        <f t="shared" ca="1" si="69"/>
        <v>133</v>
      </c>
      <c r="B369" s="1" t="s">
        <v>300</v>
      </c>
      <c r="C369" s="1" t="s">
        <v>269</v>
      </c>
      <c r="D369" s="77">
        <v>40893</v>
      </c>
      <c r="E369" s="77">
        <v>40893</v>
      </c>
      <c r="F369" s="77"/>
      <c r="G369" s="8">
        <v>15994</v>
      </c>
      <c r="H369" s="1" t="s">
        <v>8</v>
      </c>
      <c r="I369" s="78">
        <v>3</v>
      </c>
      <c r="J369" s="8">
        <v>2884.16</v>
      </c>
      <c r="K369" s="8">
        <f t="shared" ref="K369" si="78">ROUND(Dot_ex(D369,E369,F369,G369,H369,I369,J369,$G$6,$I$6,$I$8),2)</f>
        <v>5331.33</v>
      </c>
      <c r="L369" s="8">
        <f t="shared" ref="L369" si="79">J369+K369</f>
        <v>8215.49</v>
      </c>
      <c r="M369" s="57">
        <f t="shared" ref="M369" si="80">G369-L369</f>
        <v>7778.51</v>
      </c>
      <c r="N369" s="57">
        <f t="shared" ref="N369" si="81">ROUND(Dot_ex($D369,$E369,$F369,$G369,$H369,$I369,$L369,D$115,D$117,D$117),2)</f>
        <v>5331.33</v>
      </c>
      <c r="O369" s="57">
        <f>ROUND(Dot_ex($D369,$E369,$F369,$G369,$H369,$I369,$L369+SUM($N369:N369),E$115,E$117,E$117),2)</f>
        <v>2447.1799999999998</v>
      </c>
      <c r="P369" s="57">
        <f>ROUND(Dot_ex($D369,$E369,$F369,$G369,$H369,$I369,$L369+SUM($N369:O369),F$115,F$117,F$117),2)</f>
        <v>0</v>
      </c>
      <c r="Q369" s="57">
        <f>ROUND(Dot_ex($D369,$E369,$F369,$G369,$H369,$I369,$L369+SUM($N369:P369),G$115,G$117,G$117),2)</f>
        <v>0</v>
      </c>
      <c r="R369" s="57">
        <f>ROUND(Dot_ex($D369,$E369,$F369,$G369,$H369,$I369,$L369+SUM($N369:Q369),H$115,H$117,H$117),2)</f>
        <v>0</v>
      </c>
      <c r="S369" s="57">
        <f>ROUND(Dot_ex($D369,$E369,$F369,$G369,$H369,$I369,$L369+SUM($N369:R369),I$115,I$117,I$117),2)</f>
        <v>0</v>
      </c>
      <c r="T369" s="57">
        <f>ROUND(Dot_ex($D369,$E369,$F369,$G369,$H369,$I369,$L369+SUM($N369:S369),J$115,J$117,J$117),2)</f>
        <v>0</v>
      </c>
      <c r="U369" s="57">
        <f>ROUND(Dot_ex($D369,$E369,$F369,$G369,$H369,$I369,$L369+SUM($N369:T369),K$115,K$117,K$117),2)</f>
        <v>0</v>
      </c>
      <c r="V369" s="57">
        <f>ROUND(Dot_ex($D369,$E369,$F369,$G369,$H369,$I369,$L369+SUM($N369:U369),L$115,L$117,L$117),2)</f>
        <v>0</v>
      </c>
      <c r="W369" s="57">
        <f>ROUND(Dot_ex($D369,$E369,$F369,$G369,$H369,$I369,$L369+SUM($N369:V369),M$115,M$117,M$117),2)</f>
        <v>0</v>
      </c>
    </row>
    <row r="370" spans="1:23" x14ac:dyDescent="0.2">
      <c r="A370" s="101"/>
      <c r="H370" s="1"/>
      <c r="I370" s="1"/>
      <c r="J370" s="8"/>
      <c r="K370" s="8"/>
      <c r="M370" s="14"/>
      <c r="N370" s="57"/>
      <c r="O370" s="57"/>
      <c r="P370" s="57"/>
      <c r="Q370" s="57"/>
      <c r="R370" s="57"/>
      <c r="S370" s="57"/>
      <c r="T370" s="57"/>
      <c r="U370" s="57"/>
      <c r="V370" s="57"/>
      <c r="W370" s="57"/>
    </row>
    <row r="371" spans="1:23" x14ac:dyDescent="0.2">
      <c r="A371" s="101"/>
      <c r="E371" s="94" t="s">
        <v>14</v>
      </c>
      <c r="F371" s="95"/>
      <c r="G371" s="96">
        <f>SUM(G362:G370)</f>
        <v>91268</v>
      </c>
      <c r="H371" s="94"/>
      <c r="I371" s="97"/>
      <c r="J371" s="96">
        <f t="shared" ref="J371:W371" si="82">SUM(J362:J370)</f>
        <v>25510.42</v>
      </c>
      <c r="K371" s="96">
        <f t="shared" si="82"/>
        <v>30422.640000000007</v>
      </c>
      <c r="L371" s="96">
        <f t="shared" si="82"/>
        <v>55933.06</v>
      </c>
      <c r="M371" s="203">
        <f t="shared" si="82"/>
        <v>35334.94</v>
      </c>
      <c r="N371" s="203">
        <f t="shared" si="82"/>
        <v>30377.590000000004</v>
      </c>
      <c r="O371" s="203">
        <f t="shared" si="82"/>
        <v>4957.3499999999995</v>
      </c>
      <c r="P371" s="203">
        <f t="shared" si="82"/>
        <v>0</v>
      </c>
      <c r="Q371" s="203">
        <f t="shared" si="82"/>
        <v>0</v>
      </c>
      <c r="R371" s="203">
        <f t="shared" si="82"/>
        <v>0</v>
      </c>
      <c r="S371" s="203">
        <f t="shared" si="82"/>
        <v>0</v>
      </c>
      <c r="T371" s="203">
        <f t="shared" si="82"/>
        <v>0</v>
      </c>
      <c r="U371" s="203">
        <f t="shared" si="82"/>
        <v>0</v>
      </c>
      <c r="V371" s="203">
        <f t="shared" si="82"/>
        <v>0</v>
      </c>
      <c r="W371" s="203">
        <f t="shared" si="82"/>
        <v>0</v>
      </c>
    </row>
    <row r="372" spans="1:23" x14ac:dyDescent="0.2">
      <c r="A372" s="101"/>
      <c r="E372" s="94"/>
      <c r="F372" s="95"/>
      <c r="G372" s="96"/>
      <c r="H372" s="94"/>
      <c r="I372" s="97"/>
      <c r="J372" s="96"/>
      <c r="K372" s="96"/>
      <c r="L372" s="96"/>
      <c r="M372" s="203"/>
      <c r="N372" s="57"/>
      <c r="O372" s="57"/>
      <c r="P372" s="57"/>
      <c r="Q372" s="57"/>
      <c r="R372" s="57"/>
      <c r="S372" s="57"/>
      <c r="T372" s="57"/>
      <c r="U372" s="57"/>
      <c r="V372" s="57"/>
      <c r="W372" s="57"/>
    </row>
    <row r="373" spans="1:23" x14ac:dyDescent="0.2">
      <c r="A373" s="101"/>
      <c r="E373" s="1" t="s">
        <v>23</v>
      </c>
      <c r="G373" s="8">
        <f>SUMIF($D362:$D370,"&lt;"&amp;TEXT($G$6,"jj/mm/aa"),G362:G370)</f>
        <v>91268</v>
      </c>
      <c r="H373" s="1"/>
      <c r="I373" s="78"/>
      <c r="J373" s="8">
        <v>3355.27</v>
      </c>
      <c r="K373" s="8">
        <f>SUMIF($D362:$D370,"&lt;"&amp;TEXT($G$6,"jj/mm/aa"),K362:K370)</f>
        <v>30422.640000000007</v>
      </c>
      <c r="L373" s="8">
        <f>SUMIF($D362:$D370,"&lt;"&amp;TEXT($G$6,"jj/mm/aa"),L362:L370)</f>
        <v>55933.06</v>
      </c>
      <c r="M373" s="57">
        <f>SUMIF($D362:$D370,"&lt;"&amp;TEXT($G$6,"jj/mm/aa"),M362:M370)</f>
        <v>35334.94</v>
      </c>
      <c r="N373" s="57"/>
      <c r="O373" s="57"/>
      <c r="P373" s="57"/>
      <c r="Q373" s="57"/>
      <c r="R373" s="57"/>
      <c r="S373" s="57"/>
      <c r="T373" s="57"/>
      <c r="U373" s="57"/>
      <c r="V373" s="57"/>
      <c r="W373" s="57"/>
    </row>
    <row r="374" spans="1:23" x14ac:dyDescent="0.2">
      <c r="A374" s="101"/>
      <c r="E374" s="1" t="s">
        <v>38</v>
      </c>
      <c r="G374" s="8">
        <f>SUMIF($D362:$D370,"&gt;="&amp;TEXT($G$6,"jj/mm/aa"),G362:G370)</f>
        <v>0</v>
      </c>
      <c r="J374" s="8">
        <f>SUMIF($D362:$D370,"&gt;="&amp;TEXT($G$6,"jj/mm/aa"),J362:J370)</f>
        <v>0</v>
      </c>
      <c r="K374" s="8">
        <f>SUMIF($D362:$D370,"&gt;="&amp;TEXT($G$6,"jj/mm/aa"),K362:K370)</f>
        <v>0</v>
      </c>
      <c r="L374" s="8">
        <f>SUMIF($D362:$D370,"&gt;="&amp;TEXT($G$6,"jj/mm/aa"),L362:L370)</f>
        <v>0</v>
      </c>
      <c r="M374" s="57">
        <f>SUMIF($D362:$D370,"&gt;="&amp;TEXT($G$6,"jj/mm/aa"),M362:M370)</f>
        <v>0</v>
      </c>
      <c r="N374" s="57"/>
      <c r="O374" s="57"/>
      <c r="P374" s="57"/>
      <c r="Q374" s="57"/>
      <c r="R374" s="57"/>
      <c r="S374" s="57"/>
      <c r="T374" s="57"/>
      <c r="U374" s="57"/>
      <c r="V374" s="57"/>
      <c r="W374" s="57"/>
    </row>
    <row r="375" spans="1:23" x14ac:dyDescent="0.2">
      <c r="A375" s="101"/>
      <c r="E375" s="1" t="s">
        <v>39</v>
      </c>
      <c r="G375" s="8">
        <f>SUMIF($F362:$F370,"&gt;="&amp;TEXT($G$6,"jj/mm/aa"),G362:G370)</f>
        <v>0</v>
      </c>
      <c r="J375" s="8">
        <f>SUMIF($F362:$F370,"&gt;="&amp;TEXT($G$6,"jj/mm/aa"),J362:J370)</f>
        <v>0</v>
      </c>
      <c r="K375" s="8">
        <f>SUMIF($F362:$F370,"&gt;="&amp;TEXT($G$6,"jj/mm/aa"),K362:K370)</f>
        <v>0</v>
      </c>
      <c r="L375" s="8">
        <f>SUMIF($F362:$F370,"&gt;="&amp;TEXT($G$6,"jj/mm/aa"),L362:L370)</f>
        <v>0</v>
      </c>
      <c r="M375" s="57">
        <f>SUMIF($F362:$F370,"&gt;="&amp;TEXT($G$6,"jj/mm/aa"),M362:M370)</f>
        <v>0</v>
      </c>
      <c r="N375" s="57"/>
      <c r="O375" s="57"/>
      <c r="P375" s="57"/>
      <c r="Q375" s="57"/>
      <c r="R375" s="57"/>
      <c r="S375" s="57"/>
      <c r="T375" s="57"/>
      <c r="U375" s="57"/>
      <c r="V375" s="57"/>
      <c r="W375" s="57"/>
    </row>
    <row r="376" spans="1:23" x14ac:dyDescent="0.2">
      <c r="A376" s="101"/>
      <c r="E376" s="1" t="s">
        <v>15</v>
      </c>
      <c r="G376" s="8">
        <f>G373+G374-G375</f>
        <v>91268</v>
      </c>
      <c r="J376" s="8">
        <f>J373+J374-J375</f>
        <v>3355.27</v>
      </c>
      <c r="K376" s="8">
        <f>K373+K374-K375</f>
        <v>30422.640000000007</v>
      </c>
      <c r="L376" s="8">
        <f>L373+L374-L375</f>
        <v>55933.06</v>
      </c>
      <c r="M376" s="57">
        <f>M373+M374-M375</f>
        <v>35334.94</v>
      </c>
      <c r="N376" s="57"/>
      <c r="O376" s="57"/>
      <c r="P376" s="57"/>
      <c r="Q376" s="57"/>
      <c r="R376" s="57"/>
      <c r="S376" s="57"/>
      <c r="T376" s="57"/>
      <c r="U376" s="57"/>
      <c r="V376" s="57"/>
      <c r="W376" s="57"/>
    </row>
    <row r="377" spans="1:23" x14ac:dyDescent="0.2">
      <c r="A377" s="101"/>
      <c r="M377" s="14"/>
      <c r="N377" s="57"/>
      <c r="O377" s="57"/>
      <c r="P377" s="57"/>
      <c r="Q377" s="57"/>
      <c r="R377" s="57"/>
      <c r="S377" s="57"/>
      <c r="T377" s="57"/>
      <c r="U377" s="57"/>
      <c r="V377" s="57"/>
      <c r="W377" s="57"/>
    </row>
    <row r="378" spans="1:23" x14ac:dyDescent="0.2">
      <c r="A378" s="101"/>
      <c r="M378" s="14"/>
      <c r="N378" s="57"/>
      <c r="O378" s="57"/>
      <c r="P378" s="57"/>
      <c r="Q378" s="57"/>
      <c r="R378" s="57"/>
      <c r="S378" s="57"/>
      <c r="T378" s="57"/>
      <c r="U378" s="57"/>
      <c r="V378" s="57"/>
      <c r="W378" s="57"/>
    </row>
    <row r="379" spans="1:23" ht="24.95" customHeight="1" x14ac:dyDescent="0.2">
      <c r="A379" s="208" t="s">
        <v>125</v>
      </c>
      <c r="B379" s="209"/>
      <c r="C379" s="209"/>
      <c r="D379" s="209"/>
      <c r="E379" s="210"/>
      <c r="F379" s="211"/>
      <c r="G379" s="211"/>
      <c r="H379" s="211"/>
      <c r="I379" s="211"/>
      <c r="J379" s="211"/>
      <c r="K379" s="211"/>
      <c r="L379" s="211"/>
      <c r="M379" s="226"/>
      <c r="N379" s="212" t="str">
        <f>A379 &amp; "   -   Dotations prévisionnelles"</f>
        <v>218300 MATERIEL DE BUREAU   -   Dotations prévisionnelles</v>
      </c>
      <c r="O379" s="212"/>
      <c r="P379" s="212"/>
      <c r="Q379" s="212"/>
      <c r="R379" s="212"/>
      <c r="S379" s="212"/>
      <c r="T379" s="212"/>
      <c r="U379" s="212"/>
      <c r="V379" s="212"/>
      <c r="W379" s="213"/>
    </row>
    <row r="380" spans="1:23" x14ac:dyDescent="0.2">
      <c r="A380" s="107">
        <f ca="1">IF(ISNUMBER(A379),A379+1,OFFSET(A380,-Nbre_Ligne_Entre_Compte,0,1,1)+1)</f>
        <v>134</v>
      </c>
      <c r="B380" s="1" t="s">
        <v>154</v>
      </c>
      <c r="C380" s="1" t="s">
        <v>265</v>
      </c>
      <c r="D380" s="77">
        <v>36433</v>
      </c>
      <c r="E380" s="77">
        <v>36433</v>
      </c>
      <c r="F380" s="77"/>
      <c r="G380" s="8">
        <v>972.07</v>
      </c>
      <c r="H380" s="1" t="s">
        <v>12</v>
      </c>
      <c r="I380" s="78">
        <v>3</v>
      </c>
      <c r="J380" s="8">
        <v>972.07</v>
      </c>
      <c r="K380" s="8">
        <f t="shared" ref="K380:K388" si="83">ROUND(Dot_ex(D380,E380,F380,G380,H380,I380,J380,$G$6,$I$6,$I$8),2)</f>
        <v>0</v>
      </c>
      <c r="L380" s="8">
        <f t="shared" ref="L380:L388" si="84">J380+K380</f>
        <v>972.07</v>
      </c>
      <c r="M380" s="57">
        <f t="shared" ref="M380:M388" si="85">G380-L380</f>
        <v>0</v>
      </c>
      <c r="N380" s="57">
        <f t="shared" ref="N380:N389" si="86">ROUND(Dot_ex($D380,$E380,$F380,$G380,$H380,$I380,$L380,D$115,D$117,D$117),2)</f>
        <v>0</v>
      </c>
      <c r="O380" s="57">
        <f>ROUND(Dot_ex($D380,$E380,$F380,$G380,$H380,$I380,$L380+SUM($N380:N380),E$115,E$117,E$117),2)</f>
        <v>0</v>
      </c>
      <c r="P380" s="57">
        <f>ROUND(Dot_ex($D380,$E380,$F380,$G380,$H380,$I380,$L380+SUM($N380:O380),F$115,F$117,F$117),2)</f>
        <v>0</v>
      </c>
      <c r="Q380" s="57">
        <f>ROUND(Dot_ex($D380,$E380,$F380,$G380,$H380,$I380,$L380+SUM($N380:P380),G$115,G$117,G$117),2)</f>
        <v>0</v>
      </c>
      <c r="R380" s="57">
        <f>ROUND(Dot_ex($D380,$E380,$F380,$G380,$H380,$I380,$L380+SUM($N380:Q380),H$115,H$117,H$117),2)</f>
        <v>0</v>
      </c>
      <c r="S380" s="57">
        <f>ROUND(Dot_ex($D380,$E380,$F380,$G380,$H380,$I380,$L380+SUM($N380:R380),I$115,I$117,I$117),2)</f>
        <v>0</v>
      </c>
      <c r="T380" s="57">
        <f>ROUND(Dot_ex($D380,$E380,$F380,$G380,$H380,$I380,$L380+SUM($N380:S380),J$115,J$117,J$117),2)</f>
        <v>0</v>
      </c>
      <c r="U380" s="57">
        <f>ROUND(Dot_ex($D380,$E380,$F380,$G380,$H380,$I380,$L380+SUM($N380:T380),K$115,K$117,K$117),2)</f>
        <v>0</v>
      </c>
      <c r="V380" s="57">
        <f>ROUND(Dot_ex($D380,$E380,$F380,$G380,$H380,$I380,$L380+SUM($N380:U380),L$115,L$117,L$117),2)</f>
        <v>0</v>
      </c>
      <c r="W380" s="57">
        <f>ROUND(Dot_ex($D380,$E380,$F380,$G380,$H380,$I380,$L380+SUM($N380:V380),M$115,M$117,M$117),2)</f>
        <v>0</v>
      </c>
    </row>
    <row r="381" spans="1:23" x14ac:dyDescent="0.2">
      <c r="A381" s="107">
        <f ca="1">IF(ISNUMBER(A380),A380+1,OFFSET(A381,-Nbre_Ligne_Entre_Compte,0,1,1)+1)</f>
        <v>135</v>
      </c>
      <c r="B381" s="1" t="s">
        <v>194</v>
      </c>
      <c r="C381" s="1" t="s">
        <v>265</v>
      </c>
      <c r="D381" s="77">
        <v>37349</v>
      </c>
      <c r="E381" s="77">
        <v>37349</v>
      </c>
      <c r="F381" s="77"/>
      <c r="G381" s="8">
        <v>3876.81</v>
      </c>
      <c r="H381" s="1" t="s">
        <v>8</v>
      </c>
      <c r="I381" s="78">
        <v>5</v>
      </c>
      <c r="J381" s="8">
        <v>3876.81</v>
      </c>
      <c r="K381" s="8">
        <f t="shared" si="83"/>
        <v>0</v>
      </c>
      <c r="L381" s="8">
        <f t="shared" si="84"/>
        <v>3876.81</v>
      </c>
      <c r="M381" s="57">
        <f t="shared" si="85"/>
        <v>0</v>
      </c>
      <c r="N381" s="57">
        <f t="shared" si="86"/>
        <v>0</v>
      </c>
      <c r="O381" s="57">
        <f>ROUND(Dot_ex($D381,$E381,$F381,$G381,$H381,$I381,$L381+SUM($N381:N381),E$115,E$117,E$117),2)</f>
        <v>0</v>
      </c>
      <c r="P381" s="57">
        <f>ROUND(Dot_ex($D381,$E381,$F381,$G381,$H381,$I381,$L381+SUM($N381:O381),F$115,F$117,F$117),2)</f>
        <v>0</v>
      </c>
      <c r="Q381" s="57">
        <f>ROUND(Dot_ex($D381,$E381,$F381,$G381,$H381,$I381,$L381+SUM($N381:P381),G$115,G$117,G$117),2)</f>
        <v>0</v>
      </c>
      <c r="R381" s="57">
        <f>ROUND(Dot_ex($D381,$E381,$F381,$G381,$H381,$I381,$L381+SUM($N381:Q381),H$115,H$117,H$117),2)</f>
        <v>0</v>
      </c>
      <c r="S381" s="57">
        <f>ROUND(Dot_ex($D381,$E381,$F381,$G381,$H381,$I381,$L381+SUM($N381:R381),I$115,I$117,I$117),2)</f>
        <v>0</v>
      </c>
      <c r="T381" s="57">
        <f>ROUND(Dot_ex($D381,$E381,$F381,$G381,$H381,$I381,$L381+SUM($N381:S381),J$115,J$117,J$117),2)</f>
        <v>0</v>
      </c>
      <c r="U381" s="57">
        <f>ROUND(Dot_ex($D381,$E381,$F381,$G381,$H381,$I381,$L381+SUM($N381:T381),K$115,K$117,K$117),2)</f>
        <v>0</v>
      </c>
      <c r="V381" s="57">
        <f>ROUND(Dot_ex($D381,$E381,$F381,$G381,$H381,$I381,$L381+SUM($N381:U381),L$115,L$117,L$117),2)</f>
        <v>0</v>
      </c>
      <c r="W381" s="57">
        <f>ROUND(Dot_ex($D381,$E381,$F381,$G381,$H381,$I381,$L381+SUM($N381:V381),M$115,M$117,M$117),2)</f>
        <v>0</v>
      </c>
    </row>
    <row r="382" spans="1:23" x14ac:dyDescent="0.2">
      <c r="A382" s="107">
        <f t="shared" ref="A382:A393" ca="1" si="87">IF(ISNUMBER(A381),A381+1,OFFSET(A382,-Nbre_Ligne_Entre_Compte,0,1,1)+1)</f>
        <v>136</v>
      </c>
      <c r="B382" s="1" t="s">
        <v>192</v>
      </c>
      <c r="C382" s="1" t="s">
        <v>269</v>
      </c>
      <c r="D382" s="77">
        <v>37358</v>
      </c>
      <c r="E382" s="77">
        <v>37358</v>
      </c>
      <c r="F382" s="77"/>
      <c r="G382" s="8">
        <v>1245</v>
      </c>
      <c r="H382" s="1" t="s">
        <v>12</v>
      </c>
      <c r="I382" s="78">
        <v>3</v>
      </c>
      <c r="J382" s="8">
        <v>1245</v>
      </c>
      <c r="K382" s="8">
        <f t="shared" si="83"/>
        <v>0</v>
      </c>
      <c r="L382" s="8">
        <f t="shared" si="84"/>
        <v>1245</v>
      </c>
      <c r="M382" s="57">
        <f t="shared" si="85"/>
        <v>0</v>
      </c>
      <c r="N382" s="57">
        <f t="shared" si="86"/>
        <v>0</v>
      </c>
      <c r="O382" s="57">
        <f>ROUND(Dot_ex($D382,$E382,$F382,$G382,$H382,$I382,$L382+SUM($N382:N382),E$115,E$117,E$117),2)</f>
        <v>0</v>
      </c>
      <c r="P382" s="57">
        <f>ROUND(Dot_ex($D382,$E382,$F382,$G382,$H382,$I382,$L382+SUM($N382:O382),F$115,F$117,F$117),2)</f>
        <v>0</v>
      </c>
      <c r="Q382" s="57">
        <f>ROUND(Dot_ex($D382,$E382,$F382,$G382,$H382,$I382,$L382+SUM($N382:P382),G$115,G$117,G$117),2)</f>
        <v>0</v>
      </c>
      <c r="R382" s="57">
        <f>ROUND(Dot_ex($D382,$E382,$F382,$G382,$H382,$I382,$L382+SUM($N382:Q382),H$115,H$117,H$117),2)</f>
        <v>0</v>
      </c>
      <c r="S382" s="57">
        <f>ROUND(Dot_ex($D382,$E382,$F382,$G382,$H382,$I382,$L382+SUM($N382:R382),I$115,I$117,I$117),2)</f>
        <v>0</v>
      </c>
      <c r="T382" s="57">
        <f>ROUND(Dot_ex($D382,$E382,$F382,$G382,$H382,$I382,$L382+SUM($N382:S382),J$115,J$117,J$117),2)</f>
        <v>0</v>
      </c>
      <c r="U382" s="57">
        <f>ROUND(Dot_ex($D382,$E382,$F382,$G382,$H382,$I382,$L382+SUM($N382:T382),K$115,K$117,K$117),2)</f>
        <v>0</v>
      </c>
      <c r="V382" s="57">
        <f>ROUND(Dot_ex($D382,$E382,$F382,$G382,$H382,$I382,$L382+SUM($N382:U382),L$115,L$117,L$117),2)</f>
        <v>0</v>
      </c>
      <c r="W382" s="57">
        <f>ROUND(Dot_ex($D382,$E382,$F382,$G382,$H382,$I382,$L382+SUM($N382:V382),M$115,M$117,M$117),2)</f>
        <v>0</v>
      </c>
    </row>
    <row r="383" spans="1:23" x14ac:dyDescent="0.2">
      <c r="A383" s="107">
        <f t="shared" ca="1" si="87"/>
        <v>137</v>
      </c>
      <c r="B383" s="1" t="s">
        <v>193</v>
      </c>
      <c r="C383" s="1" t="s">
        <v>269</v>
      </c>
      <c r="D383" s="77">
        <v>37434</v>
      </c>
      <c r="E383" s="77">
        <v>37434</v>
      </c>
      <c r="F383" s="77"/>
      <c r="G383" s="8">
        <v>618.73</v>
      </c>
      <c r="H383" s="1" t="s">
        <v>12</v>
      </c>
      <c r="I383" s="78">
        <v>3</v>
      </c>
      <c r="J383" s="8">
        <v>618.73</v>
      </c>
      <c r="K383" s="8">
        <f t="shared" si="83"/>
        <v>0</v>
      </c>
      <c r="L383" s="8">
        <f t="shared" si="84"/>
        <v>618.73</v>
      </c>
      <c r="M383" s="57">
        <f t="shared" si="85"/>
        <v>0</v>
      </c>
      <c r="N383" s="57">
        <f t="shared" si="86"/>
        <v>0</v>
      </c>
      <c r="O383" s="57">
        <f>ROUND(Dot_ex($D383,$E383,$F383,$G383,$H383,$I383,$L383+SUM($N383:N383),E$115,E$117,E$117),2)</f>
        <v>0</v>
      </c>
      <c r="P383" s="57">
        <f>ROUND(Dot_ex($D383,$E383,$F383,$G383,$H383,$I383,$L383+SUM($N383:O383),F$115,F$117,F$117),2)</f>
        <v>0</v>
      </c>
      <c r="Q383" s="57">
        <f>ROUND(Dot_ex($D383,$E383,$F383,$G383,$H383,$I383,$L383+SUM($N383:P383),G$115,G$117,G$117),2)</f>
        <v>0</v>
      </c>
      <c r="R383" s="57">
        <f>ROUND(Dot_ex($D383,$E383,$F383,$G383,$H383,$I383,$L383+SUM($N383:Q383),H$115,H$117,H$117),2)</f>
        <v>0</v>
      </c>
      <c r="S383" s="57">
        <f>ROUND(Dot_ex($D383,$E383,$F383,$G383,$H383,$I383,$L383+SUM($N383:R383),I$115,I$117,I$117),2)</f>
        <v>0</v>
      </c>
      <c r="T383" s="57">
        <f>ROUND(Dot_ex($D383,$E383,$F383,$G383,$H383,$I383,$L383+SUM($N383:S383),J$115,J$117,J$117),2)</f>
        <v>0</v>
      </c>
      <c r="U383" s="57">
        <f>ROUND(Dot_ex($D383,$E383,$F383,$G383,$H383,$I383,$L383+SUM($N383:T383),K$115,K$117,K$117),2)</f>
        <v>0</v>
      </c>
      <c r="V383" s="57">
        <f>ROUND(Dot_ex($D383,$E383,$F383,$G383,$H383,$I383,$L383+SUM($N383:U383),L$115,L$117,L$117),2)</f>
        <v>0</v>
      </c>
      <c r="W383" s="57">
        <f>ROUND(Dot_ex($D383,$E383,$F383,$G383,$H383,$I383,$L383+SUM($N383:V383),M$115,M$117,M$117),2)</f>
        <v>0</v>
      </c>
    </row>
    <row r="384" spans="1:23" x14ac:dyDescent="0.2">
      <c r="A384" s="107">
        <f t="shared" ca="1" si="87"/>
        <v>138</v>
      </c>
      <c r="B384" s="1" t="s">
        <v>224</v>
      </c>
      <c r="C384" s="1" t="s">
        <v>265</v>
      </c>
      <c r="D384" s="77">
        <v>37589</v>
      </c>
      <c r="E384" s="77">
        <v>37589</v>
      </c>
      <c r="F384" s="77"/>
      <c r="G384" s="8">
        <v>2107</v>
      </c>
      <c r="H384" s="1" t="s">
        <v>12</v>
      </c>
      <c r="I384" s="78">
        <v>3</v>
      </c>
      <c r="J384" s="8">
        <v>2107</v>
      </c>
      <c r="K384" s="8">
        <f t="shared" si="83"/>
        <v>0</v>
      </c>
      <c r="L384" s="8">
        <f t="shared" si="84"/>
        <v>2107</v>
      </c>
      <c r="M384" s="57">
        <f t="shared" si="85"/>
        <v>0</v>
      </c>
      <c r="N384" s="57">
        <f t="shared" si="86"/>
        <v>0</v>
      </c>
      <c r="O384" s="57">
        <f>ROUND(Dot_ex($D384,$E384,$F384,$G384,$H384,$I384,$L384+SUM($N384:N384),E$115,E$117,E$117),2)</f>
        <v>0</v>
      </c>
      <c r="P384" s="57">
        <f>ROUND(Dot_ex($D384,$E384,$F384,$G384,$H384,$I384,$L384+SUM($N384:O384),F$115,F$117,F$117),2)</f>
        <v>0</v>
      </c>
      <c r="Q384" s="57">
        <f>ROUND(Dot_ex($D384,$E384,$F384,$G384,$H384,$I384,$L384+SUM($N384:P384),G$115,G$117,G$117),2)</f>
        <v>0</v>
      </c>
      <c r="R384" s="57">
        <f>ROUND(Dot_ex($D384,$E384,$F384,$G384,$H384,$I384,$L384+SUM($N384:Q384),H$115,H$117,H$117),2)</f>
        <v>0</v>
      </c>
      <c r="S384" s="57">
        <f>ROUND(Dot_ex($D384,$E384,$F384,$G384,$H384,$I384,$L384+SUM($N384:R384),I$115,I$117,I$117),2)</f>
        <v>0</v>
      </c>
      <c r="T384" s="57">
        <f>ROUND(Dot_ex($D384,$E384,$F384,$G384,$H384,$I384,$L384+SUM($N384:S384),J$115,J$117,J$117),2)</f>
        <v>0</v>
      </c>
      <c r="U384" s="57">
        <f>ROUND(Dot_ex($D384,$E384,$F384,$G384,$H384,$I384,$L384+SUM($N384:T384),K$115,K$117,K$117),2)</f>
        <v>0</v>
      </c>
      <c r="V384" s="57">
        <f>ROUND(Dot_ex($D384,$E384,$F384,$G384,$H384,$I384,$L384+SUM($N384:U384),L$115,L$117,L$117),2)</f>
        <v>0</v>
      </c>
      <c r="W384" s="57">
        <f>ROUND(Dot_ex($D384,$E384,$F384,$G384,$H384,$I384,$L384+SUM($N384:V384),M$115,M$117,M$117),2)</f>
        <v>0</v>
      </c>
    </row>
    <row r="385" spans="1:23" x14ac:dyDescent="0.2">
      <c r="A385" s="107">
        <f t="shared" ca="1" si="87"/>
        <v>139</v>
      </c>
      <c r="B385" s="1" t="s">
        <v>225</v>
      </c>
      <c r="C385" s="1" t="s">
        <v>265</v>
      </c>
      <c r="D385" s="77">
        <v>37718</v>
      </c>
      <c r="E385" s="77">
        <v>37718</v>
      </c>
      <c r="F385" s="77"/>
      <c r="G385" s="8">
        <v>2000</v>
      </c>
      <c r="H385" s="1" t="s">
        <v>12</v>
      </c>
      <c r="I385" s="78">
        <v>3</v>
      </c>
      <c r="J385" s="8">
        <v>2000</v>
      </c>
      <c r="K385" s="8">
        <f t="shared" si="83"/>
        <v>0</v>
      </c>
      <c r="L385" s="8">
        <f t="shared" si="84"/>
        <v>2000</v>
      </c>
      <c r="M385" s="57">
        <f t="shared" si="85"/>
        <v>0</v>
      </c>
      <c r="N385" s="57">
        <f t="shared" si="86"/>
        <v>0</v>
      </c>
      <c r="O385" s="57">
        <f>ROUND(Dot_ex($D385,$E385,$F385,$G385,$H385,$I385,$L385+SUM($N385:N385),E$115,E$117,E$117),2)</f>
        <v>0</v>
      </c>
      <c r="P385" s="57">
        <f>ROUND(Dot_ex($D385,$E385,$F385,$G385,$H385,$I385,$L385+SUM($N385:O385),F$115,F$117,F$117),2)</f>
        <v>0</v>
      </c>
      <c r="Q385" s="57">
        <f>ROUND(Dot_ex($D385,$E385,$F385,$G385,$H385,$I385,$L385+SUM($N385:P385),G$115,G$117,G$117),2)</f>
        <v>0</v>
      </c>
      <c r="R385" s="57">
        <f>ROUND(Dot_ex($D385,$E385,$F385,$G385,$H385,$I385,$L385+SUM($N385:Q385),H$115,H$117,H$117),2)</f>
        <v>0</v>
      </c>
      <c r="S385" s="57">
        <f>ROUND(Dot_ex($D385,$E385,$F385,$G385,$H385,$I385,$L385+SUM($N385:R385),I$115,I$117,I$117),2)</f>
        <v>0</v>
      </c>
      <c r="T385" s="57">
        <f>ROUND(Dot_ex($D385,$E385,$F385,$G385,$H385,$I385,$L385+SUM($N385:S385),J$115,J$117,J$117),2)</f>
        <v>0</v>
      </c>
      <c r="U385" s="57">
        <f>ROUND(Dot_ex($D385,$E385,$F385,$G385,$H385,$I385,$L385+SUM($N385:T385),K$115,K$117,K$117),2)</f>
        <v>0</v>
      </c>
      <c r="V385" s="57">
        <f>ROUND(Dot_ex($D385,$E385,$F385,$G385,$H385,$I385,$L385+SUM($N385:U385),L$115,L$117,L$117),2)</f>
        <v>0</v>
      </c>
      <c r="W385" s="57">
        <f>ROUND(Dot_ex($D385,$E385,$F385,$G385,$H385,$I385,$L385+SUM($N385:V385),M$115,M$117,M$117),2)</f>
        <v>0</v>
      </c>
    </row>
    <row r="386" spans="1:23" x14ac:dyDescent="0.2">
      <c r="A386" s="107">
        <f t="shared" ca="1" si="87"/>
        <v>140</v>
      </c>
      <c r="B386" s="1" t="s">
        <v>226</v>
      </c>
      <c r="C386" s="1" t="s">
        <v>269</v>
      </c>
      <c r="D386" s="77">
        <v>37802</v>
      </c>
      <c r="E386" s="77">
        <v>37802</v>
      </c>
      <c r="F386" s="77"/>
      <c r="G386" s="8">
        <v>1614</v>
      </c>
      <c r="H386" s="1" t="s">
        <v>12</v>
      </c>
      <c r="I386" s="78">
        <v>3</v>
      </c>
      <c r="J386" s="8">
        <v>1614</v>
      </c>
      <c r="K386" s="8">
        <f t="shared" si="83"/>
        <v>0</v>
      </c>
      <c r="L386" s="8">
        <f t="shared" si="84"/>
        <v>1614</v>
      </c>
      <c r="M386" s="57">
        <f t="shared" si="85"/>
        <v>0</v>
      </c>
      <c r="N386" s="57">
        <f t="shared" si="86"/>
        <v>0</v>
      </c>
      <c r="O386" s="57">
        <f>ROUND(Dot_ex($D386,$E386,$F386,$G386,$H386,$I386,$L386+SUM($N386:N386),E$115,E$117,E$117),2)</f>
        <v>0</v>
      </c>
      <c r="P386" s="57">
        <f>ROUND(Dot_ex($D386,$E386,$F386,$G386,$H386,$I386,$L386+SUM($N386:O386),F$115,F$117,F$117),2)</f>
        <v>0</v>
      </c>
      <c r="Q386" s="57">
        <f>ROUND(Dot_ex($D386,$E386,$F386,$G386,$H386,$I386,$L386+SUM($N386:P386),G$115,G$117,G$117),2)</f>
        <v>0</v>
      </c>
      <c r="R386" s="57">
        <f>ROUND(Dot_ex($D386,$E386,$F386,$G386,$H386,$I386,$L386+SUM($N386:Q386),H$115,H$117,H$117),2)</f>
        <v>0</v>
      </c>
      <c r="S386" s="57">
        <f>ROUND(Dot_ex($D386,$E386,$F386,$G386,$H386,$I386,$L386+SUM($N386:R386),I$115,I$117,I$117),2)</f>
        <v>0</v>
      </c>
      <c r="T386" s="57">
        <f>ROUND(Dot_ex($D386,$E386,$F386,$G386,$H386,$I386,$L386+SUM($N386:S386),J$115,J$117,J$117),2)</f>
        <v>0</v>
      </c>
      <c r="U386" s="57">
        <f>ROUND(Dot_ex($D386,$E386,$F386,$G386,$H386,$I386,$L386+SUM($N386:T386),K$115,K$117,K$117),2)</f>
        <v>0</v>
      </c>
      <c r="V386" s="57">
        <f>ROUND(Dot_ex($D386,$E386,$F386,$G386,$H386,$I386,$L386+SUM($N386:U386),L$115,L$117,L$117),2)</f>
        <v>0</v>
      </c>
      <c r="W386" s="57">
        <f>ROUND(Dot_ex($D386,$E386,$F386,$G386,$H386,$I386,$L386+SUM($N386:V386),M$115,M$117,M$117),2)</f>
        <v>0</v>
      </c>
    </row>
    <row r="387" spans="1:23" x14ac:dyDescent="0.2">
      <c r="A387" s="107">
        <f t="shared" ca="1" si="87"/>
        <v>141</v>
      </c>
      <c r="B387" s="1" t="s">
        <v>251</v>
      </c>
      <c r="C387" s="1" t="s">
        <v>269</v>
      </c>
      <c r="D387" s="77">
        <v>38321</v>
      </c>
      <c r="E387" s="77">
        <v>38321</v>
      </c>
      <c r="F387" s="77"/>
      <c r="G387" s="8">
        <f>1059-80</f>
        <v>979</v>
      </c>
      <c r="H387" s="1" t="s">
        <v>12</v>
      </c>
      <c r="I387" s="78">
        <v>3</v>
      </c>
      <c r="J387" s="8">
        <v>979</v>
      </c>
      <c r="K387" s="8">
        <f t="shared" si="83"/>
        <v>0</v>
      </c>
      <c r="L387" s="8">
        <f t="shared" si="84"/>
        <v>979</v>
      </c>
      <c r="M387" s="57">
        <f t="shared" si="85"/>
        <v>0</v>
      </c>
      <c r="N387" s="57">
        <f t="shared" si="86"/>
        <v>0</v>
      </c>
      <c r="O387" s="57">
        <f>ROUND(Dot_ex($D387,$E387,$F387,$G387,$H387,$I387,$L387+SUM($N387:N387),E$115,E$117,E$117),2)</f>
        <v>0</v>
      </c>
      <c r="P387" s="57">
        <f>ROUND(Dot_ex($D387,$E387,$F387,$G387,$H387,$I387,$L387+SUM($N387:O387),F$115,F$117,F$117),2)</f>
        <v>0</v>
      </c>
      <c r="Q387" s="57">
        <f>ROUND(Dot_ex($D387,$E387,$F387,$G387,$H387,$I387,$L387+SUM($N387:P387),G$115,G$117,G$117),2)</f>
        <v>0</v>
      </c>
      <c r="R387" s="57">
        <f>ROUND(Dot_ex($D387,$E387,$F387,$G387,$H387,$I387,$L387+SUM($N387:Q387),H$115,H$117,H$117),2)</f>
        <v>0</v>
      </c>
      <c r="S387" s="57">
        <f>ROUND(Dot_ex($D387,$E387,$F387,$G387,$H387,$I387,$L387+SUM($N387:R387),I$115,I$117,I$117),2)</f>
        <v>0</v>
      </c>
      <c r="T387" s="57">
        <f>ROUND(Dot_ex($D387,$E387,$F387,$G387,$H387,$I387,$L387+SUM($N387:S387),J$115,J$117,J$117),2)</f>
        <v>0</v>
      </c>
      <c r="U387" s="57">
        <f>ROUND(Dot_ex($D387,$E387,$F387,$G387,$H387,$I387,$L387+SUM($N387:T387),K$115,K$117,K$117),2)</f>
        <v>0</v>
      </c>
      <c r="V387" s="57">
        <f>ROUND(Dot_ex($D387,$E387,$F387,$G387,$H387,$I387,$L387+SUM($N387:U387),L$115,L$117,L$117),2)</f>
        <v>0</v>
      </c>
      <c r="W387" s="57">
        <f>ROUND(Dot_ex($D387,$E387,$F387,$G387,$H387,$I387,$L387+SUM($N387:V387),M$115,M$117,M$117),2)</f>
        <v>0</v>
      </c>
    </row>
    <row r="388" spans="1:23" x14ac:dyDescent="0.2">
      <c r="A388" s="107">
        <f t="shared" ca="1" si="87"/>
        <v>142</v>
      </c>
      <c r="B388" s="1" t="s">
        <v>250</v>
      </c>
      <c r="C388" s="1" t="s">
        <v>269</v>
      </c>
      <c r="D388" s="77">
        <v>38428</v>
      </c>
      <c r="E388" s="77">
        <v>38428</v>
      </c>
      <c r="F388" s="77"/>
      <c r="G388" s="8">
        <v>559.70000000000005</v>
      </c>
      <c r="H388" s="1" t="s">
        <v>12</v>
      </c>
      <c r="I388" s="78">
        <v>3</v>
      </c>
      <c r="J388" s="8">
        <v>559.70000000000005</v>
      </c>
      <c r="K388" s="8">
        <f t="shared" si="83"/>
        <v>0</v>
      </c>
      <c r="L388" s="8">
        <f t="shared" si="84"/>
        <v>559.70000000000005</v>
      </c>
      <c r="M388" s="57">
        <f t="shared" si="85"/>
        <v>0</v>
      </c>
      <c r="N388" s="57">
        <f t="shared" si="86"/>
        <v>0</v>
      </c>
      <c r="O388" s="57">
        <f>ROUND(Dot_ex($D388,$E388,$F388,$G388,$H388,$I388,$L388+SUM($N388:N388),E$115,E$117,E$117),2)</f>
        <v>0</v>
      </c>
      <c r="P388" s="57">
        <f>ROUND(Dot_ex($D388,$E388,$F388,$G388,$H388,$I388,$L388+SUM($N388:O388),F$115,F$117,F$117),2)</f>
        <v>0</v>
      </c>
      <c r="Q388" s="57">
        <f>ROUND(Dot_ex($D388,$E388,$F388,$G388,$H388,$I388,$L388+SUM($N388:P388),G$115,G$117,G$117),2)</f>
        <v>0</v>
      </c>
      <c r="R388" s="57">
        <f>ROUND(Dot_ex($D388,$E388,$F388,$G388,$H388,$I388,$L388+SUM($N388:Q388),H$115,H$117,H$117),2)</f>
        <v>0</v>
      </c>
      <c r="S388" s="57">
        <f>ROUND(Dot_ex($D388,$E388,$F388,$G388,$H388,$I388,$L388+SUM($N388:R388),I$115,I$117,I$117),2)</f>
        <v>0</v>
      </c>
      <c r="T388" s="57">
        <f>ROUND(Dot_ex($D388,$E388,$F388,$G388,$H388,$I388,$L388+SUM($N388:S388),J$115,J$117,J$117),2)</f>
        <v>0</v>
      </c>
      <c r="U388" s="57">
        <f>ROUND(Dot_ex($D388,$E388,$F388,$G388,$H388,$I388,$L388+SUM($N388:T388),K$115,K$117,K$117),2)</f>
        <v>0</v>
      </c>
      <c r="V388" s="57">
        <f>ROUND(Dot_ex($D388,$E388,$F388,$G388,$H388,$I388,$L388+SUM($N388:U388),L$115,L$117,L$117),2)</f>
        <v>0</v>
      </c>
      <c r="W388" s="57">
        <f>ROUND(Dot_ex($D388,$E388,$F388,$G388,$H388,$I388,$L388+SUM($N388:V388),M$115,M$117,M$117),2)</f>
        <v>0</v>
      </c>
    </row>
    <row r="389" spans="1:23" x14ac:dyDescent="0.2">
      <c r="A389" s="107">
        <f t="shared" ca="1" si="87"/>
        <v>143</v>
      </c>
      <c r="B389" s="1" t="s">
        <v>275</v>
      </c>
      <c r="C389" s="1" t="s">
        <v>265</v>
      </c>
      <c r="D389" s="77">
        <v>38947</v>
      </c>
      <c r="E389" s="77">
        <v>38947</v>
      </c>
      <c r="F389" s="77"/>
      <c r="G389" s="8">
        <v>851.85</v>
      </c>
      <c r="H389" s="1" t="s">
        <v>8</v>
      </c>
      <c r="I389" s="78">
        <v>5</v>
      </c>
      <c r="J389" s="8">
        <v>851.85</v>
      </c>
      <c r="K389" s="8">
        <f t="shared" ref="K389:K394" si="88">ROUND(Dot_ex(D389,E389,F389,G389,H389,I389,J389,$G$6,$I$6,$I$8),2)</f>
        <v>0</v>
      </c>
      <c r="L389" s="8">
        <f t="shared" ref="L389:L394" si="89">J389+K389</f>
        <v>851.85</v>
      </c>
      <c r="M389" s="57">
        <f t="shared" ref="M389:M394" si="90">G389-L389</f>
        <v>0</v>
      </c>
      <c r="N389" s="57">
        <f t="shared" si="86"/>
        <v>0</v>
      </c>
      <c r="O389" s="57">
        <f>ROUND(Dot_ex($D389,$E389,$F389,$G389,$H389,$I389,$L389+SUM($N389:N389),E$115,E$117,E$117),2)</f>
        <v>0</v>
      </c>
      <c r="P389" s="57">
        <f>ROUND(Dot_ex($D389,$E389,$F389,$G389,$H389,$I389,$L389+SUM($N389:O389),F$115,F$117,F$117),2)</f>
        <v>0</v>
      </c>
      <c r="Q389" s="57">
        <f>ROUND(Dot_ex($D389,$E389,$F389,$G389,$H389,$I389,$L389+SUM($N389:P389),G$115,G$117,G$117),2)</f>
        <v>0</v>
      </c>
      <c r="R389" s="57">
        <f>ROUND(Dot_ex($D389,$E389,$F389,$G389,$H389,$I389,$L389+SUM($N389:Q389),H$115,H$117,H$117),2)</f>
        <v>0</v>
      </c>
      <c r="S389" s="57">
        <f>ROUND(Dot_ex($D389,$E389,$F389,$G389,$H389,$I389,$L389+SUM($N389:R389),I$115,I$117,I$117),2)</f>
        <v>0</v>
      </c>
      <c r="T389" s="57">
        <f>ROUND(Dot_ex($D389,$E389,$F389,$G389,$H389,$I389,$L389+SUM($N389:S389),J$115,J$117,J$117),2)</f>
        <v>0</v>
      </c>
      <c r="U389" s="57">
        <f>ROUND(Dot_ex($D389,$E389,$F389,$G389,$H389,$I389,$L389+SUM($N389:T389),K$115,K$117,K$117),2)</f>
        <v>0</v>
      </c>
      <c r="V389" s="57">
        <f>ROUND(Dot_ex($D389,$E389,$F389,$G389,$H389,$I389,$L389+SUM($N389:U389),L$115,L$117,L$117),2)</f>
        <v>0</v>
      </c>
      <c r="W389" s="57">
        <f>ROUND(Dot_ex($D389,$E389,$F389,$G389,$H389,$I389,$L389+SUM($N389:V389),M$115,M$117,M$117),2)</f>
        <v>0</v>
      </c>
    </row>
    <row r="390" spans="1:23" x14ac:dyDescent="0.2">
      <c r="A390" s="107">
        <f t="shared" ca="1" si="87"/>
        <v>144</v>
      </c>
      <c r="B390" s="1" t="s">
        <v>279</v>
      </c>
      <c r="C390" s="1" t="s">
        <v>265</v>
      </c>
      <c r="D390" s="77">
        <v>39976</v>
      </c>
      <c r="E390" s="77">
        <v>39976</v>
      </c>
      <c r="F390" s="77"/>
      <c r="G390" s="8">
        <f>675*2</f>
        <v>1350</v>
      </c>
      <c r="H390" s="1" t="s">
        <v>12</v>
      </c>
      <c r="I390" s="78">
        <v>3</v>
      </c>
      <c r="J390" s="8">
        <v>1350</v>
      </c>
      <c r="K390" s="8">
        <f t="shared" si="88"/>
        <v>0</v>
      </c>
      <c r="L390" s="8">
        <f t="shared" si="89"/>
        <v>1350</v>
      </c>
      <c r="M390" s="57">
        <f t="shared" si="90"/>
        <v>0</v>
      </c>
      <c r="N390" s="57">
        <f t="shared" ref="N390:N396" si="91">ROUND(Dot_ex($D390,$E390,$F390,$G390,$H390,$I390,$L390,D$115,D$117,D$117),2)</f>
        <v>0</v>
      </c>
      <c r="O390" s="57">
        <f>ROUND(Dot_ex($D390,$E390,$F390,$G390,$H390,$I390,$L390+SUM($N390:N390),E$115,E$117,E$117),2)</f>
        <v>0</v>
      </c>
      <c r="P390" s="57">
        <f>ROUND(Dot_ex($D390,$E390,$F390,$G390,$H390,$I390,$L390+SUM($N390:O390),F$115,F$117,F$117),2)</f>
        <v>0</v>
      </c>
      <c r="Q390" s="57">
        <f>ROUND(Dot_ex($D390,$E390,$F390,$G390,$H390,$I390,$L390+SUM($N390:P390),G$115,G$117,G$117),2)</f>
        <v>0</v>
      </c>
      <c r="R390" s="57">
        <f>ROUND(Dot_ex($D390,$E390,$F390,$G390,$H390,$I390,$L390+SUM($N390:Q390),H$115,H$117,H$117),2)</f>
        <v>0</v>
      </c>
      <c r="S390" s="57">
        <f>ROUND(Dot_ex($D390,$E390,$F390,$G390,$H390,$I390,$L390+SUM($N390:R390),I$115,I$117,I$117),2)</f>
        <v>0</v>
      </c>
      <c r="T390" s="57">
        <f>ROUND(Dot_ex($D390,$E390,$F390,$G390,$H390,$I390,$L390+SUM($N390:S390),J$115,J$117,J$117),2)</f>
        <v>0</v>
      </c>
      <c r="U390" s="57">
        <f>ROUND(Dot_ex($D390,$E390,$F390,$G390,$H390,$I390,$L390+SUM($N390:T390),K$115,K$117,K$117),2)</f>
        <v>0</v>
      </c>
      <c r="V390" s="57">
        <f>ROUND(Dot_ex($D390,$E390,$F390,$G390,$H390,$I390,$L390+SUM($N390:U390),L$115,L$117,L$117),2)</f>
        <v>0</v>
      </c>
      <c r="W390" s="57">
        <f>ROUND(Dot_ex($D390,$E390,$F390,$G390,$H390,$I390,$L390+SUM($N390:V390),M$115,M$117,M$117),2)</f>
        <v>0</v>
      </c>
    </row>
    <row r="391" spans="1:23" x14ac:dyDescent="0.2">
      <c r="A391" s="107">
        <f t="shared" ca="1" si="87"/>
        <v>145</v>
      </c>
      <c r="B391" s="1" t="s">
        <v>280</v>
      </c>
      <c r="C391" s="1" t="s">
        <v>8</v>
      </c>
      <c r="D391" s="77">
        <v>39976</v>
      </c>
      <c r="E391" s="77">
        <v>39976</v>
      </c>
      <c r="F391" s="77"/>
      <c r="G391" s="8">
        <f>675*1</f>
        <v>675</v>
      </c>
      <c r="H391" s="1" t="s">
        <v>12</v>
      </c>
      <c r="I391" s="78">
        <v>3</v>
      </c>
      <c r="J391" s="8">
        <v>675</v>
      </c>
      <c r="K391" s="8">
        <f t="shared" si="88"/>
        <v>0</v>
      </c>
      <c r="L391" s="8">
        <f t="shared" si="89"/>
        <v>675</v>
      </c>
      <c r="M391" s="57">
        <f t="shared" si="90"/>
        <v>0</v>
      </c>
      <c r="N391" s="57">
        <f t="shared" si="91"/>
        <v>0</v>
      </c>
      <c r="O391" s="57">
        <f>ROUND(Dot_ex($D391,$E391,$F391,$G391,$H391,$I391,$L391+SUM($N391:N391),E$115,E$117,E$117),2)</f>
        <v>0</v>
      </c>
      <c r="P391" s="57">
        <f>ROUND(Dot_ex($D391,$E391,$F391,$G391,$H391,$I391,$L391+SUM($N391:O391),F$115,F$117,F$117),2)</f>
        <v>0</v>
      </c>
      <c r="Q391" s="57">
        <f>ROUND(Dot_ex($D391,$E391,$F391,$G391,$H391,$I391,$L391+SUM($N391:P391),G$115,G$117,G$117),2)</f>
        <v>0</v>
      </c>
      <c r="R391" s="57">
        <f>ROUND(Dot_ex($D391,$E391,$F391,$G391,$H391,$I391,$L391+SUM($N391:Q391),H$115,H$117,H$117),2)</f>
        <v>0</v>
      </c>
      <c r="S391" s="57">
        <f>ROUND(Dot_ex($D391,$E391,$F391,$G391,$H391,$I391,$L391+SUM($N391:R391),I$115,I$117,I$117),2)</f>
        <v>0</v>
      </c>
      <c r="T391" s="57">
        <f>ROUND(Dot_ex($D391,$E391,$F391,$G391,$H391,$I391,$L391+SUM($N391:S391),J$115,J$117,J$117),2)</f>
        <v>0</v>
      </c>
      <c r="U391" s="57">
        <f>ROUND(Dot_ex($D391,$E391,$F391,$G391,$H391,$I391,$L391+SUM($N391:T391),K$115,K$117,K$117),2)</f>
        <v>0</v>
      </c>
      <c r="V391" s="57">
        <f>ROUND(Dot_ex($D391,$E391,$F391,$G391,$H391,$I391,$L391+SUM($N391:U391),L$115,L$117,L$117),2)</f>
        <v>0</v>
      </c>
      <c r="W391" s="57">
        <f>ROUND(Dot_ex($D391,$E391,$F391,$G391,$H391,$I391,$L391+SUM($N391:V391),M$115,M$117,M$117),2)</f>
        <v>0</v>
      </c>
    </row>
    <row r="392" spans="1:23" x14ac:dyDescent="0.2">
      <c r="A392" s="107">
        <f t="shared" ca="1" si="87"/>
        <v>146</v>
      </c>
      <c r="B392" s="1" t="s">
        <v>281</v>
      </c>
      <c r="C392" s="1" t="s">
        <v>265</v>
      </c>
      <c r="D392" s="77">
        <v>39976</v>
      </c>
      <c r="E392" s="77">
        <v>39976</v>
      </c>
      <c r="F392" s="77"/>
      <c r="G392" s="8">
        <v>225</v>
      </c>
      <c r="H392" s="1" t="s">
        <v>12</v>
      </c>
      <c r="I392" s="78">
        <v>1</v>
      </c>
      <c r="J392" s="8">
        <v>225</v>
      </c>
      <c r="K392" s="8">
        <f t="shared" si="88"/>
        <v>0</v>
      </c>
      <c r="L392" s="8">
        <f t="shared" si="89"/>
        <v>225</v>
      </c>
      <c r="M392" s="57">
        <f t="shared" si="90"/>
        <v>0</v>
      </c>
      <c r="N392" s="57">
        <f t="shared" si="91"/>
        <v>0</v>
      </c>
      <c r="O392" s="57">
        <f>ROUND(Dot_ex($D392,$E392,$F392,$G392,$H392,$I392,$L392+SUM($N392:N392),E$115,E$117,E$117),2)</f>
        <v>0</v>
      </c>
      <c r="P392" s="57">
        <f>ROUND(Dot_ex($D392,$E392,$F392,$G392,$H392,$I392,$L392+SUM($N392:O392),F$115,F$117,F$117),2)</f>
        <v>0</v>
      </c>
      <c r="Q392" s="57">
        <f>ROUND(Dot_ex($D392,$E392,$F392,$G392,$H392,$I392,$L392+SUM($N392:P392),G$115,G$117,G$117),2)</f>
        <v>0</v>
      </c>
      <c r="R392" s="57">
        <f>ROUND(Dot_ex($D392,$E392,$F392,$G392,$H392,$I392,$L392+SUM($N392:Q392),H$115,H$117,H$117),2)</f>
        <v>0</v>
      </c>
      <c r="S392" s="57">
        <f>ROUND(Dot_ex($D392,$E392,$F392,$G392,$H392,$I392,$L392+SUM($N392:R392),I$115,I$117,I$117),2)</f>
        <v>0</v>
      </c>
      <c r="T392" s="57">
        <f>ROUND(Dot_ex($D392,$E392,$F392,$G392,$H392,$I392,$L392+SUM($N392:S392),J$115,J$117,J$117),2)</f>
        <v>0</v>
      </c>
      <c r="U392" s="57">
        <f>ROUND(Dot_ex($D392,$E392,$F392,$G392,$H392,$I392,$L392+SUM($N392:T392),K$115,K$117,K$117),2)</f>
        <v>0</v>
      </c>
      <c r="V392" s="57">
        <f>ROUND(Dot_ex($D392,$E392,$F392,$G392,$H392,$I392,$L392+SUM($N392:U392),L$115,L$117,L$117),2)</f>
        <v>0</v>
      </c>
      <c r="W392" s="57">
        <f>ROUND(Dot_ex($D392,$E392,$F392,$G392,$H392,$I392,$L392+SUM($N392:V392),M$115,M$117,M$117),2)</f>
        <v>0</v>
      </c>
    </row>
    <row r="393" spans="1:23" x14ac:dyDescent="0.2">
      <c r="A393" s="107">
        <f t="shared" ca="1" si="87"/>
        <v>147</v>
      </c>
      <c r="B393" s="1" t="s">
        <v>286</v>
      </c>
      <c r="C393" s="1" t="s">
        <v>269</v>
      </c>
      <c r="D393" s="77">
        <v>40031</v>
      </c>
      <c r="E393" s="77">
        <v>40031</v>
      </c>
      <c r="F393" s="77"/>
      <c r="G393" s="8">
        <v>706.9</v>
      </c>
      <c r="H393" s="1" t="s">
        <v>12</v>
      </c>
      <c r="I393" s="78">
        <v>3</v>
      </c>
      <c r="J393" s="8">
        <v>706.90000000000009</v>
      </c>
      <c r="K393" s="8">
        <f t="shared" si="88"/>
        <v>0</v>
      </c>
      <c r="L393" s="8">
        <f t="shared" si="89"/>
        <v>706.90000000000009</v>
      </c>
      <c r="M393" s="57">
        <f t="shared" si="90"/>
        <v>0</v>
      </c>
      <c r="N393" s="57">
        <f t="shared" si="91"/>
        <v>0</v>
      </c>
      <c r="O393" s="57">
        <f>ROUND(Dot_ex($D393,$E393,$F393,$G393,$H393,$I393,$L393+SUM($N393:N393),E$115,E$117,E$117),2)</f>
        <v>0</v>
      </c>
      <c r="P393" s="57">
        <f>ROUND(Dot_ex($D393,$E393,$F393,$G393,$H393,$I393,$L393+SUM($N393:O393),F$115,F$117,F$117),2)</f>
        <v>0</v>
      </c>
      <c r="Q393" s="57">
        <f>ROUND(Dot_ex($D393,$E393,$F393,$G393,$H393,$I393,$L393+SUM($N393:P393),G$115,G$117,G$117),2)</f>
        <v>0</v>
      </c>
      <c r="R393" s="57">
        <f>ROUND(Dot_ex($D393,$E393,$F393,$G393,$H393,$I393,$L393+SUM($N393:Q393),H$115,H$117,H$117),2)</f>
        <v>0</v>
      </c>
      <c r="S393" s="57">
        <f>ROUND(Dot_ex($D393,$E393,$F393,$G393,$H393,$I393,$L393+SUM($N393:R393),I$115,I$117,I$117),2)</f>
        <v>0</v>
      </c>
      <c r="T393" s="57">
        <f>ROUND(Dot_ex($D393,$E393,$F393,$G393,$H393,$I393,$L393+SUM($N393:S393),J$115,J$117,J$117),2)</f>
        <v>0</v>
      </c>
      <c r="U393" s="57">
        <f>ROUND(Dot_ex($D393,$E393,$F393,$G393,$H393,$I393,$L393+SUM($N393:T393),K$115,K$117,K$117),2)</f>
        <v>0</v>
      </c>
      <c r="V393" s="57">
        <f>ROUND(Dot_ex($D393,$E393,$F393,$G393,$H393,$I393,$L393+SUM($N393:U393),L$115,L$117,L$117),2)</f>
        <v>0</v>
      </c>
      <c r="W393" s="57">
        <f>ROUND(Dot_ex($D393,$E393,$F393,$G393,$H393,$I393,$L393+SUM($N393:V393),M$115,M$117,M$117),2)</f>
        <v>0</v>
      </c>
    </row>
    <row r="394" spans="1:23" x14ac:dyDescent="0.2">
      <c r="A394" s="107">
        <f ca="1">IF(ISNUMBER(A393),A393+1,OFFSET(A394,-Nbre_Ligne_Entre_Compte,0,1,1)+1)</f>
        <v>148</v>
      </c>
      <c r="B394" s="1" t="s">
        <v>290</v>
      </c>
      <c r="C394" s="1" t="s">
        <v>269</v>
      </c>
      <c r="D394" s="77">
        <v>40207</v>
      </c>
      <c r="E394" s="77">
        <v>40207</v>
      </c>
      <c r="F394" s="77"/>
      <c r="G394" s="8">
        <v>585</v>
      </c>
      <c r="H394" s="1" t="s">
        <v>12</v>
      </c>
      <c r="I394" s="78">
        <v>3</v>
      </c>
      <c r="J394" s="8">
        <v>585</v>
      </c>
      <c r="K394" s="8">
        <f t="shared" si="88"/>
        <v>0</v>
      </c>
      <c r="L394" s="8">
        <f t="shared" si="89"/>
        <v>585</v>
      </c>
      <c r="M394" s="57">
        <f t="shared" si="90"/>
        <v>0</v>
      </c>
      <c r="N394" s="57">
        <f t="shared" si="91"/>
        <v>0</v>
      </c>
      <c r="O394" s="57">
        <f>ROUND(Dot_ex($D394,$E394,$F394,$G394,$H394,$I394,$L394+SUM($N394:N394),E$115,E$117,E$117),2)</f>
        <v>0</v>
      </c>
      <c r="P394" s="57">
        <f>ROUND(Dot_ex($D394,$E394,$F394,$G394,$H394,$I394,$L394+SUM($N394:O394),F$115,F$117,F$117),2)</f>
        <v>0</v>
      </c>
      <c r="Q394" s="57">
        <f>ROUND(Dot_ex($D394,$E394,$F394,$G394,$H394,$I394,$L394+SUM($N394:P394),G$115,G$117,G$117),2)</f>
        <v>0</v>
      </c>
      <c r="R394" s="57">
        <f>ROUND(Dot_ex($D394,$E394,$F394,$G394,$H394,$I394,$L394+SUM($N394:Q394),H$115,H$117,H$117),2)</f>
        <v>0</v>
      </c>
      <c r="S394" s="57">
        <f>ROUND(Dot_ex($D394,$E394,$F394,$G394,$H394,$I394,$L394+SUM($N394:R394),I$115,I$117,I$117),2)</f>
        <v>0</v>
      </c>
      <c r="T394" s="57">
        <f>ROUND(Dot_ex($D394,$E394,$F394,$G394,$H394,$I394,$L394+SUM($N394:S394),J$115,J$117,J$117),2)</f>
        <v>0</v>
      </c>
      <c r="U394" s="57">
        <f>ROUND(Dot_ex($D394,$E394,$F394,$G394,$H394,$I394,$L394+SUM($N394:T394),K$115,K$117,K$117),2)</f>
        <v>0</v>
      </c>
      <c r="V394" s="57">
        <f>ROUND(Dot_ex($D394,$E394,$F394,$G394,$H394,$I394,$L394+SUM($N394:U394),L$115,L$117,L$117),2)</f>
        <v>0</v>
      </c>
      <c r="W394" s="57">
        <f>ROUND(Dot_ex($D394,$E394,$F394,$G394,$H394,$I394,$L394+SUM($N394:V394),M$115,M$117,M$117),2)</f>
        <v>0</v>
      </c>
    </row>
    <row r="395" spans="1:23" x14ac:dyDescent="0.2">
      <c r="A395" s="107">
        <f ca="1">IF(ISNUMBER(A394),A394+1,OFFSET(A395,-Nbre_Ligne_Entre_Compte,0,1,1)+1)</f>
        <v>149</v>
      </c>
      <c r="B395" s="1" t="s">
        <v>291</v>
      </c>
      <c r="C395" s="1" t="s">
        <v>265</v>
      </c>
      <c r="D395" s="77">
        <v>40529</v>
      </c>
      <c r="E395" s="77">
        <v>40529</v>
      </c>
      <c r="F395" s="77"/>
      <c r="G395" s="8">
        <v>825</v>
      </c>
      <c r="H395" s="1" t="s">
        <v>12</v>
      </c>
      <c r="I395" s="78">
        <v>3</v>
      </c>
      <c r="J395" s="8">
        <v>512.33000000000004</v>
      </c>
      <c r="K395" s="8">
        <f>ROUND(Dot_ex(D395,E395,F395,G395,H395,I395,J395,$G$6,$I$6,$I$8),2)</f>
        <v>312.67</v>
      </c>
      <c r="L395" s="8">
        <f>J395+K395</f>
        <v>825</v>
      </c>
      <c r="M395" s="57">
        <f>G395-L395</f>
        <v>0</v>
      </c>
      <c r="N395" s="57">
        <f t="shared" si="91"/>
        <v>0</v>
      </c>
      <c r="O395" s="57">
        <f>ROUND(Dot_ex($D395,$E395,$F395,$G395,$H395,$I395,$L395+SUM($N395:N395),E$115,E$117,E$117),2)</f>
        <v>0</v>
      </c>
      <c r="P395" s="57">
        <f>ROUND(Dot_ex($D395,$E395,$F395,$G395,$H395,$I395,$L395+SUM($N395:O395),F$115,F$117,F$117),2)</f>
        <v>0</v>
      </c>
      <c r="Q395" s="57">
        <f>ROUND(Dot_ex($D395,$E395,$F395,$G395,$H395,$I395,$L395+SUM($N395:P395),G$115,G$117,G$117),2)</f>
        <v>0</v>
      </c>
      <c r="R395" s="57">
        <f>ROUND(Dot_ex($D395,$E395,$F395,$G395,$H395,$I395,$L395+SUM($N395:Q395),H$115,H$117,H$117),2)</f>
        <v>0</v>
      </c>
      <c r="S395" s="57">
        <f>ROUND(Dot_ex($D395,$E395,$F395,$G395,$H395,$I395,$L395+SUM($N395:R395),I$115,I$117,I$117),2)</f>
        <v>0</v>
      </c>
      <c r="T395" s="57">
        <f>ROUND(Dot_ex($D395,$E395,$F395,$G395,$H395,$I395,$L395+SUM($N395:S395),J$115,J$117,J$117),2)</f>
        <v>0</v>
      </c>
      <c r="U395" s="57">
        <f>ROUND(Dot_ex($D395,$E395,$F395,$G395,$H395,$I395,$L395+SUM($N395:T395),K$115,K$117,K$117),2)</f>
        <v>0</v>
      </c>
      <c r="V395" s="57">
        <f>ROUND(Dot_ex($D395,$E395,$F395,$G395,$H395,$I395,$L395+SUM($N395:U395),L$115,L$117,L$117),2)</f>
        <v>0</v>
      </c>
      <c r="W395" s="57">
        <f>ROUND(Dot_ex($D395,$E395,$F395,$G395,$H395,$I395,$L395+SUM($N395:V395),M$115,M$117,M$117),2)</f>
        <v>0</v>
      </c>
    </row>
    <row r="396" spans="1:23" x14ac:dyDescent="0.2">
      <c r="A396" s="107">
        <f ca="1">IF(ISNUMBER(A395),A395+1,OFFSET(A396,-Nbre_Ligne_Entre_Compte,0,1,1)+1)</f>
        <v>150</v>
      </c>
      <c r="B396" s="1" t="s">
        <v>292</v>
      </c>
      <c r="C396" s="1" t="s">
        <v>265</v>
      </c>
      <c r="D396" s="77">
        <v>40694</v>
      </c>
      <c r="E396" s="77">
        <v>40694</v>
      </c>
      <c r="F396" s="77"/>
      <c r="G396" s="8">
        <v>930</v>
      </c>
      <c r="H396" s="1" t="s">
        <v>12</v>
      </c>
      <c r="I396" s="78">
        <v>3</v>
      </c>
      <c r="J396" s="8">
        <v>497.38</v>
      </c>
      <c r="K396" s="8">
        <f>ROUND(Dot_ex(D396,E396,F396,G396,H396,I396,J396,$G$6,$I$6,$I$8),2)</f>
        <v>432.62</v>
      </c>
      <c r="L396" s="8">
        <f>J396+K396</f>
        <v>930</v>
      </c>
      <c r="M396" s="57">
        <f>G396-L396</f>
        <v>0</v>
      </c>
      <c r="N396" s="57">
        <f t="shared" si="91"/>
        <v>0</v>
      </c>
      <c r="O396" s="57">
        <f>ROUND(Dot_ex($D396,$E396,$F396,$G396,$H396,$I396,$L396+SUM($N396:N396),E$115,E$117,E$117),2)</f>
        <v>0</v>
      </c>
      <c r="P396" s="57">
        <f>ROUND(Dot_ex($D396,$E396,$F396,$G396,$H396,$I396,$L396+SUM($N396:O396),F$115,F$117,F$117),2)</f>
        <v>0</v>
      </c>
      <c r="Q396" s="57">
        <f>ROUND(Dot_ex($D396,$E396,$F396,$G396,$H396,$I396,$L396+SUM($N396:P396),G$115,G$117,G$117),2)</f>
        <v>0</v>
      </c>
      <c r="R396" s="57">
        <f>ROUND(Dot_ex($D396,$E396,$F396,$G396,$H396,$I396,$L396+SUM($N396:Q396),H$115,H$117,H$117),2)</f>
        <v>0</v>
      </c>
      <c r="S396" s="57">
        <f>ROUND(Dot_ex($D396,$E396,$F396,$G396,$H396,$I396,$L396+SUM($N396:R396),I$115,I$117,I$117),2)</f>
        <v>0</v>
      </c>
      <c r="T396" s="57">
        <f>ROUND(Dot_ex($D396,$E396,$F396,$G396,$H396,$I396,$L396+SUM($N396:S396),J$115,J$117,J$117),2)</f>
        <v>0</v>
      </c>
      <c r="U396" s="57">
        <f>ROUND(Dot_ex($D396,$E396,$F396,$G396,$H396,$I396,$L396+SUM($N396:T396),K$115,K$117,K$117),2)</f>
        <v>0</v>
      </c>
      <c r="V396" s="57">
        <f>ROUND(Dot_ex($D396,$E396,$F396,$G396,$H396,$I396,$L396+SUM($N396:U396),L$115,L$117,L$117),2)</f>
        <v>0</v>
      </c>
      <c r="W396" s="57">
        <f>ROUND(Dot_ex($D396,$E396,$F396,$G396,$H396,$I396,$L396+SUM($N396:V396),M$115,M$117,M$117),2)</f>
        <v>0</v>
      </c>
    </row>
    <row r="397" spans="1:23" x14ac:dyDescent="0.2">
      <c r="A397" s="107">
        <f t="shared" ref="A397:A399" ca="1" si="92">IF(ISNUMBER(A396),A396+1,OFFSET(A397,-Nbre_Ligne_Entre_Compte,0,1,1)+1)</f>
        <v>151</v>
      </c>
      <c r="B397" s="1" t="s">
        <v>305</v>
      </c>
      <c r="C397" s="1" t="s">
        <v>269</v>
      </c>
      <c r="D397" s="77">
        <v>40959</v>
      </c>
      <c r="E397" s="77">
        <v>40959</v>
      </c>
      <c r="F397" s="77"/>
      <c r="G397" s="8">
        <v>442.31</v>
      </c>
      <c r="H397" s="1" t="s">
        <v>12</v>
      </c>
      <c r="I397" s="78">
        <v>3</v>
      </c>
      <c r="J397" s="8">
        <v>76.03</v>
      </c>
      <c r="K397" s="8">
        <f t="shared" ref="K397:K398" si="93">ROUND(Dot_ex(D397,E397,F397,G397,H397,I397,J397,$G$6,$I$6,$I$8),2)</f>
        <v>183.14</v>
      </c>
      <c r="L397" s="8">
        <f t="shared" ref="L397:L398" si="94">J397+K397</f>
        <v>259.16999999999996</v>
      </c>
      <c r="M397" s="57">
        <f t="shared" ref="M397:M398" si="95">G397-L397</f>
        <v>183.14000000000004</v>
      </c>
      <c r="N397" s="57">
        <f t="shared" ref="N397:N398" si="96">ROUND(Dot_ex($D397,$E397,$F397,$G397,$H397,$I397,$L397,D$115,D$117,D$117),2)</f>
        <v>183.14</v>
      </c>
      <c r="O397" s="57">
        <f>ROUND(Dot_ex($D397,$E397,$F397,$G397,$H397,$I397,$L397+SUM($N397:N397),E$115,E$117,E$117),2)</f>
        <v>0</v>
      </c>
      <c r="P397" s="57">
        <f>ROUND(Dot_ex($D397,$E397,$F397,$G397,$H397,$I397,$L397+SUM($N397:O397),F$115,F$117,F$117),2)</f>
        <v>0</v>
      </c>
      <c r="Q397" s="57">
        <f>ROUND(Dot_ex($D397,$E397,$F397,$G397,$H397,$I397,$L397+SUM($N397:P397),G$115,G$117,G$117),2)</f>
        <v>0</v>
      </c>
      <c r="R397" s="57">
        <f>ROUND(Dot_ex($D397,$E397,$F397,$G397,$H397,$I397,$L397+SUM($N397:Q397),H$115,H$117,H$117),2)</f>
        <v>0</v>
      </c>
      <c r="S397" s="57">
        <f>ROUND(Dot_ex($D397,$E397,$F397,$G397,$H397,$I397,$L397+SUM($N397:R397),I$115,I$117,I$117),2)</f>
        <v>0</v>
      </c>
      <c r="T397" s="57">
        <f>ROUND(Dot_ex($D397,$E397,$F397,$G397,$H397,$I397,$L397+SUM($N397:S397),J$115,J$117,J$117),2)</f>
        <v>0</v>
      </c>
      <c r="U397" s="57">
        <f>ROUND(Dot_ex($D397,$E397,$F397,$G397,$H397,$I397,$L397+SUM($N397:T397),K$115,K$117,K$117),2)</f>
        <v>0</v>
      </c>
      <c r="V397" s="57">
        <f>ROUND(Dot_ex($D397,$E397,$F397,$G397,$H397,$I397,$L397+SUM($N397:U397),L$115,L$117,L$117),2)</f>
        <v>0</v>
      </c>
      <c r="W397" s="57">
        <f>ROUND(Dot_ex($D397,$E397,$F397,$G397,$H397,$I397,$L397+SUM($N397:V397),M$115,M$117,M$117),2)</f>
        <v>0</v>
      </c>
    </row>
    <row r="398" spans="1:23" x14ac:dyDescent="0.2">
      <c r="A398" s="107">
        <f t="shared" ca="1" si="92"/>
        <v>152</v>
      </c>
      <c r="B398" s="1" t="s">
        <v>306</v>
      </c>
      <c r="C398" s="1" t="s">
        <v>265</v>
      </c>
      <c r="D398" s="77">
        <v>40992</v>
      </c>
      <c r="E398" s="77">
        <v>40992</v>
      </c>
      <c r="F398" s="77"/>
      <c r="G398" s="8">
        <v>3222</v>
      </c>
      <c r="H398" s="1" t="s">
        <v>12</v>
      </c>
      <c r="I398" s="78">
        <v>3</v>
      </c>
      <c r="J398" s="8">
        <v>447.5</v>
      </c>
      <c r="K398" s="8">
        <f t="shared" si="93"/>
        <v>1387.25</v>
      </c>
      <c r="L398" s="8">
        <f t="shared" si="94"/>
        <v>1834.75</v>
      </c>
      <c r="M398" s="57">
        <f t="shared" si="95"/>
        <v>1387.25</v>
      </c>
      <c r="N398" s="57">
        <f t="shared" si="96"/>
        <v>1387.25</v>
      </c>
      <c r="O398" s="57">
        <f>ROUND(Dot_ex($D398,$E398,$F398,$G398,$H398,$I398,$L398+SUM($N398:N398),E$115,E$117,E$117),2)</f>
        <v>0</v>
      </c>
      <c r="P398" s="57">
        <f>ROUND(Dot_ex($D398,$E398,$F398,$G398,$H398,$I398,$L398+SUM($N398:O398),F$115,F$117,F$117),2)</f>
        <v>0</v>
      </c>
      <c r="Q398" s="57">
        <f>ROUND(Dot_ex($D398,$E398,$F398,$G398,$H398,$I398,$L398+SUM($N398:P398),G$115,G$117,G$117),2)</f>
        <v>0</v>
      </c>
      <c r="R398" s="57">
        <f>ROUND(Dot_ex($D398,$E398,$F398,$G398,$H398,$I398,$L398+SUM($N398:Q398),H$115,H$117,H$117),2)</f>
        <v>0</v>
      </c>
      <c r="S398" s="57">
        <f>ROUND(Dot_ex($D398,$E398,$F398,$G398,$H398,$I398,$L398+SUM($N398:R398),I$115,I$117,I$117),2)</f>
        <v>0</v>
      </c>
      <c r="T398" s="57">
        <f>ROUND(Dot_ex($D398,$E398,$F398,$G398,$H398,$I398,$L398+SUM($N398:S398),J$115,J$117,J$117),2)</f>
        <v>0</v>
      </c>
      <c r="U398" s="57">
        <f>ROUND(Dot_ex($D398,$E398,$F398,$G398,$H398,$I398,$L398+SUM($N398:T398),K$115,K$117,K$117),2)</f>
        <v>0</v>
      </c>
      <c r="V398" s="57">
        <f>ROUND(Dot_ex($D398,$E398,$F398,$G398,$H398,$I398,$L398+SUM($N398:U398),L$115,L$117,L$117),2)</f>
        <v>0</v>
      </c>
      <c r="W398" s="57">
        <f>ROUND(Dot_ex($D398,$E398,$F398,$G398,$H398,$I398,$L398+SUM($N398:V398),M$115,M$117,M$117),2)</f>
        <v>0</v>
      </c>
    </row>
    <row r="399" spans="1:23" x14ac:dyDescent="0.2">
      <c r="A399" s="107">
        <f t="shared" ca="1" si="92"/>
        <v>153</v>
      </c>
      <c r="B399" s="1" t="s">
        <v>310</v>
      </c>
      <c r="C399" s="1" t="s">
        <v>265</v>
      </c>
      <c r="D399" s="77">
        <v>41177</v>
      </c>
      <c r="E399" s="77">
        <v>41177</v>
      </c>
      <c r="F399" s="77"/>
      <c r="G399" s="8">
        <v>562.5</v>
      </c>
      <c r="H399" s="1" t="s">
        <v>12</v>
      </c>
      <c r="I399" s="78">
        <v>3</v>
      </c>
      <c r="J399" s="8"/>
      <c r="K399" s="8">
        <f t="shared" ref="K399" si="97">ROUND(Dot_ex(D399,E399,F399,G399,H399,I399,J399,$G$6,$I$6,$I$8),2)</f>
        <v>194.56</v>
      </c>
      <c r="L399" s="8">
        <f t="shared" ref="L399" si="98">J399+K399</f>
        <v>194.56</v>
      </c>
      <c r="M399" s="57">
        <f t="shared" ref="M399" si="99">G399-L399</f>
        <v>367.94</v>
      </c>
      <c r="N399" s="57">
        <f t="shared" ref="N399" si="100">ROUND(Dot_ex($D399,$E399,$F399,$G399,$H399,$I399,$L399,D$115,D$117,D$117),2)</f>
        <v>183.97</v>
      </c>
      <c r="O399" s="57">
        <f>ROUND(Dot_ex($D399,$E399,$F399,$G399,$H399,$I399,$L399+SUM($N399:N399),E$115,E$117,E$117),2)</f>
        <v>183.97</v>
      </c>
      <c r="P399" s="57">
        <f>ROUND(Dot_ex($D399,$E399,$F399,$G399,$H399,$I399,$L399+SUM($N399:O399),F$115,F$117,F$117),2)</f>
        <v>0</v>
      </c>
      <c r="Q399" s="57">
        <f>ROUND(Dot_ex($D399,$E399,$F399,$G399,$H399,$I399,$L399+SUM($N399:P399),G$115,G$117,G$117),2)</f>
        <v>0</v>
      </c>
      <c r="R399" s="57">
        <f>ROUND(Dot_ex($D399,$E399,$F399,$G399,$H399,$I399,$L399+SUM($N399:Q399),H$115,H$117,H$117),2)</f>
        <v>0</v>
      </c>
      <c r="S399" s="57">
        <f>ROUND(Dot_ex($D399,$E399,$F399,$G399,$H399,$I399,$L399+SUM($N399:R399),I$115,I$117,I$117),2)</f>
        <v>0</v>
      </c>
      <c r="T399" s="57">
        <f>ROUND(Dot_ex($D399,$E399,$F399,$G399,$H399,$I399,$L399+SUM($N399:S399),J$115,J$117,J$117),2)</f>
        <v>0</v>
      </c>
      <c r="U399" s="57">
        <f>ROUND(Dot_ex($D399,$E399,$F399,$G399,$H399,$I399,$L399+SUM($N399:T399),K$115,K$117,K$117),2)</f>
        <v>0</v>
      </c>
      <c r="V399" s="57">
        <f>ROUND(Dot_ex($D399,$E399,$F399,$G399,$H399,$I399,$L399+SUM($N399:U399),L$115,L$117,L$117),2)</f>
        <v>0</v>
      </c>
      <c r="W399" s="57">
        <f>ROUND(Dot_ex($D399,$E399,$F399,$G399,$H399,$I399,$L399+SUM($N399:V399),M$115,M$117,M$117),2)</f>
        <v>0</v>
      </c>
    </row>
    <row r="400" spans="1:23" x14ac:dyDescent="0.2">
      <c r="A400" s="107"/>
      <c r="B400" s="1"/>
      <c r="C400" s="1"/>
      <c r="D400" s="77"/>
      <c r="E400" s="77"/>
      <c r="F400" s="77"/>
      <c r="G400" s="8"/>
      <c r="H400" s="1"/>
      <c r="I400" s="78"/>
      <c r="J400" s="8"/>
      <c r="K400" s="8"/>
      <c r="L400" s="8"/>
      <c r="M400" s="57"/>
      <c r="N400" s="57"/>
      <c r="O400" s="57"/>
      <c r="P400" s="57"/>
      <c r="Q400" s="57"/>
      <c r="R400" s="57"/>
      <c r="S400" s="57"/>
      <c r="T400" s="57"/>
      <c r="U400" s="57"/>
      <c r="V400" s="57"/>
      <c r="W400" s="57"/>
    </row>
    <row r="401" spans="1:23" x14ac:dyDescent="0.2">
      <c r="A401" s="101"/>
      <c r="E401" s="94" t="s">
        <v>14</v>
      </c>
      <c r="F401" s="95"/>
      <c r="G401" s="96">
        <f>SUM(G380:G400)</f>
        <v>24347.870000000006</v>
      </c>
      <c r="H401" s="94"/>
      <c r="I401" s="97"/>
      <c r="J401" s="96">
        <f t="shared" ref="J401:W401" si="101">SUM(J380:J400)</f>
        <v>19899.300000000007</v>
      </c>
      <c r="K401" s="96">
        <f t="shared" si="101"/>
        <v>2510.2399999999998</v>
      </c>
      <c r="L401" s="96">
        <f t="shared" si="101"/>
        <v>22409.540000000005</v>
      </c>
      <c r="M401" s="203">
        <f t="shared" si="101"/>
        <v>1938.3300000000002</v>
      </c>
      <c r="N401" s="203">
        <f t="shared" si="101"/>
        <v>1754.36</v>
      </c>
      <c r="O401" s="203">
        <f t="shared" si="101"/>
        <v>183.97</v>
      </c>
      <c r="P401" s="203">
        <f t="shared" si="101"/>
        <v>0</v>
      </c>
      <c r="Q401" s="203">
        <f t="shared" si="101"/>
        <v>0</v>
      </c>
      <c r="R401" s="203">
        <f t="shared" si="101"/>
        <v>0</v>
      </c>
      <c r="S401" s="203">
        <f t="shared" si="101"/>
        <v>0</v>
      </c>
      <c r="T401" s="203">
        <f t="shared" si="101"/>
        <v>0</v>
      </c>
      <c r="U401" s="203">
        <f t="shared" si="101"/>
        <v>0</v>
      </c>
      <c r="V401" s="203">
        <f t="shared" si="101"/>
        <v>0</v>
      </c>
      <c r="W401" s="203">
        <f t="shared" si="101"/>
        <v>0</v>
      </c>
    </row>
    <row r="402" spans="1:23" x14ac:dyDescent="0.2">
      <c r="A402" s="101"/>
      <c r="M402" s="14"/>
      <c r="N402" s="57"/>
      <c r="O402" s="57"/>
      <c r="P402" s="57"/>
      <c r="Q402" s="57"/>
      <c r="R402" s="57"/>
      <c r="S402" s="57"/>
      <c r="T402" s="57"/>
      <c r="U402" s="57"/>
      <c r="V402" s="57"/>
      <c r="W402" s="57"/>
    </row>
    <row r="403" spans="1:23" x14ac:dyDescent="0.2">
      <c r="A403" s="101"/>
      <c r="E403" s="1" t="s">
        <v>23</v>
      </c>
      <c r="G403" s="8">
        <f>SUMIF($D$380:$D$400,"&lt;"&amp;TEXT($G$6,"jj/mm/aa"),G$380:G$400)</f>
        <v>23785.370000000006</v>
      </c>
      <c r="J403" s="8">
        <f>SUMIF($D$380:$D$400,"&lt;"&amp;TEXT($G$6,"jj/mm/aa"),J$380:J$400)</f>
        <v>19899.300000000007</v>
      </c>
      <c r="K403" s="8">
        <f>SUMIF($D$380:$D$400,"&lt;"&amp;TEXT($G$6,"jj/mm/aa"),K$380:K$400)</f>
        <v>2315.6799999999998</v>
      </c>
      <c r="L403" s="8">
        <f>SUMIF($D$380:$D$400,"&lt;"&amp;TEXT($G$6,"jj/mm/aa"),L$380:L$400)</f>
        <v>22214.980000000003</v>
      </c>
      <c r="M403" s="57">
        <f>SUMIF($D$380:$D$400,"&lt;"&amp;TEXT($G$6,"jj/mm/aa"),M$380:M$400)</f>
        <v>1570.39</v>
      </c>
      <c r="N403" s="57"/>
      <c r="O403" s="57"/>
      <c r="P403" s="57"/>
      <c r="Q403" s="57"/>
      <c r="R403" s="57"/>
      <c r="S403" s="57"/>
      <c r="T403" s="57"/>
      <c r="U403" s="57"/>
      <c r="V403" s="57"/>
      <c r="W403" s="57"/>
    </row>
    <row r="404" spans="1:23" x14ac:dyDescent="0.2">
      <c r="A404" s="101"/>
      <c r="E404" s="1" t="s">
        <v>38</v>
      </c>
      <c r="G404" s="8">
        <f>SUMIF($D$380:$D$400,"&gt;="&amp;TEXT($G$6,"jj/mm/aa"),G$380:G$400)</f>
        <v>562.5</v>
      </c>
      <c r="J404" s="8">
        <f>SUMIF($D$380:$D$400,"&gt;="&amp;TEXT($G$6,"jj/mm/aa"),J$380:J$400)</f>
        <v>0</v>
      </c>
      <c r="K404" s="8">
        <f>SUMIF($D$380:$D$400,"&gt;="&amp;TEXT($G$6,"jj/mm/aa"),K$380:K$400)</f>
        <v>194.56</v>
      </c>
      <c r="L404" s="8">
        <f>SUMIF($D$380:$D$400,"&gt;="&amp;TEXT($G$6,"jj/mm/aa"),L$380:L$400)</f>
        <v>194.56</v>
      </c>
      <c r="M404" s="57">
        <f>SUMIF($D$380:$D$400,"&gt;="&amp;TEXT($G$6,"jj/mm/aa"),M$380:M$400)</f>
        <v>367.94</v>
      </c>
      <c r="N404" s="57"/>
      <c r="O404" s="57"/>
      <c r="P404" s="57"/>
      <c r="Q404" s="57"/>
      <c r="R404" s="57"/>
      <c r="S404" s="57"/>
      <c r="T404" s="57"/>
      <c r="U404" s="57"/>
      <c r="V404" s="57"/>
      <c r="W404" s="57"/>
    </row>
    <row r="405" spans="1:23" x14ac:dyDescent="0.2">
      <c r="A405" s="101"/>
      <c r="E405" s="1" t="s">
        <v>39</v>
      </c>
      <c r="G405" s="8">
        <f>SUMIF($F$380:$F$400,"&gt;="&amp;TEXT($G$6,"jj/mm/aa"),G$380:G$400)</f>
        <v>0</v>
      </c>
      <c r="J405" s="8">
        <f>SUMIF($F$380:$F$400,"&gt;="&amp;TEXT($G$6,"jj/mm/aa"),J$380:J$400)</f>
        <v>0</v>
      </c>
      <c r="K405" s="8">
        <f>SUMIF($F$380:$F$400,"&gt;="&amp;TEXT($G$6,"jj/mm/aa"),K$380:K$400)</f>
        <v>0</v>
      </c>
      <c r="L405" s="8">
        <f>SUMIF($F$380:$F$400,"&gt;="&amp;TEXT($G$6,"jj/mm/aa"),L$380:L$400)</f>
        <v>0</v>
      </c>
      <c r="M405" s="57">
        <f>SUMIF($F$380:$F$400,"&gt;="&amp;TEXT($G$6,"jj/mm/aa"),M$380:M$400)</f>
        <v>0</v>
      </c>
      <c r="N405" s="57"/>
      <c r="O405" s="57"/>
      <c r="P405" s="57"/>
      <c r="Q405" s="57"/>
      <c r="R405" s="57"/>
      <c r="S405" s="57"/>
      <c r="T405" s="57"/>
      <c r="U405" s="57"/>
      <c r="V405" s="57"/>
      <c r="W405" s="57"/>
    </row>
    <row r="406" spans="1:23" x14ac:dyDescent="0.2">
      <c r="A406" s="101"/>
      <c r="E406" s="1" t="s">
        <v>15</v>
      </c>
      <c r="G406" s="8">
        <f>G403+G404-G405</f>
        <v>24347.870000000006</v>
      </c>
      <c r="J406" s="8">
        <f>J403+J404-J405</f>
        <v>19899.300000000007</v>
      </c>
      <c r="K406" s="8">
        <f>K403+K404-K405</f>
        <v>2510.2399999999998</v>
      </c>
      <c r="L406" s="8">
        <f>L403+L404-L405</f>
        <v>22409.540000000005</v>
      </c>
      <c r="M406" s="57">
        <f>M403+M404-M405</f>
        <v>1938.3300000000002</v>
      </c>
      <c r="N406" s="57"/>
      <c r="O406" s="57"/>
      <c r="P406" s="57"/>
      <c r="Q406" s="57"/>
      <c r="R406" s="57"/>
      <c r="S406" s="57"/>
      <c r="T406" s="57"/>
      <c r="U406" s="57"/>
      <c r="V406" s="57"/>
      <c r="W406" s="57"/>
    </row>
    <row r="407" spans="1:23" x14ac:dyDescent="0.2">
      <c r="A407" s="101"/>
      <c r="M407" s="14"/>
      <c r="N407" s="57"/>
      <c r="O407" s="57"/>
      <c r="P407" s="57"/>
      <c r="Q407" s="57"/>
      <c r="R407" s="57"/>
      <c r="S407" s="57"/>
      <c r="T407" s="57"/>
      <c r="U407" s="57"/>
      <c r="V407" s="57"/>
      <c r="W407" s="57"/>
    </row>
    <row r="408" spans="1:23" x14ac:dyDescent="0.2">
      <c r="A408" s="101"/>
      <c r="M408" s="14"/>
      <c r="N408" s="57"/>
      <c r="O408" s="57"/>
      <c r="P408" s="57"/>
      <c r="Q408" s="57"/>
      <c r="R408" s="57"/>
      <c r="S408" s="57"/>
      <c r="T408" s="57"/>
      <c r="U408" s="57"/>
      <c r="V408" s="57"/>
      <c r="W408" s="57"/>
    </row>
    <row r="409" spans="1:23" ht="24.95" customHeight="1" x14ac:dyDescent="0.2">
      <c r="A409" s="208" t="s">
        <v>122</v>
      </c>
      <c r="B409" s="209"/>
      <c r="C409" s="209"/>
      <c r="D409" s="209"/>
      <c r="E409" s="210"/>
      <c r="F409" s="211"/>
      <c r="G409" s="211"/>
      <c r="H409" s="211"/>
      <c r="I409" s="211"/>
      <c r="J409" s="211"/>
      <c r="K409" s="211"/>
      <c r="L409" s="211"/>
      <c r="M409" s="226"/>
      <c r="N409" s="212" t="str">
        <f>A409 &amp; "   -   Dotations prévisionnelles"</f>
        <v>218400 MOBILIER   -   Dotations prévisionnelles</v>
      </c>
      <c r="O409" s="212"/>
      <c r="P409" s="212"/>
      <c r="Q409" s="212"/>
      <c r="R409" s="212"/>
      <c r="S409" s="212"/>
      <c r="T409" s="212"/>
      <c r="U409" s="212"/>
      <c r="V409" s="212"/>
      <c r="W409" s="213"/>
    </row>
    <row r="410" spans="1:23" x14ac:dyDescent="0.2">
      <c r="A410" s="107">
        <f t="shared" ref="A410:A425" ca="1" si="102">IF(ISNUMBER(A409),A409+1,OFFSET(A410,-Nbre_Ligne_Entre_Compte,0,1,1)+1)</f>
        <v>154</v>
      </c>
      <c r="B410" s="1" t="s">
        <v>115</v>
      </c>
      <c r="C410" s="1" t="s">
        <v>265</v>
      </c>
      <c r="D410" s="77">
        <v>32479</v>
      </c>
      <c r="E410" s="77">
        <v>32479</v>
      </c>
      <c r="F410" s="77"/>
      <c r="G410" s="8">
        <v>493.1</v>
      </c>
      <c r="H410" s="1" t="s">
        <v>8</v>
      </c>
      <c r="I410" s="78">
        <v>10</v>
      </c>
      <c r="J410" s="8">
        <v>493.1</v>
      </c>
      <c r="K410" s="8">
        <f t="shared" ref="K410:K425" si="103">ROUND(Dot_ex(D410,E410,F410,G410,H410,I410,J410,$G$6,$I$6,$I$8),2)</f>
        <v>0</v>
      </c>
      <c r="L410" s="8">
        <f t="shared" ref="L410:L425" si="104">J410+K410</f>
        <v>493.1</v>
      </c>
      <c r="M410" s="57">
        <f t="shared" ref="M410:M425" si="105">G410-L410</f>
        <v>0</v>
      </c>
      <c r="N410" s="57">
        <f t="shared" ref="N410:N425" si="106">ROUND(Dot_ex($D410,$E410,$F410,$G410,$H410,$I410,$L410,D$115,D$117,D$117),2)</f>
        <v>0</v>
      </c>
      <c r="O410" s="57">
        <f>ROUND(Dot_ex($D410,$E410,$F410,$G410,$H410,$I410,$L410+SUM($N410:N410),E$115,E$117,E$117),2)</f>
        <v>0</v>
      </c>
      <c r="P410" s="57">
        <f>ROUND(Dot_ex($D410,$E410,$F410,$G410,$H410,$I410,$L410+SUM($N410:O410),F$115,F$117,F$117),2)</f>
        <v>0</v>
      </c>
      <c r="Q410" s="57">
        <f>ROUND(Dot_ex($D410,$E410,$F410,$G410,$H410,$I410,$L410+SUM($N410:P410),G$115,G$117,G$117),2)</f>
        <v>0</v>
      </c>
      <c r="R410" s="57">
        <f>ROUND(Dot_ex($D410,$E410,$F410,$G410,$H410,$I410,$L410+SUM($N410:Q410),H$115,H$117,H$117),2)</f>
        <v>0</v>
      </c>
      <c r="S410" s="57">
        <f>ROUND(Dot_ex($D410,$E410,$F410,$G410,$H410,$I410,$L410+SUM($N410:R410),I$115,I$117,I$117),2)</f>
        <v>0</v>
      </c>
      <c r="T410" s="57">
        <f>ROUND(Dot_ex($D410,$E410,$F410,$G410,$H410,$I410,$L410+SUM($N410:S410),J$115,J$117,J$117),2)</f>
        <v>0</v>
      </c>
      <c r="U410" s="57">
        <f>ROUND(Dot_ex($D410,$E410,$F410,$G410,$H410,$I410,$L410+SUM($N410:T410),K$115,K$117,K$117),2)</f>
        <v>0</v>
      </c>
      <c r="V410" s="57">
        <f>ROUND(Dot_ex($D410,$E410,$F410,$G410,$H410,$I410,$L410+SUM($N410:U410),L$115,L$117,L$117),2)</f>
        <v>0</v>
      </c>
      <c r="W410" s="57">
        <f>ROUND(Dot_ex($D410,$E410,$F410,$G410,$H410,$I410,$L410+SUM($N410:V410),M$115,M$117,M$117),2)</f>
        <v>0</v>
      </c>
    </row>
    <row r="411" spans="1:23" x14ac:dyDescent="0.2">
      <c r="A411" s="107">
        <f t="shared" ca="1" si="102"/>
        <v>155</v>
      </c>
      <c r="B411" s="1" t="s">
        <v>116</v>
      </c>
      <c r="C411" s="1" t="s">
        <v>265</v>
      </c>
      <c r="D411" s="77">
        <v>32484</v>
      </c>
      <c r="E411" s="77">
        <v>32484</v>
      </c>
      <c r="F411" s="77"/>
      <c r="G411" s="8">
        <v>232.4</v>
      </c>
      <c r="H411" s="1" t="s">
        <v>8</v>
      </c>
      <c r="I411" s="78">
        <v>10</v>
      </c>
      <c r="J411" s="8">
        <v>232.4</v>
      </c>
      <c r="K411" s="8">
        <f t="shared" si="103"/>
        <v>0</v>
      </c>
      <c r="L411" s="8">
        <f t="shared" si="104"/>
        <v>232.4</v>
      </c>
      <c r="M411" s="57">
        <f t="shared" si="105"/>
        <v>0</v>
      </c>
      <c r="N411" s="57">
        <f t="shared" si="106"/>
        <v>0</v>
      </c>
      <c r="O411" s="57">
        <f>ROUND(Dot_ex($D411,$E411,$F411,$G411,$H411,$I411,$L411+SUM($N411:N411),E$115,E$117,E$117),2)</f>
        <v>0</v>
      </c>
      <c r="P411" s="57">
        <f>ROUND(Dot_ex($D411,$E411,$F411,$G411,$H411,$I411,$L411+SUM($N411:O411),F$115,F$117,F$117),2)</f>
        <v>0</v>
      </c>
      <c r="Q411" s="57">
        <f>ROUND(Dot_ex($D411,$E411,$F411,$G411,$H411,$I411,$L411+SUM($N411:P411),G$115,G$117,G$117),2)</f>
        <v>0</v>
      </c>
      <c r="R411" s="57">
        <f>ROUND(Dot_ex($D411,$E411,$F411,$G411,$H411,$I411,$L411+SUM($N411:Q411),H$115,H$117,H$117),2)</f>
        <v>0</v>
      </c>
      <c r="S411" s="57">
        <f>ROUND(Dot_ex($D411,$E411,$F411,$G411,$H411,$I411,$L411+SUM($N411:R411),I$115,I$117,I$117),2)</f>
        <v>0</v>
      </c>
      <c r="T411" s="57">
        <f>ROUND(Dot_ex($D411,$E411,$F411,$G411,$H411,$I411,$L411+SUM($N411:S411),J$115,J$117,J$117),2)</f>
        <v>0</v>
      </c>
      <c r="U411" s="57">
        <f>ROUND(Dot_ex($D411,$E411,$F411,$G411,$H411,$I411,$L411+SUM($N411:T411),K$115,K$117,K$117),2)</f>
        <v>0</v>
      </c>
      <c r="V411" s="57">
        <f>ROUND(Dot_ex($D411,$E411,$F411,$G411,$H411,$I411,$L411+SUM($N411:U411),L$115,L$117,L$117),2)</f>
        <v>0</v>
      </c>
      <c r="W411" s="57">
        <f>ROUND(Dot_ex($D411,$E411,$F411,$G411,$H411,$I411,$L411+SUM($N411:V411),M$115,M$117,M$117),2)</f>
        <v>0</v>
      </c>
    </row>
    <row r="412" spans="1:23" x14ac:dyDescent="0.2">
      <c r="A412" s="107">
        <f t="shared" ca="1" si="102"/>
        <v>156</v>
      </c>
      <c r="B412" s="1" t="s">
        <v>117</v>
      </c>
      <c r="C412" s="1" t="s">
        <v>265</v>
      </c>
      <c r="D412" s="77">
        <v>33786</v>
      </c>
      <c r="E412" s="77">
        <v>33786</v>
      </c>
      <c r="F412" s="77"/>
      <c r="G412" s="8">
        <v>2042.05</v>
      </c>
      <c r="H412" s="1" t="s">
        <v>8</v>
      </c>
      <c r="I412" s="78">
        <v>10</v>
      </c>
      <c r="J412" s="8">
        <v>2042.05</v>
      </c>
      <c r="K412" s="8">
        <f t="shared" si="103"/>
        <v>0</v>
      </c>
      <c r="L412" s="8">
        <f t="shared" si="104"/>
        <v>2042.05</v>
      </c>
      <c r="M412" s="57">
        <f t="shared" si="105"/>
        <v>0</v>
      </c>
      <c r="N412" s="57">
        <f t="shared" si="106"/>
        <v>0</v>
      </c>
      <c r="O412" s="57">
        <f>ROUND(Dot_ex($D412,$E412,$F412,$G412,$H412,$I412,$L412+SUM($N412:N412),E$115,E$117,E$117),2)</f>
        <v>0</v>
      </c>
      <c r="P412" s="57">
        <f>ROUND(Dot_ex($D412,$E412,$F412,$G412,$H412,$I412,$L412+SUM($N412:O412),F$115,F$117,F$117),2)</f>
        <v>0</v>
      </c>
      <c r="Q412" s="57">
        <f>ROUND(Dot_ex($D412,$E412,$F412,$G412,$H412,$I412,$L412+SUM($N412:P412),G$115,G$117,G$117),2)</f>
        <v>0</v>
      </c>
      <c r="R412" s="57">
        <f>ROUND(Dot_ex($D412,$E412,$F412,$G412,$H412,$I412,$L412+SUM($N412:Q412),H$115,H$117,H$117),2)</f>
        <v>0</v>
      </c>
      <c r="S412" s="57">
        <f>ROUND(Dot_ex($D412,$E412,$F412,$G412,$H412,$I412,$L412+SUM($N412:R412),I$115,I$117,I$117),2)</f>
        <v>0</v>
      </c>
      <c r="T412" s="57">
        <f>ROUND(Dot_ex($D412,$E412,$F412,$G412,$H412,$I412,$L412+SUM($N412:S412),J$115,J$117,J$117),2)</f>
        <v>0</v>
      </c>
      <c r="U412" s="57">
        <f>ROUND(Dot_ex($D412,$E412,$F412,$G412,$H412,$I412,$L412+SUM($N412:T412),K$115,K$117,K$117),2)</f>
        <v>0</v>
      </c>
      <c r="V412" s="57">
        <f>ROUND(Dot_ex($D412,$E412,$F412,$G412,$H412,$I412,$L412+SUM($N412:U412),L$115,L$117,L$117),2)</f>
        <v>0</v>
      </c>
      <c r="W412" s="57">
        <f>ROUND(Dot_ex($D412,$E412,$F412,$G412,$H412,$I412,$L412+SUM($N412:V412),M$115,M$117,M$117),2)</f>
        <v>0</v>
      </c>
    </row>
    <row r="413" spans="1:23" x14ac:dyDescent="0.2">
      <c r="A413" s="107">
        <f t="shared" ca="1" si="102"/>
        <v>157</v>
      </c>
      <c r="B413" s="1" t="s">
        <v>117</v>
      </c>
      <c r="C413" s="1" t="s">
        <v>265</v>
      </c>
      <c r="D413" s="77">
        <v>33786</v>
      </c>
      <c r="E413" s="77">
        <v>33786</v>
      </c>
      <c r="F413" s="77"/>
      <c r="G413" s="8">
        <v>175.62</v>
      </c>
      <c r="H413" s="1" t="s">
        <v>8</v>
      </c>
      <c r="I413" s="78">
        <v>10</v>
      </c>
      <c r="J413" s="8">
        <v>175.62</v>
      </c>
      <c r="K413" s="8">
        <f t="shared" si="103"/>
        <v>0</v>
      </c>
      <c r="L413" s="8">
        <f t="shared" si="104"/>
        <v>175.62</v>
      </c>
      <c r="M413" s="57">
        <f t="shared" si="105"/>
        <v>0</v>
      </c>
      <c r="N413" s="57">
        <f t="shared" si="106"/>
        <v>0</v>
      </c>
      <c r="O413" s="57">
        <f>ROUND(Dot_ex($D413,$E413,$F413,$G413,$H413,$I413,$L413+SUM($N413:N413),E$115,E$117,E$117),2)</f>
        <v>0</v>
      </c>
      <c r="P413" s="57">
        <f>ROUND(Dot_ex($D413,$E413,$F413,$G413,$H413,$I413,$L413+SUM($N413:O413),F$115,F$117,F$117),2)</f>
        <v>0</v>
      </c>
      <c r="Q413" s="57">
        <f>ROUND(Dot_ex($D413,$E413,$F413,$G413,$H413,$I413,$L413+SUM($N413:P413),G$115,G$117,G$117),2)</f>
        <v>0</v>
      </c>
      <c r="R413" s="57">
        <f>ROUND(Dot_ex($D413,$E413,$F413,$G413,$H413,$I413,$L413+SUM($N413:Q413),H$115,H$117,H$117),2)</f>
        <v>0</v>
      </c>
      <c r="S413" s="57">
        <f>ROUND(Dot_ex($D413,$E413,$F413,$G413,$H413,$I413,$L413+SUM($N413:R413),I$115,I$117,I$117),2)</f>
        <v>0</v>
      </c>
      <c r="T413" s="57">
        <f>ROUND(Dot_ex($D413,$E413,$F413,$G413,$H413,$I413,$L413+SUM($N413:S413),J$115,J$117,J$117),2)</f>
        <v>0</v>
      </c>
      <c r="U413" s="57">
        <f>ROUND(Dot_ex($D413,$E413,$F413,$G413,$H413,$I413,$L413+SUM($N413:T413),K$115,K$117,K$117),2)</f>
        <v>0</v>
      </c>
      <c r="V413" s="57">
        <f>ROUND(Dot_ex($D413,$E413,$F413,$G413,$H413,$I413,$L413+SUM($N413:U413),L$115,L$117,L$117),2)</f>
        <v>0</v>
      </c>
      <c r="W413" s="57">
        <f>ROUND(Dot_ex($D413,$E413,$F413,$G413,$H413,$I413,$L413+SUM($N413:V413),M$115,M$117,M$117),2)</f>
        <v>0</v>
      </c>
    </row>
    <row r="414" spans="1:23" x14ac:dyDescent="0.2">
      <c r="A414" s="107">
        <f t="shared" ca="1" si="102"/>
        <v>158</v>
      </c>
      <c r="B414" s="1" t="s">
        <v>118</v>
      </c>
      <c r="C414" s="1" t="s">
        <v>265</v>
      </c>
      <c r="D414" s="77">
        <v>34304</v>
      </c>
      <c r="E414" s="77">
        <v>34304</v>
      </c>
      <c r="F414" s="77"/>
      <c r="G414" s="8">
        <v>1094.43</v>
      </c>
      <c r="H414" s="1" t="s">
        <v>8</v>
      </c>
      <c r="I414" s="78">
        <v>10</v>
      </c>
      <c r="J414" s="8">
        <v>1094.43</v>
      </c>
      <c r="K414" s="8">
        <f t="shared" si="103"/>
        <v>0</v>
      </c>
      <c r="L414" s="8">
        <f t="shared" si="104"/>
        <v>1094.43</v>
      </c>
      <c r="M414" s="57">
        <f t="shared" si="105"/>
        <v>0</v>
      </c>
      <c r="N414" s="57">
        <f t="shared" si="106"/>
        <v>0</v>
      </c>
      <c r="O414" s="57">
        <f>ROUND(Dot_ex($D414,$E414,$F414,$G414,$H414,$I414,$L414+SUM($N414:N414),E$115,E$117,E$117),2)</f>
        <v>0</v>
      </c>
      <c r="P414" s="57">
        <f>ROUND(Dot_ex($D414,$E414,$F414,$G414,$H414,$I414,$L414+SUM($N414:O414),F$115,F$117,F$117),2)</f>
        <v>0</v>
      </c>
      <c r="Q414" s="57">
        <f>ROUND(Dot_ex($D414,$E414,$F414,$G414,$H414,$I414,$L414+SUM($N414:P414),G$115,G$117,G$117),2)</f>
        <v>0</v>
      </c>
      <c r="R414" s="57">
        <f>ROUND(Dot_ex($D414,$E414,$F414,$G414,$H414,$I414,$L414+SUM($N414:Q414),H$115,H$117,H$117),2)</f>
        <v>0</v>
      </c>
      <c r="S414" s="57">
        <f>ROUND(Dot_ex($D414,$E414,$F414,$G414,$H414,$I414,$L414+SUM($N414:R414),I$115,I$117,I$117),2)</f>
        <v>0</v>
      </c>
      <c r="T414" s="57">
        <f>ROUND(Dot_ex($D414,$E414,$F414,$G414,$H414,$I414,$L414+SUM($N414:S414),J$115,J$117,J$117),2)</f>
        <v>0</v>
      </c>
      <c r="U414" s="57">
        <f>ROUND(Dot_ex($D414,$E414,$F414,$G414,$H414,$I414,$L414+SUM($N414:T414),K$115,K$117,K$117),2)</f>
        <v>0</v>
      </c>
      <c r="V414" s="57">
        <f>ROUND(Dot_ex($D414,$E414,$F414,$G414,$H414,$I414,$L414+SUM($N414:U414),L$115,L$117,L$117),2)</f>
        <v>0</v>
      </c>
      <c r="W414" s="57">
        <f>ROUND(Dot_ex($D414,$E414,$F414,$G414,$H414,$I414,$L414+SUM($N414:V414),M$115,M$117,M$117),2)</f>
        <v>0</v>
      </c>
    </row>
    <row r="415" spans="1:23" x14ac:dyDescent="0.2">
      <c r="A415" s="107">
        <f t="shared" ca="1" si="102"/>
        <v>159</v>
      </c>
      <c r="B415" s="1" t="s">
        <v>155</v>
      </c>
      <c r="C415" s="1" t="s">
        <v>265</v>
      </c>
      <c r="D415" s="77">
        <v>36348</v>
      </c>
      <c r="E415" s="77">
        <v>36348</v>
      </c>
      <c r="F415" s="77"/>
      <c r="G415" s="8">
        <v>503.08</v>
      </c>
      <c r="H415" s="1" t="s">
        <v>8</v>
      </c>
      <c r="I415" s="78">
        <v>10</v>
      </c>
      <c r="J415" s="8">
        <v>503.08</v>
      </c>
      <c r="K415" s="8">
        <f t="shared" si="103"/>
        <v>0</v>
      </c>
      <c r="L415" s="8">
        <f t="shared" si="104"/>
        <v>503.08</v>
      </c>
      <c r="M415" s="57">
        <f t="shared" si="105"/>
        <v>0</v>
      </c>
      <c r="N415" s="57">
        <f t="shared" si="106"/>
        <v>0</v>
      </c>
      <c r="O415" s="57">
        <f>ROUND(Dot_ex($D415,$E415,$F415,$G415,$H415,$I415,$L415+SUM($N415:N415),E$115,E$117,E$117),2)</f>
        <v>0</v>
      </c>
      <c r="P415" s="57">
        <f>ROUND(Dot_ex($D415,$E415,$F415,$G415,$H415,$I415,$L415+SUM($N415:O415),F$115,F$117,F$117),2)</f>
        <v>0</v>
      </c>
      <c r="Q415" s="57">
        <f>ROUND(Dot_ex($D415,$E415,$F415,$G415,$H415,$I415,$L415+SUM($N415:P415),G$115,G$117,G$117),2)</f>
        <v>0</v>
      </c>
      <c r="R415" s="57">
        <f>ROUND(Dot_ex($D415,$E415,$F415,$G415,$H415,$I415,$L415+SUM($N415:Q415),H$115,H$117,H$117),2)</f>
        <v>0</v>
      </c>
      <c r="S415" s="57">
        <f>ROUND(Dot_ex($D415,$E415,$F415,$G415,$H415,$I415,$L415+SUM($N415:R415),I$115,I$117,I$117),2)</f>
        <v>0</v>
      </c>
      <c r="T415" s="57">
        <f>ROUND(Dot_ex($D415,$E415,$F415,$G415,$H415,$I415,$L415+SUM($N415:S415),J$115,J$117,J$117),2)</f>
        <v>0</v>
      </c>
      <c r="U415" s="57">
        <f>ROUND(Dot_ex($D415,$E415,$F415,$G415,$H415,$I415,$L415+SUM($N415:T415),K$115,K$117,K$117),2)</f>
        <v>0</v>
      </c>
      <c r="V415" s="57">
        <f>ROUND(Dot_ex($D415,$E415,$F415,$G415,$H415,$I415,$L415+SUM($N415:U415),L$115,L$117,L$117),2)</f>
        <v>0</v>
      </c>
      <c r="W415" s="57">
        <f>ROUND(Dot_ex($D415,$E415,$F415,$G415,$H415,$I415,$L415+SUM($N415:V415),M$115,M$117,M$117),2)</f>
        <v>0</v>
      </c>
    </row>
    <row r="416" spans="1:23" x14ac:dyDescent="0.2">
      <c r="A416" s="107">
        <f t="shared" ca="1" si="102"/>
        <v>160</v>
      </c>
      <c r="B416" s="1" t="s">
        <v>174</v>
      </c>
      <c r="C416" s="1" t="s">
        <v>265</v>
      </c>
      <c r="D416" s="77">
        <v>37202</v>
      </c>
      <c r="E416" s="77">
        <v>37202</v>
      </c>
      <c r="F416" s="77"/>
      <c r="G416" s="8">
        <v>1829.39</v>
      </c>
      <c r="H416" s="1" t="s">
        <v>8</v>
      </c>
      <c r="I416" s="78">
        <v>5</v>
      </c>
      <c r="J416" s="8">
        <v>1829.39</v>
      </c>
      <c r="K416" s="8">
        <f t="shared" si="103"/>
        <v>0</v>
      </c>
      <c r="L416" s="8">
        <f t="shared" si="104"/>
        <v>1829.39</v>
      </c>
      <c r="M416" s="57">
        <f t="shared" si="105"/>
        <v>0</v>
      </c>
      <c r="N416" s="57">
        <f t="shared" si="106"/>
        <v>0</v>
      </c>
      <c r="O416" s="57">
        <f>ROUND(Dot_ex($D416,$E416,$F416,$G416,$H416,$I416,$L416+SUM($N416:N416),E$115,E$117,E$117),2)</f>
        <v>0</v>
      </c>
      <c r="P416" s="57">
        <f>ROUND(Dot_ex($D416,$E416,$F416,$G416,$H416,$I416,$L416+SUM($N416:O416),F$115,F$117,F$117),2)</f>
        <v>0</v>
      </c>
      <c r="Q416" s="57">
        <f>ROUND(Dot_ex($D416,$E416,$F416,$G416,$H416,$I416,$L416+SUM($N416:P416),G$115,G$117,G$117),2)</f>
        <v>0</v>
      </c>
      <c r="R416" s="57">
        <f>ROUND(Dot_ex($D416,$E416,$F416,$G416,$H416,$I416,$L416+SUM($N416:Q416),H$115,H$117,H$117),2)</f>
        <v>0</v>
      </c>
      <c r="S416" s="57">
        <f>ROUND(Dot_ex($D416,$E416,$F416,$G416,$H416,$I416,$L416+SUM($N416:R416),I$115,I$117,I$117),2)</f>
        <v>0</v>
      </c>
      <c r="T416" s="57">
        <f>ROUND(Dot_ex($D416,$E416,$F416,$G416,$H416,$I416,$L416+SUM($N416:S416),J$115,J$117,J$117),2)</f>
        <v>0</v>
      </c>
      <c r="U416" s="57">
        <f>ROUND(Dot_ex($D416,$E416,$F416,$G416,$H416,$I416,$L416+SUM($N416:T416),K$115,K$117,K$117),2)</f>
        <v>0</v>
      </c>
      <c r="V416" s="57">
        <f>ROUND(Dot_ex($D416,$E416,$F416,$G416,$H416,$I416,$L416+SUM($N416:U416),L$115,L$117,L$117),2)</f>
        <v>0</v>
      </c>
      <c r="W416" s="57">
        <f>ROUND(Dot_ex($D416,$E416,$F416,$G416,$H416,$I416,$L416+SUM($N416:V416),M$115,M$117,M$117),2)</f>
        <v>0</v>
      </c>
    </row>
    <row r="417" spans="1:23" x14ac:dyDescent="0.2">
      <c r="A417" s="107">
        <f t="shared" ca="1" si="102"/>
        <v>161</v>
      </c>
      <c r="B417" s="1" t="s">
        <v>195</v>
      </c>
      <c r="C417" s="1" t="s">
        <v>265</v>
      </c>
      <c r="D417" s="77">
        <v>37333</v>
      </c>
      <c r="E417" s="77">
        <v>37333</v>
      </c>
      <c r="F417" s="77"/>
      <c r="G417" s="8">
        <v>493.65</v>
      </c>
      <c r="H417" s="1" t="s">
        <v>8</v>
      </c>
      <c r="I417" s="78">
        <v>10</v>
      </c>
      <c r="J417" s="8">
        <v>493.65</v>
      </c>
      <c r="K417" s="8">
        <f t="shared" si="103"/>
        <v>0</v>
      </c>
      <c r="L417" s="8">
        <f t="shared" si="104"/>
        <v>493.65</v>
      </c>
      <c r="M417" s="57">
        <f t="shared" si="105"/>
        <v>0</v>
      </c>
      <c r="N417" s="57">
        <f t="shared" si="106"/>
        <v>0</v>
      </c>
      <c r="O417" s="57">
        <f>ROUND(Dot_ex($D417,$E417,$F417,$G417,$H417,$I417,$L417+SUM($N417:N417),E$115,E$117,E$117),2)</f>
        <v>0</v>
      </c>
      <c r="P417" s="57">
        <f>ROUND(Dot_ex($D417,$E417,$F417,$G417,$H417,$I417,$L417+SUM($N417:O417),F$115,F$117,F$117),2)</f>
        <v>0</v>
      </c>
      <c r="Q417" s="57">
        <f>ROUND(Dot_ex($D417,$E417,$F417,$G417,$H417,$I417,$L417+SUM($N417:P417),G$115,G$117,G$117),2)</f>
        <v>0</v>
      </c>
      <c r="R417" s="57">
        <f>ROUND(Dot_ex($D417,$E417,$F417,$G417,$H417,$I417,$L417+SUM($N417:Q417),H$115,H$117,H$117),2)</f>
        <v>0</v>
      </c>
      <c r="S417" s="57">
        <f>ROUND(Dot_ex($D417,$E417,$F417,$G417,$H417,$I417,$L417+SUM($N417:R417),I$115,I$117,I$117),2)</f>
        <v>0</v>
      </c>
      <c r="T417" s="57">
        <f>ROUND(Dot_ex($D417,$E417,$F417,$G417,$H417,$I417,$L417+SUM($N417:S417),J$115,J$117,J$117),2)</f>
        <v>0</v>
      </c>
      <c r="U417" s="57">
        <f>ROUND(Dot_ex($D417,$E417,$F417,$G417,$H417,$I417,$L417+SUM($N417:T417),K$115,K$117,K$117),2)</f>
        <v>0</v>
      </c>
      <c r="V417" s="57">
        <f>ROUND(Dot_ex($D417,$E417,$F417,$G417,$H417,$I417,$L417+SUM($N417:U417),L$115,L$117,L$117),2)</f>
        <v>0</v>
      </c>
      <c r="W417" s="57">
        <f>ROUND(Dot_ex($D417,$E417,$F417,$G417,$H417,$I417,$L417+SUM($N417:V417),M$115,M$117,M$117),2)</f>
        <v>0</v>
      </c>
    </row>
    <row r="418" spans="1:23" x14ac:dyDescent="0.2">
      <c r="A418" s="107">
        <f t="shared" ca="1" si="102"/>
        <v>162</v>
      </c>
      <c r="B418" s="1" t="s">
        <v>196</v>
      </c>
      <c r="C418" s="1" t="s">
        <v>265</v>
      </c>
      <c r="D418" s="77">
        <v>37335</v>
      </c>
      <c r="E418" s="77">
        <v>37335</v>
      </c>
      <c r="F418" s="77"/>
      <c r="G418" s="8">
        <v>492.79</v>
      </c>
      <c r="H418" s="1" t="s">
        <v>8</v>
      </c>
      <c r="I418" s="78">
        <v>10</v>
      </c>
      <c r="J418" s="8">
        <v>492.79</v>
      </c>
      <c r="K418" s="8">
        <f t="shared" si="103"/>
        <v>0</v>
      </c>
      <c r="L418" s="8">
        <f t="shared" si="104"/>
        <v>492.79</v>
      </c>
      <c r="M418" s="57">
        <f t="shared" si="105"/>
        <v>0</v>
      </c>
      <c r="N418" s="57">
        <f t="shared" si="106"/>
        <v>0</v>
      </c>
      <c r="O418" s="57">
        <f>ROUND(Dot_ex($D418,$E418,$F418,$G418,$H418,$I418,$L418+SUM($N418:N418),E$115,E$117,E$117),2)</f>
        <v>0</v>
      </c>
      <c r="P418" s="57">
        <f>ROUND(Dot_ex($D418,$E418,$F418,$G418,$H418,$I418,$L418+SUM($N418:O418),F$115,F$117,F$117),2)</f>
        <v>0</v>
      </c>
      <c r="Q418" s="57">
        <f>ROUND(Dot_ex($D418,$E418,$F418,$G418,$H418,$I418,$L418+SUM($N418:P418),G$115,G$117,G$117),2)</f>
        <v>0</v>
      </c>
      <c r="R418" s="57">
        <f>ROUND(Dot_ex($D418,$E418,$F418,$G418,$H418,$I418,$L418+SUM($N418:Q418),H$115,H$117,H$117),2)</f>
        <v>0</v>
      </c>
      <c r="S418" s="57">
        <f>ROUND(Dot_ex($D418,$E418,$F418,$G418,$H418,$I418,$L418+SUM($N418:R418),I$115,I$117,I$117),2)</f>
        <v>0</v>
      </c>
      <c r="T418" s="57">
        <f>ROUND(Dot_ex($D418,$E418,$F418,$G418,$H418,$I418,$L418+SUM($N418:S418),J$115,J$117,J$117),2)</f>
        <v>0</v>
      </c>
      <c r="U418" s="57">
        <f>ROUND(Dot_ex($D418,$E418,$F418,$G418,$H418,$I418,$L418+SUM($N418:T418),K$115,K$117,K$117),2)</f>
        <v>0</v>
      </c>
      <c r="V418" s="57">
        <f>ROUND(Dot_ex($D418,$E418,$F418,$G418,$H418,$I418,$L418+SUM($N418:U418),L$115,L$117,L$117),2)</f>
        <v>0</v>
      </c>
      <c r="W418" s="57">
        <f>ROUND(Dot_ex($D418,$E418,$F418,$G418,$H418,$I418,$L418+SUM($N418:V418),M$115,M$117,M$117),2)</f>
        <v>0</v>
      </c>
    </row>
    <row r="419" spans="1:23" x14ac:dyDescent="0.2">
      <c r="A419" s="107">
        <f t="shared" ca="1" si="102"/>
        <v>163</v>
      </c>
      <c r="B419" s="1" t="s">
        <v>197</v>
      </c>
      <c r="C419" s="1" t="s">
        <v>265</v>
      </c>
      <c r="D419" s="77">
        <v>37358</v>
      </c>
      <c r="E419" s="77">
        <v>37358</v>
      </c>
      <c r="F419" s="77"/>
      <c r="G419" s="8">
        <v>194.03</v>
      </c>
      <c r="H419" s="1" t="s">
        <v>8</v>
      </c>
      <c r="I419" s="78">
        <v>10</v>
      </c>
      <c r="J419" s="8">
        <v>194.03</v>
      </c>
      <c r="K419" s="8">
        <f t="shared" si="103"/>
        <v>0</v>
      </c>
      <c r="L419" s="8">
        <f t="shared" si="104"/>
        <v>194.03</v>
      </c>
      <c r="M419" s="57">
        <f t="shared" si="105"/>
        <v>0</v>
      </c>
      <c r="N419" s="57">
        <f t="shared" si="106"/>
        <v>0</v>
      </c>
      <c r="O419" s="57">
        <f>ROUND(Dot_ex($D419,$E419,$F419,$G419,$H419,$I419,$L419+SUM($N419:N419),E$115,E$117,E$117),2)</f>
        <v>0</v>
      </c>
      <c r="P419" s="57">
        <f>ROUND(Dot_ex($D419,$E419,$F419,$G419,$H419,$I419,$L419+SUM($N419:O419),F$115,F$117,F$117),2)</f>
        <v>0</v>
      </c>
      <c r="Q419" s="57">
        <f>ROUND(Dot_ex($D419,$E419,$F419,$G419,$H419,$I419,$L419+SUM($N419:P419),G$115,G$117,G$117),2)</f>
        <v>0</v>
      </c>
      <c r="R419" s="57">
        <f>ROUND(Dot_ex($D419,$E419,$F419,$G419,$H419,$I419,$L419+SUM($N419:Q419),H$115,H$117,H$117),2)</f>
        <v>0</v>
      </c>
      <c r="S419" s="57">
        <f>ROUND(Dot_ex($D419,$E419,$F419,$G419,$H419,$I419,$L419+SUM($N419:R419),I$115,I$117,I$117),2)</f>
        <v>0</v>
      </c>
      <c r="T419" s="57">
        <f>ROUND(Dot_ex($D419,$E419,$F419,$G419,$H419,$I419,$L419+SUM($N419:S419),J$115,J$117,J$117),2)</f>
        <v>0</v>
      </c>
      <c r="U419" s="57">
        <f>ROUND(Dot_ex($D419,$E419,$F419,$G419,$H419,$I419,$L419+SUM($N419:T419),K$115,K$117,K$117),2)</f>
        <v>0</v>
      </c>
      <c r="V419" s="57">
        <f>ROUND(Dot_ex($D419,$E419,$F419,$G419,$H419,$I419,$L419+SUM($N419:U419),L$115,L$117,L$117),2)</f>
        <v>0</v>
      </c>
      <c r="W419" s="57">
        <f>ROUND(Dot_ex($D419,$E419,$F419,$G419,$H419,$I419,$L419+SUM($N419:V419),M$115,M$117,M$117),2)</f>
        <v>0</v>
      </c>
    </row>
    <row r="420" spans="1:23" x14ac:dyDescent="0.2">
      <c r="A420" s="107">
        <f t="shared" ca="1" si="102"/>
        <v>164</v>
      </c>
      <c r="B420" s="1" t="s">
        <v>198</v>
      </c>
      <c r="C420" s="1" t="s">
        <v>265</v>
      </c>
      <c r="D420" s="77">
        <v>37312</v>
      </c>
      <c r="E420" s="77">
        <v>37312</v>
      </c>
      <c r="F420" s="77"/>
      <c r="G420" s="8">
        <v>706.66</v>
      </c>
      <c r="H420" s="1" t="s">
        <v>8</v>
      </c>
      <c r="I420" s="78">
        <v>10</v>
      </c>
      <c r="J420" s="8">
        <v>706.66</v>
      </c>
      <c r="K420" s="8">
        <f t="shared" si="103"/>
        <v>0</v>
      </c>
      <c r="L420" s="8">
        <f t="shared" si="104"/>
        <v>706.66</v>
      </c>
      <c r="M420" s="57">
        <f t="shared" si="105"/>
        <v>0</v>
      </c>
      <c r="N420" s="57">
        <f t="shared" si="106"/>
        <v>0</v>
      </c>
      <c r="O420" s="57">
        <f>ROUND(Dot_ex($D420,$E420,$F420,$G420,$H420,$I420,$L420+SUM($N420:N420),E$115,E$117,E$117),2)</f>
        <v>0</v>
      </c>
      <c r="P420" s="57">
        <f>ROUND(Dot_ex($D420,$E420,$F420,$G420,$H420,$I420,$L420+SUM($N420:O420),F$115,F$117,F$117),2)</f>
        <v>0</v>
      </c>
      <c r="Q420" s="57">
        <f>ROUND(Dot_ex($D420,$E420,$F420,$G420,$H420,$I420,$L420+SUM($N420:P420),G$115,G$117,G$117),2)</f>
        <v>0</v>
      </c>
      <c r="R420" s="57">
        <f>ROUND(Dot_ex($D420,$E420,$F420,$G420,$H420,$I420,$L420+SUM($N420:Q420),H$115,H$117,H$117),2)</f>
        <v>0</v>
      </c>
      <c r="S420" s="57">
        <f>ROUND(Dot_ex($D420,$E420,$F420,$G420,$H420,$I420,$L420+SUM($N420:R420),I$115,I$117,I$117),2)</f>
        <v>0</v>
      </c>
      <c r="T420" s="57">
        <f>ROUND(Dot_ex($D420,$E420,$F420,$G420,$H420,$I420,$L420+SUM($N420:S420),J$115,J$117,J$117),2)</f>
        <v>0</v>
      </c>
      <c r="U420" s="57">
        <f>ROUND(Dot_ex($D420,$E420,$F420,$G420,$H420,$I420,$L420+SUM($N420:T420),K$115,K$117,K$117),2)</f>
        <v>0</v>
      </c>
      <c r="V420" s="57">
        <f>ROUND(Dot_ex($D420,$E420,$F420,$G420,$H420,$I420,$L420+SUM($N420:U420),L$115,L$117,L$117),2)</f>
        <v>0</v>
      </c>
      <c r="W420" s="57">
        <f>ROUND(Dot_ex($D420,$E420,$F420,$G420,$H420,$I420,$L420+SUM($N420:V420),M$115,M$117,M$117),2)</f>
        <v>0</v>
      </c>
    </row>
    <row r="421" spans="1:23" x14ac:dyDescent="0.2">
      <c r="A421" s="107">
        <f t="shared" ca="1" si="102"/>
        <v>165</v>
      </c>
      <c r="B421" s="1" t="s">
        <v>199</v>
      </c>
      <c r="C421" s="1" t="s">
        <v>265</v>
      </c>
      <c r="D421" s="77">
        <v>37312</v>
      </c>
      <c r="E421" s="77">
        <v>37312</v>
      </c>
      <c r="F421" s="77"/>
      <c r="G421" s="8">
        <v>5827.63</v>
      </c>
      <c r="H421" s="1" t="s">
        <v>8</v>
      </c>
      <c r="I421" s="78">
        <v>10</v>
      </c>
      <c r="J421" s="8">
        <v>5827.63</v>
      </c>
      <c r="K421" s="8">
        <f t="shared" si="103"/>
        <v>0</v>
      </c>
      <c r="L421" s="8">
        <f t="shared" si="104"/>
        <v>5827.63</v>
      </c>
      <c r="M421" s="57">
        <f t="shared" si="105"/>
        <v>0</v>
      </c>
      <c r="N421" s="57">
        <f t="shared" si="106"/>
        <v>0</v>
      </c>
      <c r="O421" s="57">
        <f>ROUND(Dot_ex($D421,$E421,$F421,$G421,$H421,$I421,$L421+SUM($N421:N421),E$115,E$117,E$117),2)</f>
        <v>0</v>
      </c>
      <c r="P421" s="57">
        <f>ROUND(Dot_ex($D421,$E421,$F421,$G421,$H421,$I421,$L421+SUM($N421:O421),F$115,F$117,F$117),2)</f>
        <v>0</v>
      </c>
      <c r="Q421" s="57">
        <f>ROUND(Dot_ex($D421,$E421,$F421,$G421,$H421,$I421,$L421+SUM($N421:P421),G$115,G$117,G$117),2)</f>
        <v>0</v>
      </c>
      <c r="R421" s="57">
        <f>ROUND(Dot_ex($D421,$E421,$F421,$G421,$H421,$I421,$L421+SUM($N421:Q421),H$115,H$117,H$117),2)</f>
        <v>0</v>
      </c>
      <c r="S421" s="57">
        <f>ROUND(Dot_ex($D421,$E421,$F421,$G421,$H421,$I421,$L421+SUM($N421:R421),I$115,I$117,I$117),2)</f>
        <v>0</v>
      </c>
      <c r="T421" s="57">
        <f>ROUND(Dot_ex($D421,$E421,$F421,$G421,$H421,$I421,$L421+SUM($N421:S421),J$115,J$117,J$117),2)</f>
        <v>0</v>
      </c>
      <c r="U421" s="57">
        <f>ROUND(Dot_ex($D421,$E421,$F421,$G421,$H421,$I421,$L421+SUM($N421:T421),K$115,K$117,K$117),2)</f>
        <v>0</v>
      </c>
      <c r="V421" s="57">
        <f>ROUND(Dot_ex($D421,$E421,$F421,$G421,$H421,$I421,$L421+SUM($N421:U421),L$115,L$117,L$117),2)</f>
        <v>0</v>
      </c>
      <c r="W421" s="57">
        <f>ROUND(Dot_ex($D421,$E421,$F421,$G421,$H421,$I421,$L421+SUM($N421:V421),M$115,M$117,M$117),2)</f>
        <v>0</v>
      </c>
    </row>
    <row r="422" spans="1:23" x14ac:dyDescent="0.2">
      <c r="A422" s="107">
        <f t="shared" ca="1" si="102"/>
        <v>166</v>
      </c>
      <c r="B422" s="1" t="s">
        <v>200</v>
      </c>
      <c r="C422" s="1" t="s">
        <v>265</v>
      </c>
      <c r="D422" s="77">
        <v>37345</v>
      </c>
      <c r="E422" s="77">
        <v>37345</v>
      </c>
      <c r="F422" s="77"/>
      <c r="G422" s="8">
        <v>1755.85</v>
      </c>
      <c r="H422" s="1" t="s">
        <v>8</v>
      </c>
      <c r="I422" s="78">
        <v>10</v>
      </c>
      <c r="J422" s="8">
        <v>1755.85</v>
      </c>
      <c r="K422" s="8">
        <f t="shared" si="103"/>
        <v>0</v>
      </c>
      <c r="L422" s="8">
        <f t="shared" si="104"/>
        <v>1755.85</v>
      </c>
      <c r="M422" s="57">
        <f t="shared" si="105"/>
        <v>0</v>
      </c>
      <c r="N422" s="57">
        <f t="shared" si="106"/>
        <v>0</v>
      </c>
      <c r="O422" s="57">
        <f>ROUND(Dot_ex($D422,$E422,$F422,$G422,$H422,$I422,$L422+SUM($N422:N422),E$115,E$117,E$117),2)</f>
        <v>0</v>
      </c>
      <c r="P422" s="57">
        <f>ROUND(Dot_ex($D422,$E422,$F422,$G422,$H422,$I422,$L422+SUM($N422:O422),F$115,F$117,F$117),2)</f>
        <v>0</v>
      </c>
      <c r="Q422" s="57">
        <f>ROUND(Dot_ex($D422,$E422,$F422,$G422,$H422,$I422,$L422+SUM($N422:P422),G$115,G$117,G$117),2)</f>
        <v>0</v>
      </c>
      <c r="R422" s="57">
        <f>ROUND(Dot_ex($D422,$E422,$F422,$G422,$H422,$I422,$L422+SUM($N422:Q422),H$115,H$117,H$117),2)</f>
        <v>0</v>
      </c>
      <c r="S422" s="57">
        <f>ROUND(Dot_ex($D422,$E422,$F422,$G422,$H422,$I422,$L422+SUM($N422:R422),I$115,I$117,I$117),2)</f>
        <v>0</v>
      </c>
      <c r="T422" s="57">
        <f>ROUND(Dot_ex($D422,$E422,$F422,$G422,$H422,$I422,$L422+SUM($N422:S422),J$115,J$117,J$117),2)</f>
        <v>0</v>
      </c>
      <c r="U422" s="57">
        <f>ROUND(Dot_ex($D422,$E422,$F422,$G422,$H422,$I422,$L422+SUM($N422:T422),K$115,K$117,K$117),2)</f>
        <v>0</v>
      </c>
      <c r="V422" s="57">
        <f>ROUND(Dot_ex($D422,$E422,$F422,$G422,$H422,$I422,$L422+SUM($N422:U422),L$115,L$117,L$117),2)</f>
        <v>0</v>
      </c>
      <c r="W422" s="57">
        <f>ROUND(Dot_ex($D422,$E422,$F422,$G422,$H422,$I422,$L422+SUM($N422:V422),M$115,M$117,M$117),2)</f>
        <v>0</v>
      </c>
    </row>
    <row r="423" spans="1:23" x14ac:dyDescent="0.2">
      <c r="A423" s="107">
        <f t="shared" ca="1" si="102"/>
        <v>167</v>
      </c>
      <c r="B423" s="1" t="s">
        <v>230</v>
      </c>
      <c r="C423" s="1" t="s">
        <v>265</v>
      </c>
      <c r="D423" s="77">
        <v>37779</v>
      </c>
      <c r="E423" s="77">
        <v>37779</v>
      </c>
      <c r="F423" s="77"/>
      <c r="G423" s="8">
        <v>479.93</v>
      </c>
      <c r="H423" s="1" t="s">
        <v>8</v>
      </c>
      <c r="I423" s="78">
        <v>10</v>
      </c>
      <c r="J423" s="8">
        <v>435.07</v>
      </c>
      <c r="K423" s="8">
        <f t="shared" si="103"/>
        <v>44.86</v>
      </c>
      <c r="L423" s="8">
        <f t="shared" si="104"/>
        <v>479.93</v>
      </c>
      <c r="M423" s="57">
        <f t="shared" si="105"/>
        <v>0</v>
      </c>
      <c r="N423" s="57">
        <f t="shared" si="106"/>
        <v>0</v>
      </c>
      <c r="O423" s="57">
        <f>ROUND(Dot_ex($D423,$E423,$F423,$G423,$H423,$I423,$L423+SUM($N423:N423),E$115,E$117,E$117),2)</f>
        <v>0</v>
      </c>
      <c r="P423" s="57">
        <f>ROUND(Dot_ex($D423,$E423,$F423,$G423,$H423,$I423,$L423+SUM($N423:O423),F$115,F$117,F$117),2)</f>
        <v>0</v>
      </c>
      <c r="Q423" s="57">
        <f>ROUND(Dot_ex($D423,$E423,$F423,$G423,$H423,$I423,$L423+SUM($N423:P423),G$115,G$117,G$117),2)</f>
        <v>0</v>
      </c>
      <c r="R423" s="57">
        <f>ROUND(Dot_ex($D423,$E423,$F423,$G423,$H423,$I423,$L423+SUM($N423:Q423),H$115,H$117,H$117),2)</f>
        <v>0</v>
      </c>
      <c r="S423" s="57">
        <f>ROUND(Dot_ex($D423,$E423,$F423,$G423,$H423,$I423,$L423+SUM($N423:R423),I$115,I$117,I$117),2)</f>
        <v>0</v>
      </c>
      <c r="T423" s="57">
        <f>ROUND(Dot_ex($D423,$E423,$F423,$G423,$H423,$I423,$L423+SUM($N423:S423),J$115,J$117,J$117),2)</f>
        <v>0</v>
      </c>
      <c r="U423" s="57">
        <f>ROUND(Dot_ex($D423,$E423,$F423,$G423,$H423,$I423,$L423+SUM($N423:T423),K$115,K$117,K$117),2)</f>
        <v>0</v>
      </c>
      <c r="V423" s="57">
        <f>ROUND(Dot_ex($D423,$E423,$F423,$G423,$H423,$I423,$L423+SUM($N423:U423),L$115,L$117,L$117),2)</f>
        <v>0</v>
      </c>
      <c r="W423" s="57">
        <f>ROUND(Dot_ex($D423,$E423,$F423,$G423,$H423,$I423,$L423+SUM($N423:V423),M$115,M$117,M$117),2)</f>
        <v>0</v>
      </c>
    </row>
    <row r="424" spans="1:23" x14ac:dyDescent="0.2">
      <c r="A424" s="107">
        <f t="shared" ca="1" si="102"/>
        <v>168</v>
      </c>
      <c r="B424" s="1" t="s">
        <v>230</v>
      </c>
      <c r="C424" s="1" t="s">
        <v>265</v>
      </c>
      <c r="D424" s="77">
        <v>37832</v>
      </c>
      <c r="E424" s="77">
        <v>37832</v>
      </c>
      <c r="F424" s="77"/>
      <c r="G424" s="8">
        <v>459.87</v>
      </c>
      <c r="H424" s="1" t="s">
        <v>8</v>
      </c>
      <c r="I424" s="78">
        <v>10</v>
      </c>
      <c r="J424" s="8">
        <v>410.26</v>
      </c>
      <c r="K424" s="8">
        <f t="shared" si="103"/>
        <v>45.99</v>
      </c>
      <c r="L424" s="8">
        <f t="shared" si="104"/>
        <v>456.25</v>
      </c>
      <c r="M424" s="57">
        <f t="shared" si="105"/>
        <v>3.6200000000000045</v>
      </c>
      <c r="N424" s="57">
        <f t="shared" si="106"/>
        <v>3.62</v>
      </c>
      <c r="O424" s="57">
        <f>ROUND(Dot_ex($D424,$E424,$F424,$G424,$H424,$I424,$L424+SUM($N424:N424),E$115,E$117,E$117),2)</f>
        <v>0</v>
      </c>
      <c r="P424" s="57">
        <f>ROUND(Dot_ex($D424,$E424,$F424,$G424,$H424,$I424,$L424+SUM($N424:O424),F$115,F$117,F$117),2)</f>
        <v>0</v>
      </c>
      <c r="Q424" s="57">
        <f>ROUND(Dot_ex($D424,$E424,$F424,$G424,$H424,$I424,$L424+SUM($N424:P424),G$115,G$117,G$117),2)</f>
        <v>0</v>
      </c>
      <c r="R424" s="57">
        <f>ROUND(Dot_ex($D424,$E424,$F424,$G424,$H424,$I424,$L424+SUM($N424:Q424),H$115,H$117,H$117),2)</f>
        <v>0</v>
      </c>
      <c r="S424" s="57">
        <f>ROUND(Dot_ex($D424,$E424,$F424,$G424,$H424,$I424,$L424+SUM($N424:R424),I$115,I$117,I$117),2)</f>
        <v>0</v>
      </c>
      <c r="T424" s="57">
        <f>ROUND(Dot_ex($D424,$E424,$F424,$G424,$H424,$I424,$L424+SUM($N424:S424),J$115,J$117,J$117),2)</f>
        <v>0</v>
      </c>
      <c r="U424" s="57">
        <f>ROUND(Dot_ex($D424,$E424,$F424,$G424,$H424,$I424,$L424+SUM($N424:T424),K$115,K$117,K$117),2)</f>
        <v>0</v>
      </c>
      <c r="V424" s="57">
        <f>ROUND(Dot_ex($D424,$E424,$F424,$G424,$H424,$I424,$L424+SUM($N424:U424),L$115,L$117,L$117),2)</f>
        <v>0</v>
      </c>
      <c r="W424" s="57">
        <f>ROUND(Dot_ex($D424,$E424,$F424,$G424,$H424,$I424,$L424+SUM($N424:V424),M$115,M$117,M$117),2)</f>
        <v>0</v>
      </c>
    </row>
    <row r="425" spans="1:23" x14ac:dyDescent="0.2">
      <c r="A425" s="107">
        <f t="shared" ca="1" si="102"/>
        <v>169</v>
      </c>
      <c r="B425" s="1" t="s">
        <v>230</v>
      </c>
      <c r="C425" s="1" t="s">
        <v>265</v>
      </c>
      <c r="D425" s="77">
        <v>37852</v>
      </c>
      <c r="E425" s="77">
        <v>37852</v>
      </c>
      <c r="F425" s="77"/>
      <c r="G425" s="8">
        <v>351.17</v>
      </c>
      <c r="H425" s="1" t="s">
        <v>8</v>
      </c>
      <c r="I425" s="78">
        <v>10</v>
      </c>
      <c r="J425" s="8">
        <v>311.38</v>
      </c>
      <c r="K425" s="8">
        <f t="shared" si="103"/>
        <v>35.119999999999997</v>
      </c>
      <c r="L425" s="8">
        <f t="shared" si="104"/>
        <v>346.5</v>
      </c>
      <c r="M425" s="57">
        <f t="shared" si="105"/>
        <v>4.6700000000000159</v>
      </c>
      <c r="N425" s="57">
        <f t="shared" si="106"/>
        <v>4.67</v>
      </c>
      <c r="O425" s="57">
        <f>ROUND(Dot_ex($D425,$E425,$F425,$G425,$H425,$I425,$L425+SUM($N425:N425),E$115,E$117,E$117),2)</f>
        <v>0</v>
      </c>
      <c r="P425" s="57">
        <f>ROUND(Dot_ex($D425,$E425,$F425,$G425,$H425,$I425,$L425+SUM($N425:O425),F$115,F$117,F$117),2)</f>
        <v>0</v>
      </c>
      <c r="Q425" s="57">
        <f>ROUND(Dot_ex($D425,$E425,$F425,$G425,$H425,$I425,$L425+SUM($N425:P425),G$115,G$117,G$117),2)</f>
        <v>0</v>
      </c>
      <c r="R425" s="57">
        <f>ROUND(Dot_ex($D425,$E425,$F425,$G425,$H425,$I425,$L425+SUM($N425:Q425),H$115,H$117,H$117),2)</f>
        <v>0</v>
      </c>
      <c r="S425" s="57">
        <f>ROUND(Dot_ex($D425,$E425,$F425,$G425,$H425,$I425,$L425+SUM($N425:R425),I$115,I$117,I$117),2)</f>
        <v>0</v>
      </c>
      <c r="T425" s="57">
        <f>ROUND(Dot_ex($D425,$E425,$F425,$G425,$H425,$I425,$L425+SUM($N425:S425),J$115,J$117,J$117),2)</f>
        <v>0</v>
      </c>
      <c r="U425" s="57">
        <f>ROUND(Dot_ex($D425,$E425,$F425,$G425,$H425,$I425,$L425+SUM($N425:T425),K$115,K$117,K$117),2)</f>
        <v>0</v>
      </c>
      <c r="V425" s="57">
        <f>ROUND(Dot_ex($D425,$E425,$F425,$G425,$H425,$I425,$L425+SUM($N425:U425),L$115,L$117,L$117),2)</f>
        <v>0</v>
      </c>
      <c r="W425" s="57">
        <f>ROUND(Dot_ex($D425,$E425,$F425,$G425,$H425,$I425,$L425+SUM($N425:V425),M$115,M$117,M$117),2)</f>
        <v>0</v>
      </c>
    </row>
    <row r="426" spans="1:23" x14ac:dyDescent="0.2">
      <c r="A426" s="101"/>
      <c r="H426" s="1"/>
      <c r="I426" s="1"/>
      <c r="J426" s="8"/>
      <c r="K426" s="8"/>
      <c r="M426" s="14"/>
      <c r="N426" s="57"/>
      <c r="O426" s="57"/>
      <c r="P426" s="57"/>
      <c r="Q426" s="57"/>
      <c r="R426" s="57"/>
      <c r="S426" s="57"/>
      <c r="T426" s="57"/>
      <c r="U426" s="57"/>
      <c r="V426" s="57"/>
      <c r="W426" s="57"/>
    </row>
    <row r="427" spans="1:23" x14ac:dyDescent="0.2">
      <c r="A427" s="101"/>
      <c r="E427" s="94" t="s">
        <v>14</v>
      </c>
      <c r="F427" s="95"/>
      <c r="G427" s="96">
        <f>SUM(G410:G426)</f>
        <v>17131.650000000001</v>
      </c>
      <c r="H427" s="94"/>
      <c r="I427" s="97"/>
      <c r="J427" s="96">
        <f t="shared" ref="J427:R427" si="107">SUM(J410:J426)</f>
        <v>16997.390000000003</v>
      </c>
      <c r="K427" s="96">
        <f t="shared" si="107"/>
        <v>125.97</v>
      </c>
      <c r="L427" s="96">
        <f t="shared" si="107"/>
        <v>17123.36</v>
      </c>
      <c r="M427" s="203">
        <f t="shared" si="107"/>
        <v>8.2900000000000205</v>
      </c>
      <c r="N427" s="203">
        <f t="shared" si="107"/>
        <v>8.2899999999999991</v>
      </c>
      <c r="O427" s="203">
        <f t="shared" si="107"/>
        <v>0</v>
      </c>
      <c r="P427" s="203">
        <f t="shared" si="107"/>
        <v>0</v>
      </c>
      <c r="Q427" s="203">
        <f t="shared" si="107"/>
        <v>0</v>
      </c>
      <c r="R427" s="203">
        <f t="shared" si="107"/>
        <v>0</v>
      </c>
      <c r="S427" s="203">
        <f>SUM(S410:S426)</f>
        <v>0</v>
      </c>
      <c r="T427" s="203">
        <f>SUM(T410:T426)</f>
        <v>0</v>
      </c>
      <c r="U427" s="203">
        <f>SUM(U410:U426)</f>
        <v>0</v>
      </c>
      <c r="V427" s="203">
        <f>SUM(V410:V426)</f>
        <v>0</v>
      </c>
      <c r="W427" s="203">
        <f>SUM(W410:W426)</f>
        <v>0</v>
      </c>
    </row>
    <row r="428" spans="1:23" x14ac:dyDescent="0.2">
      <c r="A428" s="101"/>
      <c r="E428" s="94"/>
      <c r="F428" s="95"/>
      <c r="G428" s="96"/>
      <c r="H428" s="94"/>
      <c r="I428" s="97"/>
      <c r="J428" s="96"/>
      <c r="K428" s="96"/>
      <c r="L428" s="96"/>
      <c r="M428" s="203"/>
      <c r="N428" s="57"/>
      <c r="O428" s="57"/>
      <c r="P428" s="57"/>
      <c r="Q428" s="57"/>
      <c r="R428" s="57"/>
      <c r="S428" s="57"/>
      <c r="T428" s="57"/>
      <c r="U428" s="57"/>
      <c r="V428" s="57"/>
      <c r="W428" s="57"/>
    </row>
    <row r="429" spans="1:23" x14ac:dyDescent="0.2">
      <c r="A429" s="101"/>
      <c r="E429" s="1" t="s">
        <v>23</v>
      </c>
      <c r="G429" s="8">
        <f>SUMIF($D410:$D426,"&lt;"&amp;TEXT($G$6,"jj/mm/aa"),G$410:G$426)</f>
        <v>17131.650000000001</v>
      </c>
      <c r="H429" s="1"/>
      <c r="I429" s="78"/>
      <c r="J429" s="8">
        <f>SUMIF($D410:$D426,"&lt;"&amp;TEXT($G$6,"jj/mm/aa"),J$410:J$426)</f>
        <v>16997.390000000003</v>
      </c>
      <c r="K429" s="8">
        <f>SUMIF($D410:$D426,"&lt;"&amp;TEXT($G$6,"jj/mm/aa"),K$410:K$426)</f>
        <v>125.97</v>
      </c>
      <c r="L429" s="8">
        <f>SUMIF($D410:$D426,"&lt;"&amp;TEXT($G$6,"jj/mm/aa"),L$410:L$426)</f>
        <v>17123.36</v>
      </c>
      <c r="M429" s="57">
        <f>SUMIF($D410:$D426,"&lt;"&amp;TEXT($G$6,"jj/mm/aa"),M$410:M$426)</f>
        <v>8.2900000000000205</v>
      </c>
      <c r="N429" s="57"/>
      <c r="O429" s="57"/>
      <c r="P429" s="57"/>
      <c r="Q429" s="57"/>
      <c r="R429" s="57"/>
      <c r="S429" s="57"/>
      <c r="T429" s="57"/>
      <c r="U429" s="57"/>
      <c r="V429" s="57"/>
      <c r="W429" s="57"/>
    </row>
    <row r="430" spans="1:23" x14ac:dyDescent="0.2">
      <c r="A430" s="101"/>
      <c r="E430" s="1" t="s">
        <v>38</v>
      </c>
      <c r="G430" s="8">
        <f>SUMIF($D410:$D426,"&gt;="&amp;TEXT($G$6,"jj/mm/aa"),G$410:G$426)</f>
        <v>0</v>
      </c>
      <c r="J430" s="8">
        <f>SUMIF($D410:$D426,"&gt;="&amp;TEXT($G$6,"jj/mm/aa"),J$410:J$426)</f>
        <v>0</v>
      </c>
      <c r="K430" s="8">
        <f>SUMIF($D410:$D426,"&gt;="&amp;TEXT($G$6,"jj/mm/aa"),K$410:K$426)</f>
        <v>0</v>
      </c>
      <c r="L430" s="8">
        <f>SUMIF($D410:$D426,"&gt;="&amp;TEXT($G$6,"jj/mm/aa"),L$410:L$426)</f>
        <v>0</v>
      </c>
      <c r="M430" s="57">
        <f>SUMIF($D410:$D426,"&gt;="&amp;TEXT($G$6,"jj/mm/aa"),M$410:M$426)</f>
        <v>0</v>
      </c>
      <c r="N430" s="57"/>
      <c r="O430" s="57"/>
      <c r="P430" s="57"/>
      <c r="Q430" s="57"/>
      <c r="R430" s="57"/>
      <c r="S430" s="57"/>
      <c r="T430" s="57"/>
      <c r="U430" s="57"/>
      <c r="V430" s="57"/>
      <c r="W430" s="57"/>
    </row>
    <row r="431" spans="1:23" x14ac:dyDescent="0.2">
      <c r="A431" s="101"/>
      <c r="E431" s="1" t="s">
        <v>39</v>
      </c>
      <c r="G431" s="8">
        <f>SUMIF($F410:$F426,"&gt;="&amp;TEXT($G$6,"jj/mm/aa"),G$410:G$426)</f>
        <v>0</v>
      </c>
      <c r="J431" s="8">
        <f>SUMIF($F410:$F426,"&gt;="&amp;TEXT($G$6,"jj/mm/aa"),J$410:J$426)</f>
        <v>0</v>
      </c>
      <c r="K431" s="8">
        <f>SUMIF($F410:$F426,"&gt;="&amp;TEXT($G$6,"jj/mm/aa"),K$410:K$426)</f>
        <v>0</v>
      </c>
      <c r="L431" s="8">
        <f>SUMIF($F410:$F426,"&gt;="&amp;TEXT($G$6,"jj/mm/aa"),L$410:L$426)</f>
        <v>0</v>
      </c>
      <c r="M431" s="57">
        <f>SUMIF($F410:$F426,"&gt;="&amp;TEXT($G$6,"jj/mm/aa"),M$410:M$426)</f>
        <v>0</v>
      </c>
      <c r="N431" s="57"/>
      <c r="O431" s="57"/>
      <c r="P431" s="57"/>
      <c r="Q431" s="57"/>
      <c r="R431" s="57"/>
      <c r="S431" s="57"/>
      <c r="T431" s="57"/>
      <c r="U431" s="57"/>
      <c r="V431" s="57"/>
      <c r="W431" s="57"/>
    </row>
    <row r="432" spans="1:23" x14ac:dyDescent="0.2">
      <c r="A432" s="101"/>
      <c r="E432" s="1" t="s">
        <v>15</v>
      </c>
      <c r="G432" s="8">
        <f>G429+G430-G431</f>
        <v>17131.650000000001</v>
      </c>
      <c r="J432" s="8">
        <f>J429+J430-J431</f>
        <v>16997.390000000003</v>
      </c>
      <c r="K432" s="8">
        <f>K429+K430-K431</f>
        <v>125.97</v>
      </c>
      <c r="L432" s="8">
        <f>L429+L430-L431</f>
        <v>17123.36</v>
      </c>
      <c r="M432" s="57">
        <f>M429+M430-M431</f>
        <v>8.2900000000000205</v>
      </c>
      <c r="N432" s="57"/>
      <c r="O432" s="57"/>
      <c r="P432" s="57"/>
      <c r="Q432" s="57"/>
      <c r="R432" s="57"/>
      <c r="S432" s="57"/>
      <c r="T432" s="57"/>
      <c r="U432" s="57"/>
      <c r="V432" s="57"/>
      <c r="W432" s="57"/>
    </row>
    <row r="433" spans="1:23" x14ac:dyDescent="0.2">
      <c r="A433" s="101"/>
      <c r="E433" s="1"/>
      <c r="G433" s="8"/>
      <c r="J433" s="8"/>
      <c r="K433" s="8"/>
      <c r="L433" s="8"/>
      <c r="M433" s="57"/>
      <c r="N433" s="57"/>
      <c r="O433" s="57"/>
      <c r="P433" s="57"/>
      <c r="Q433" s="57"/>
      <c r="R433" s="57"/>
      <c r="S433" s="57"/>
      <c r="T433" s="57"/>
      <c r="U433" s="57"/>
      <c r="V433" s="57"/>
      <c r="W433" s="57"/>
    </row>
    <row r="434" spans="1:23" x14ac:dyDescent="0.2">
      <c r="A434" s="101"/>
      <c r="E434" s="1"/>
      <c r="G434" s="8"/>
      <c r="J434" s="8"/>
      <c r="K434" s="8"/>
      <c r="L434" s="8"/>
      <c r="M434" s="57"/>
      <c r="N434" s="57"/>
      <c r="O434" s="57"/>
      <c r="P434" s="57"/>
      <c r="Q434" s="57"/>
      <c r="R434" s="57"/>
      <c r="S434" s="57"/>
      <c r="T434" s="57"/>
      <c r="U434" s="57"/>
      <c r="V434" s="57"/>
      <c r="W434" s="57"/>
    </row>
    <row r="435" spans="1:23" ht="24.95" customHeight="1" x14ac:dyDescent="0.2">
      <c r="A435" s="208" t="s">
        <v>227</v>
      </c>
      <c r="B435" s="209"/>
      <c r="C435" s="209"/>
      <c r="D435" s="209"/>
      <c r="E435" s="210"/>
      <c r="F435" s="211"/>
      <c r="G435" s="211"/>
      <c r="H435" s="211"/>
      <c r="I435" s="211"/>
      <c r="J435" s="211"/>
      <c r="K435" s="211"/>
      <c r="L435" s="211"/>
      <c r="M435" s="226"/>
      <c r="N435" s="212" t="str">
        <f>A435 &amp; "   -   Dotations prévisionnelles"</f>
        <v>275500 CAUTIONNEMENTS VERSES   -   Dotations prévisionnelles</v>
      </c>
      <c r="O435" s="212"/>
      <c r="P435" s="212"/>
      <c r="Q435" s="212"/>
      <c r="R435" s="212"/>
      <c r="S435" s="212"/>
      <c r="T435" s="212"/>
      <c r="U435" s="212"/>
      <c r="V435" s="212"/>
      <c r="W435" s="213"/>
    </row>
    <row r="436" spans="1:23" ht="12" customHeight="1" x14ac:dyDescent="0.2">
      <c r="A436" s="107">
        <f ca="1">IF(ISNUMBER(A435),A435+1,OFFSET(A436,-Nbre_Ligne_Entre_Compte,0,1,1)+1)</f>
        <v>170</v>
      </c>
      <c r="B436" s="1" t="s">
        <v>228</v>
      </c>
      <c r="C436" s="1"/>
      <c r="D436" s="77">
        <v>37477</v>
      </c>
      <c r="E436" s="77"/>
      <c r="F436" s="77"/>
      <c r="G436" s="8">
        <v>10</v>
      </c>
      <c r="H436" s="1" t="s">
        <v>16</v>
      </c>
      <c r="I436" s="78"/>
      <c r="J436" s="8"/>
      <c r="K436" s="8">
        <f>ROUND(Dot_ex(D436,E436,F436,G436,H436,I436,J436,$G$6,$I$6,$I$8),2)</f>
        <v>0</v>
      </c>
      <c r="L436" s="8">
        <f>J436+K436</f>
        <v>0</v>
      </c>
      <c r="M436" s="57">
        <f>G436-L436</f>
        <v>10</v>
      </c>
      <c r="N436" s="57">
        <f t="shared" ref="N436:N446" si="108">ROUND(Dot_ex($D436,$E436,$F436,$G436,$H436,$I436,$L436,D$115,D$117,D$117),2)</f>
        <v>0</v>
      </c>
      <c r="O436" s="57">
        <f>ROUND(Dot_ex($D436,$E436,$F436,$G436,$H436,$I436,$L436+SUM($N436:N436),E$115,E$117,E$117),2)</f>
        <v>0</v>
      </c>
      <c r="P436" s="57">
        <f>ROUND(Dot_ex($D436,$E436,$F436,$G436,$H436,$I436,$L436+SUM($N436:O436),F$115,F$117,F$117),2)</f>
        <v>0</v>
      </c>
      <c r="Q436" s="57">
        <f>ROUND(Dot_ex($D436,$E436,$F436,$G436,$H436,$I436,$L436+SUM($N436:P436),G$115,G$117,G$117),2)</f>
        <v>0</v>
      </c>
      <c r="R436" s="57">
        <f>ROUND(Dot_ex($D436,$E436,$F436,$G436,$H436,$I436,$L436+SUM($N436:Q436),H$115,H$117,H$117),2)</f>
        <v>0</v>
      </c>
      <c r="S436" s="57">
        <f>ROUND(Dot_ex($D436,$E436,$F436,$G436,$H436,$I436,$L436+SUM($N436:R436),I$115,I$117,I$117),2)</f>
        <v>0</v>
      </c>
      <c r="T436" s="57">
        <f>ROUND(Dot_ex($D436,$E436,$F436,$G436,$H436,$I436,$L436+SUM($N436:S436),J$115,J$117,J$117),2)</f>
        <v>0</v>
      </c>
      <c r="U436" s="57">
        <f>ROUND(Dot_ex($D436,$E436,$F436,$G436,$H436,$I436,$L436+SUM($N436:T436),K$115,K$117,K$117),2)</f>
        <v>0</v>
      </c>
      <c r="V436" s="57">
        <f>ROUND(Dot_ex($D436,$E436,$F436,$G436,$H436,$I436,$L436+SUM($N436:U436),L$115,L$117,L$117),2)</f>
        <v>0</v>
      </c>
      <c r="W436" s="57">
        <f>ROUND(Dot_ex($D436,$E436,$F436,$G436,$H436,$I436,$L436+SUM($N436:V436),M$115,M$117,M$117),2)</f>
        <v>0</v>
      </c>
    </row>
    <row r="437" spans="1:23" ht="12" customHeight="1" x14ac:dyDescent="0.2">
      <c r="A437" s="107">
        <f ca="1">IF(ISNUMBER(A436),A436+1,OFFSET(A437,-Nbre_Ligne_Entre_Compte,0,1,1)+1)</f>
        <v>171</v>
      </c>
      <c r="B437" s="1" t="s">
        <v>249</v>
      </c>
      <c r="C437" s="1"/>
      <c r="D437" s="77">
        <v>38457</v>
      </c>
      <c r="E437" s="77"/>
      <c r="F437" s="77"/>
      <c r="G437" s="8">
        <v>46</v>
      </c>
      <c r="H437" s="1" t="s">
        <v>16</v>
      </c>
      <c r="I437" s="78"/>
      <c r="J437" s="8"/>
      <c r="K437" s="8">
        <f>ROUND(Dot_ex(D437,E437,F437,G437,H437,I437,J437,$G$6,$I$6,$I$8),2)</f>
        <v>0</v>
      </c>
      <c r="L437" s="8">
        <f>J437+K437</f>
        <v>0</v>
      </c>
      <c r="M437" s="57">
        <f>G437-L437</f>
        <v>46</v>
      </c>
      <c r="N437" s="57">
        <f t="shared" si="108"/>
        <v>0</v>
      </c>
      <c r="O437" s="57">
        <f>ROUND(Dot_ex($D437,$E437,$F437,$G437,$H437,$I437,$L437+SUM($N437:N437),E$115,E$117,E$117),2)</f>
        <v>0</v>
      </c>
      <c r="P437" s="57">
        <f>ROUND(Dot_ex($D437,$E437,$F437,$G437,$H437,$I437,$L437+SUM($N437:O437),F$115,F$117,F$117),2)</f>
        <v>0</v>
      </c>
      <c r="Q437" s="57">
        <f>ROUND(Dot_ex($D437,$E437,$F437,$G437,$H437,$I437,$L437+SUM($N437:P437),G$115,G$117,G$117),2)</f>
        <v>0</v>
      </c>
      <c r="R437" s="57">
        <f>ROUND(Dot_ex($D437,$E437,$F437,$G437,$H437,$I437,$L437+SUM($N437:Q437),H$115,H$117,H$117),2)</f>
        <v>0</v>
      </c>
      <c r="S437" s="57">
        <f>ROUND(Dot_ex($D437,$E437,$F437,$G437,$H437,$I437,$L437+SUM($N437:R437),I$115,I$117,I$117),2)</f>
        <v>0</v>
      </c>
      <c r="T437" s="57">
        <f>ROUND(Dot_ex($D437,$E437,$F437,$G437,$H437,$I437,$L437+SUM($N437:S437),J$115,J$117,J$117),2)</f>
        <v>0</v>
      </c>
      <c r="U437" s="57">
        <f>ROUND(Dot_ex($D437,$E437,$F437,$G437,$H437,$I437,$L437+SUM($N437:T437),K$115,K$117,K$117),2)</f>
        <v>0</v>
      </c>
      <c r="V437" s="57">
        <f>ROUND(Dot_ex($D437,$E437,$F437,$G437,$H437,$I437,$L437+SUM($N437:U437),L$115,L$117,L$117),2)</f>
        <v>0</v>
      </c>
      <c r="W437" s="57">
        <f>ROUND(Dot_ex($D437,$E437,$F437,$G437,$H437,$I437,$L437+SUM($N437:V437),M$115,M$117,M$117),2)</f>
        <v>0</v>
      </c>
    </row>
    <row r="438" spans="1:23" ht="12" customHeight="1" x14ac:dyDescent="0.2">
      <c r="A438" s="107">
        <f ca="1">IF(ISNUMBER(A437),A437+1,OFFSET(A438,-Nbre_Ligne_Entre_Compte,0,1,1)+1)</f>
        <v>172</v>
      </c>
      <c r="B438" s="1" t="s">
        <v>282</v>
      </c>
      <c r="C438" s="1"/>
      <c r="D438" s="77">
        <v>40221</v>
      </c>
      <c r="E438" s="77"/>
      <c r="F438" s="77"/>
      <c r="G438" s="8">
        <v>300</v>
      </c>
      <c r="H438" s="1" t="s">
        <v>16</v>
      </c>
      <c r="I438" s="78"/>
      <c r="J438" s="8"/>
      <c r="K438" s="8">
        <f>ROUND(Dot_ex(D438,E438,F438,G438,H438,I438,J438,$G$6,$I$6,$I$8),2)</f>
        <v>0</v>
      </c>
      <c r="L438" s="8">
        <f>J438+K438</f>
        <v>0</v>
      </c>
      <c r="M438" s="57">
        <f>G438-L438</f>
        <v>300</v>
      </c>
      <c r="N438" s="57">
        <f>ROUND(Dot_ex($D438,$E438,$F438,$G438,$H438,$I438,$L438,D$115,D$117,D$117),2)</f>
        <v>0</v>
      </c>
      <c r="O438" s="57">
        <f>ROUND(Dot_ex($D438,$E438,$F438,$G438,$H438,$I438,$L438+SUM($N438:N438),E$115,E$117,E$117),2)</f>
        <v>0</v>
      </c>
      <c r="P438" s="57">
        <f>ROUND(Dot_ex($D438,$E438,$F438,$G438,$H438,$I438,$L438+SUM($N438:O438),F$115,F$117,F$117),2)</f>
        <v>0</v>
      </c>
      <c r="Q438" s="57">
        <f>ROUND(Dot_ex($D438,$E438,$F438,$G438,$H438,$I438,$L438+SUM($N438:P438),G$115,G$117,G$117),2)</f>
        <v>0</v>
      </c>
      <c r="R438" s="57">
        <f>ROUND(Dot_ex($D438,$E438,$F438,$G438,$H438,$I438,$L438+SUM($N438:Q438),H$115,H$117,H$117),2)</f>
        <v>0</v>
      </c>
      <c r="S438" s="57">
        <f>ROUND(Dot_ex($D438,$E438,$F438,$G438,$H438,$I438,$L438+SUM($N438:R438),I$115,I$117,I$117),2)</f>
        <v>0</v>
      </c>
      <c r="T438" s="57">
        <f>ROUND(Dot_ex($D438,$E438,$F438,$G438,$H438,$I438,$L438+SUM($N438:S438),J$115,J$117,J$117),2)</f>
        <v>0</v>
      </c>
      <c r="U438" s="57">
        <f>ROUND(Dot_ex($D438,$E438,$F438,$G438,$H438,$I438,$L438+SUM($N438:T438),K$115,K$117,K$117),2)</f>
        <v>0</v>
      </c>
      <c r="V438" s="57">
        <f>ROUND(Dot_ex($D438,$E438,$F438,$G438,$H438,$I438,$L438+SUM($N438:U438),L$115,L$117,L$117),2)</f>
        <v>0</v>
      </c>
      <c r="W438" s="57">
        <f>ROUND(Dot_ex($D438,$E438,$F438,$G438,$H438,$I438,$L438+SUM($N438:V438),M$115,M$117,M$117),2)</f>
        <v>0</v>
      </c>
    </row>
    <row r="439" spans="1:23" x14ac:dyDescent="0.2">
      <c r="A439" s="101"/>
      <c r="B439" s="1"/>
      <c r="C439" s="1"/>
      <c r="D439" s="227"/>
      <c r="G439" s="8"/>
      <c r="H439" s="1"/>
      <c r="I439" s="78"/>
      <c r="J439" s="8"/>
      <c r="K439" s="8"/>
      <c r="L439" s="8"/>
      <c r="M439" s="57"/>
      <c r="N439" s="57">
        <f t="shared" si="108"/>
        <v>0</v>
      </c>
      <c r="O439" s="57">
        <f>ROUND(Dot_ex($D439,$E439,$F439,$G439,$H439,$I439,$L439+SUM($N439:N439),E$115,E$117,E$117),2)</f>
        <v>0</v>
      </c>
      <c r="P439" s="57">
        <f>ROUND(Dot_ex($D439,$E439,$F439,$G439,$H439,$I439,$L439+SUM($N439:O439),F$115,F$117,F$117),2)</f>
        <v>0</v>
      </c>
      <c r="Q439" s="57">
        <f>ROUND(Dot_ex($D439,$E439,$F439,$G439,$H439,$I439,$L439+SUM($N439:P439),G$115,G$117,G$117),2)</f>
        <v>0</v>
      </c>
      <c r="R439" s="57">
        <f>ROUND(Dot_ex($D439,$E439,$F439,$G439,$H439,$I439,$L439+SUM($N439:Q439),H$115,H$117,H$117),2)</f>
        <v>0</v>
      </c>
      <c r="S439" s="57">
        <f>ROUND(Dot_ex($D439,$E439,$F439,$G439,$H439,$I439,$L439+SUM($N439:R439),I$115,I$117,I$117),2)</f>
        <v>0</v>
      </c>
      <c r="T439" s="57">
        <f>ROUND(Dot_ex($D439,$E439,$F439,$G439,$H439,$I439,$L439+SUM($N439:S439),J$115,J$117,J$117),2)</f>
        <v>0</v>
      </c>
      <c r="U439" s="57">
        <f>ROUND(Dot_ex($D439,$E439,$F439,$G439,$H439,$I439,$L439+SUM($N439:T439),K$115,K$117,K$117),2)</f>
        <v>0</v>
      </c>
      <c r="V439" s="57">
        <f>ROUND(Dot_ex($D439,$E439,$F439,$G439,$H439,$I439,$L439+SUM($N439:U439),L$115,L$117,L$117),2)</f>
        <v>0</v>
      </c>
      <c r="W439" s="57">
        <f>ROUND(Dot_ex($D439,$E439,$F439,$G439,$H439,$I439,$L439+SUM($N439:V439),M$115,M$117,M$117),2)</f>
        <v>0</v>
      </c>
    </row>
    <row r="440" spans="1:23" x14ac:dyDescent="0.2">
      <c r="A440" s="101"/>
      <c r="E440" s="94" t="s">
        <v>14</v>
      </c>
      <c r="F440" s="95"/>
      <c r="G440" s="96">
        <f>SUM(G436:G439)</f>
        <v>356</v>
      </c>
      <c r="H440" s="94"/>
      <c r="I440" s="97"/>
      <c r="J440" s="96">
        <f>SUM(J439:J439)</f>
        <v>0</v>
      </c>
      <c r="K440" s="96">
        <f>SUM(K439:K439)</f>
        <v>0</v>
      </c>
      <c r="L440" s="96">
        <f>SUM(L439:L439)</f>
        <v>0</v>
      </c>
      <c r="M440" s="203">
        <f>SUM(M439:M439)</f>
        <v>0</v>
      </c>
      <c r="N440" s="57">
        <f t="shared" si="108"/>
        <v>0</v>
      </c>
      <c r="O440" s="57">
        <f>ROUND(Dot_ex($D440,$E440,$F440,$G440,$H440,$I440,$L440+SUM($N440:N440),E$115,E$117,E$117),2)</f>
        <v>0</v>
      </c>
      <c r="P440" s="57">
        <f>ROUND(Dot_ex($D440,$E440,$F440,$G440,$H440,$I440,$L440+SUM($N440:O440),F$115,F$117,F$117),2)</f>
        <v>0</v>
      </c>
      <c r="Q440" s="57">
        <f>ROUND(Dot_ex($D440,$E440,$F440,$G440,$H440,$I440,$L440+SUM($N440:P440),G$115,G$117,G$117),2)</f>
        <v>0</v>
      </c>
      <c r="R440" s="57">
        <f>ROUND(Dot_ex($D440,$E440,$F440,$G440,$H440,$I440,$L440+SUM($N440:Q440),H$115,H$117,H$117),2)</f>
        <v>0</v>
      </c>
      <c r="S440" s="57">
        <f>ROUND(Dot_ex($D440,$E440,$F440,$G440,$H440,$I440,$L440+SUM($N440:R440),I$115,I$117,I$117),2)</f>
        <v>0</v>
      </c>
      <c r="T440" s="57">
        <f>ROUND(Dot_ex($D440,$E440,$F440,$G440,$H440,$I440,$L440+SUM($N440:S440),J$115,J$117,J$117),2)</f>
        <v>0</v>
      </c>
      <c r="U440" s="57">
        <f>ROUND(Dot_ex($D440,$E440,$F440,$G440,$H440,$I440,$L440+SUM($N440:T440),K$115,K$117,K$117),2)</f>
        <v>0</v>
      </c>
      <c r="V440" s="57">
        <f>ROUND(Dot_ex($D440,$E440,$F440,$G440,$H440,$I440,$L440+SUM($N440:U440),L$115,L$117,L$117),2)</f>
        <v>0</v>
      </c>
      <c r="W440" s="57">
        <f>ROUND(Dot_ex($D440,$E440,$F440,$G440,$H440,$I440,$L440+SUM($N440:V440),M$115,M$117,M$117),2)</f>
        <v>0</v>
      </c>
    </row>
    <row r="441" spans="1:23" x14ac:dyDescent="0.2">
      <c r="A441" s="101"/>
      <c r="M441" s="14"/>
      <c r="N441" s="57">
        <f t="shared" si="108"/>
        <v>0</v>
      </c>
      <c r="O441" s="57">
        <f>ROUND(Dot_ex($D441,$E441,$F441,$G441,$H441,$I441,$L441+SUM($N441:N441),E$115,E$117,E$117),2)</f>
        <v>0</v>
      </c>
      <c r="P441" s="57">
        <f>ROUND(Dot_ex($D441,$E441,$F441,$G441,$H441,$I441,$L441+SUM($N441:O441),F$115,F$117,F$117),2)</f>
        <v>0</v>
      </c>
      <c r="Q441" s="57">
        <f>ROUND(Dot_ex($D441,$E441,$F441,$G441,$H441,$I441,$L441+SUM($N441:P441),G$115,G$117,G$117),2)</f>
        <v>0</v>
      </c>
      <c r="R441" s="57">
        <f>ROUND(Dot_ex($D441,$E441,$F441,$G441,$H441,$I441,$L441+SUM($N441:Q441),H$115,H$117,H$117),2)</f>
        <v>0</v>
      </c>
      <c r="S441" s="57">
        <f>ROUND(Dot_ex($D441,$E441,$F441,$G441,$H441,$I441,$L441+SUM($N441:R441),I$115,I$117,I$117),2)</f>
        <v>0</v>
      </c>
      <c r="T441" s="57">
        <f>ROUND(Dot_ex($D441,$E441,$F441,$G441,$H441,$I441,$L441+SUM($N441:S441),J$115,J$117,J$117),2)</f>
        <v>0</v>
      </c>
      <c r="U441" s="57">
        <f>ROUND(Dot_ex($D441,$E441,$F441,$G441,$H441,$I441,$L441+SUM($N441:T441),K$115,K$117,K$117),2)</f>
        <v>0</v>
      </c>
      <c r="V441" s="57">
        <f>ROUND(Dot_ex($D441,$E441,$F441,$G441,$H441,$I441,$L441+SUM($N441:U441),L$115,L$117,L$117),2)</f>
        <v>0</v>
      </c>
      <c r="W441" s="57">
        <f>ROUND(Dot_ex($D441,$E441,$F441,$G441,$H441,$I441,$L441+SUM($N441:V441),M$115,M$117,M$117),2)</f>
        <v>0</v>
      </c>
    </row>
    <row r="442" spans="1:23" x14ac:dyDescent="0.2">
      <c r="A442" s="101"/>
      <c r="E442" s="1" t="s">
        <v>23</v>
      </c>
      <c r="G442" s="8">
        <f>SUMIF($D$436:$D$439,"&lt;"&amp;TEXT($G$6,"jj/mm/aa"),G$436:G$439)</f>
        <v>356</v>
      </c>
      <c r="J442" s="8">
        <f>SUMIF($D$436:$D$439,"&lt;"&amp;TEXT($G$6,"jj/mm/aa"),J$436:J$439)</f>
        <v>0</v>
      </c>
      <c r="K442" s="8">
        <f>SUMIF($D$436:$D$439,"&lt;"&amp;TEXT($G$6,"jj/mm/aa"),K$436:K$439)</f>
        <v>0</v>
      </c>
      <c r="L442" s="8">
        <f>SUMIF($D$436:$D$439,"&lt;"&amp;TEXT($G$6,"jj/mm/aa"),L$436:L$439)</f>
        <v>0</v>
      </c>
      <c r="M442" s="57">
        <f>SUMIF($D$436:$D$439,"&lt;"&amp;TEXT($G$6,"jj/mm/aa"),M$436:M$439)</f>
        <v>356</v>
      </c>
      <c r="N442" s="57">
        <f t="shared" si="108"/>
        <v>0</v>
      </c>
      <c r="O442" s="57">
        <f>ROUND(Dot_ex($D442,$E442,$F442,$G442,$H442,$I442,$L442+SUM($N442:N442),E$115,E$117,E$117),2)</f>
        <v>0</v>
      </c>
      <c r="P442" s="57">
        <f>ROUND(Dot_ex($D442,$E442,$F442,$G442,$H442,$I442,$L442+SUM($N442:O442),F$115,F$117,F$117),2)</f>
        <v>0</v>
      </c>
      <c r="Q442" s="57">
        <f>ROUND(Dot_ex($D442,$E442,$F442,$G442,$H442,$I442,$L442+SUM($N442:P442),G$115,G$117,G$117),2)</f>
        <v>0</v>
      </c>
      <c r="R442" s="57">
        <f>ROUND(Dot_ex($D442,$E442,$F442,$G442,$H442,$I442,$L442+SUM($N442:Q442),H$115,H$117,H$117),2)</f>
        <v>0</v>
      </c>
      <c r="S442" s="57">
        <f>ROUND(Dot_ex($D442,$E442,$F442,$G442,$H442,$I442,$L442+SUM($N442:R442),I$115,I$117,I$117),2)</f>
        <v>0</v>
      </c>
      <c r="T442" s="57">
        <f>ROUND(Dot_ex($D442,$E442,$F442,$G442,$H442,$I442,$L442+SUM($N442:S442),J$115,J$117,J$117),2)</f>
        <v>0</v>
      </c>
      <c r="U442" s="57">
        <f>ROUND(Dot_ex($D442,$E442,$F442,$G442,$H442,$I442,$L442+SUM($N442:T442),K$115,K$117,K$117),2)</f>
        <v>0</v>
      </c>
      <c r="V442" s="57">
        <f>ROUND(Dot_ex($D442,$E442,$F442,$G442,$H442,$I442,$L442+SUM($N442:U442),L$115,L$117,L$117),2)</f>
        <v>0</v>
      </c>
      <c r="W442" s="57">
        <f>ROUND(Dot_ex($D442,$E442,$F442,$G442,$H442,$I442,$L442+SUM($N442:V442),M$115,M$117,M$117),2)</f>
        <v>0</v>
      </c>
    </row>
    <row r="443" spans="1:23" x14ac:dyDescent="0.2">
      <c r="A443" s="101"/>
      <c r="E443" s="1" t="s">
        <v>38</v>
      </c>
      <c r="G443" s="8">
        <f>SUMIF($D$436:$D$439,"&gt;="&amp;TEXT($G$6,"jj/mm/aa"),G$436:G$439)</f>
        <v>0</v>
      </c>
      <c r="J443" s="8">
        <f>SUMIF($D$436:$D$439,"&gt;="&amp;TEXT($G$6,"jj/mm/aa"),J$436:J$439)</f>
        <v>0</v>
      </c>
      <c r="K443" s="8">
        <f>SUMIF($D$436:$D$439,"&gt;="&amp;TEXT($G$6,"jj/mm/aa"),K$436:K$439)</f>
        <v>0</v>
      </c>
      <c r="L443" s="8">
        <f>SUMIF($D$436:$D$439,"&gt;="&amp;TEXT($G$6,"jj/mm/aa"),L$436:L$439)</f>
        <v>0</v>
      </c>
      <c r="M443" s="57">
        <f>SUMIF($D$436:$D$439,"&gt;="&amp;TEXT($G$6,"jj/mm/aa"),M$436:M$439)</f>
        <v>0</v>
      </c>
      <c r="N443" s="57">
        <f t="shared" si="108"/>
        <v>0</v>
      </c>
      <c r="O443" s="57">
        <f>ROUND(Dot_ex($D443,$E443,$F443,$G443,$H443,$I443,$L443+SUM($N443:N443),E$115,E$117,E$117),2)</f>
        <v>0</v>
      </c>
      <c r="P443" s="57">
        <f>ROUND(Dot_ex($D443,$E443,$F443,$G443,$H443,$I443,$L443+SUM($N443:O443),F$115,F$117,F$117),2)</f>
        <v>0</v>
      </c>
      <c r="Q443" s="57">
        <f>ROUND(Dot_ex($D443,$E443,$F443,$G443,$H443,$I443,$L443+SUM($N443:P443),G$115,G$117,G$117),2)</f>
        <v>0</v>
      </c>
      <c r="R443" s="57">
        <f>ROUND(Dot_ex($D443,$E443,$F443,$G443,$H443,$I443,$L443+SUM($N443:Q443),H$115,H$117,H$117),2)</f>
        <v>0</v>
      </c>
      <c r="S443" s="57">
        <f>ROUND(Dot_ex($D443,$E443,$F443,$G443,$H443,$I443,$L443+SUM($N443:R443),I$115,I$117,I$117),2)</f>
        <v>0</v>
      </c>
      <c r="T443" s="57">
        <f>ROUND(Dot_ex($D443,$E443,$F443,$G443,$H443,$I443,$L443+SUM($N443:S443),J$115,J$117,J$117),2)</f>
        <v>0</v>
      </c>
      <c r="U443" s="57">
        <f>ROUND(Dot_ex($D443,$E443,$F443,$G443,$H443,$I443,$L443+SUM($N443:T443),K$115,K$117,K$117),2)</f>
        <v>0</v>
      </c>
      <c r="V443" s="57">
        <f>ROUND(Dot_ex($D443,$E443,$F443,$G443,$H443,$I443,$L443+SUM($N443:U443),L$115,L$117,L$117),2)</f>
        <v>0</v>
      </c>
      <c r="W443" s="57">
        <f>ROUND(Dot_ex($D443,$E443,$F443,$G443,$H443,$I443,$L443+SUM($N443:V443),M$115,M$117,M$117),2)</f>
        <v>0</v>
      </c>
    </row>
    <row r="444" spans="1:23" x14ac:dyDescent="0.2">
      <c r="A444" s="101"/>
      <c r="E444" s="1" t="s">
        <v>39</v>
      </c>
      <c r="G444" s="8">
        <f>SUMIF($F$436:$F$439,"&gt;="&amp;TEXT($G$6,"jj/mm/aa"),G$436:G$439)</f>
        <v>0</v>
      </c>
      <c r="J444" s="8">
        <f>SUMIF($F$436:$F$439,"&gt;="&amp;TEXT($G$6,"jj/mm/aa"),J$436:J$439)</f>
        <v>0</v>
      </c>
      <c r="K444" s="8">
        <f>SUMIF($F$436:$F$439,"&gt;="&amp;TEXT($G$6,"jj/mm/aa"),K$436:K$439)</f>
        <v>0</v>
      </c>
      <c r="L444" s="8">
        <f>SUMIF($F$436:$F$439,"&gt;="&amp;TEXT($G$6,"jj/mm/aa"),L$436:L$439)</f>
        <v>0</v>
      </c>
      <c r="M444" s="57">
        <f>SUMIF($F$436:$F$439,"&gt;="&amp;TEXT($G$6,"jj/mm/aa"),M$436:M$439)</f>
        <v>0</v>
      </c>
      <c r="N444" s="57">
        <f t="shared" si="108"/>
        <v>0</v>
      </c>
      <c r="O444" s="57">
        <f>ROUND(Dot_ex($D444,$E444,$F444,$G444,$H444,$I444,$L444+SUM($N444:N444),E$115,E$117,E$117),2)</f>
        <v>0</v>
      </c>
      <c r="P444" s="57">
        <f>ROUND(Dot_ex($D444,$E444,$F444,$G444,$H444,$I444,$L444+SUM($N444:O444),F$115,F$117,F$117),2)</f>
        <v>0</v>
      </c>
      <c r="Q444" s="57">
        <f>ROUND(Dot_ex($D444,$E444,$F444,$G444,$H444,$I444,$L444+SUM($N444:P444),G$115,G$117,G$117),2)</f>
        <v>0</v>
      </c>
      <c r="R444" s="57">
        <f>ROUND(Dot_ex($D444,$E444,$F444,$G444,$H444,$I444,$L444+SUM($N444:Q444),H$115,H$117,H$117),2)</f>
        <v>0</v>
      </c>
      <c r="S444" s="57">
        <f>ROUND(Dot_ex($D444,$E444,$F444,$G444,$H444,$I444,$L444+SUM($N444:R444),I$115,I$117,I$117),2)</f>
        <v>0</v>
      </c>
      <c r="T444" s="57">
        <f>ROUND(Dot_ex($D444,$E444,$F444,$G444,$H444,$I444,$L444+SUM($N444:S444),J$115,J$117,J$117),2)</f>
        <v>0</v>
      </c>
      <c r="U444" s="57">
        <f>ROUND(Dot_ex($D444,$E444,$F444,$G444,$H444,$I444,$L444+SUM($N444:T444),K$115,K$117,K$117),2)</f>
        <v>0</v>
      </c>
      <c r="V444" s="57">
        <f>ROUND(Dot_ex($D444,$E444,$F444,$G444,$H444,$I444,$L444+SUM($N444:U444),L$115,L$117,L$117),2)</f>
        <v>0</v>
      </c>
      <c r="W444" s="57">
        <f>ROUND(Dot_ex($D444,$E444,$F444,$G444,$H444,$I444,$L444+SUM($N444:V444),M$115,M$117,M$117),2)</f>
        <v>0</v>
      </c>
    </row>
    <row r="445" spans="1:23" x14ac:dyDescent="0.2">
      <c r="A445" s="103"/>
      <c r="B445" s="21"/>
      <c r="C445" s="21"/>
      <c r="D445" s="21"/>
      <c r="E445" s="207" t="s">
        <v>15</v>
      </c>
      <c r="F445" s="21"/>
      <c r="G445" s="204">
        <f>G442+G443-G444</f>
        <v>356</v>
      </c>
      <c r="H445" s="21"/>
      <c r="I445" s="21"/>
      <c r="J445" s="204">
        <f>J442+J443-J444</f>
        <v>0</v>
      </c>
      <c r="K445" s="204">
        <f>K442+K443-K444</f>
        <v>0</v>
      </c>
      <c r="L445" s="204">
        <f>L442+L443-L444</f>
        <v>0</v>
      </c>
      <c r="M445" s="205">
        <f>M442+M443-M444</f>
        <v>356</v>
      </c>
      <c r="N445" s="205">
        <f t="shared" si="108"/>
        <v>0</v>
      </c>
      <c r="O445" s="205">
        <f>ROUND(Dot_ex($D445,$E445,$F445,$G445,$H445,$I445,$L445+SUM($N445:N445),E$115,E$117,E$117),2)</f>
        <v>0</v>
      </c>
      <c r="P445" s="205">
        <f>ROUND(Dot_ex($D445,$E445,$F445,$G445,$H445,$I445,$L445+SUM($N445:O445),F$115,F$117,F$117),2)</f>
        <v>0</v>
      </c>
      <c r="Q445" s="205">
        <f>ROUND(Dot_ex($D445,$E445,$F445,$G445,$H445,$I445,$L445+SUM($N445:P445),G$115,G$117,G$117),2)</f>
        <v>0</v>
      </c>
      <c r="R445" s="205">
        <f>ROUND(Dot_ex($D445,$E445,$F445,$G445,$H445,$I445,$L445+SUM($N445:Q445),H$115,H$117,H$117),2)</f>
        <v>0</v>
      </c>
      <c r="S445" s="205">
        <f>ROUND(Dot_ex($D445,$E445,$F445,$G445,$H445,$I445,$L445+SUM($N445:R445),I$115,I$117,I$117),2)</f>
        <v>0</v>
      </c>
      <c r="T445" s="205">
        <f>ROUND(Dot_ex($D445,$E445,$F445,$G445,$H445,$I445,$L445+SUM($N445:S445),J$115,J$117,J$117),2)</f>
        <v>0</v>
      </c>
      <c r="U445" s="205">
        <f>ROUND(Dot_ex($D445,$E445,$F445,$G445,$H445,$I445,$L445+SUM($N445:T445),K$115,K$117,K$117),2)</f>
        <v>0</v>
      </c>
      <c r="V445" s="205">
        <f>ROUND(Dot_ex($D445,$E445,$F445,$G445,$H445,$I445,$L445+SUM($N445:U445),L$115,L$117,L$117),2)</f>
        <v>0</v>
      </c>
      <c r="W445" s="205">
        <f>ROUND(Dot_ex($D445,$E445,$F445,$G445,$H445,$I445,$L445+SUM($N445:V445),M$115,M$117,M$117),2)</f>
        <v>0</v>
      </c>
    </row>
    <row r="446" spans="1:23" x14ac:dyDescent="0.2">
      <c r="E446" s="1"/>
      <c r="G446" s="8"/>
      <c r="J446" s="8"/>
      <c r="K446" s="8"/>
      <c r="L446" s="8"/>
      <c r="M446" s="4"/>
      <c r="N446" s="8">
        <f t="shared" si="108"/>
        <v>0</v>
      </c>
      <c r="O446" s="8">
        <f>ROUND(Dot_ex($D446,$E446,$F446,$G446,$H446,$I446,$L446+SUM($N446:N446),E$115,E$117,E$117),2)</f>
        <v>0</v>
      </c>
      <c r="P446" s="8">
        <f>ROUND(Dot_ex($D446,$E446,$F446,$G446,$H446,$I446,$L446+SUM($N446:O446),F$115,F$117,F$117),2)</f>
        <v>0</v>
      </c>
      <c r="Q446" s="8">
        <f>ROUND(Dot_ex($D446,$E446,$F446,$G446,$H446,$I446,$L446+SUM($N446:P446),G$115,G$117,G$117),2)</f>
        <v>0</v>
      </c>
      <c r="R446" s="8">
        <f>ROUND(Dot_ex($D446,$E446,$F446,$G446,$H446,$I446,$L446+SUM($N446:Q446),H$115,H$117,H$117),2)</f>
        <v>0</v>
      </c>
      <c r="S446" s="8">
        <f>ROUND(Dot_ex($D446,$E446,$F446,$G446,$H446,$I446,$L446+SUM($N446:R446),I$115,I$117,I$117),2)</f>
        <v>0</v>
      </c>
      <c r="T446" s="8">
        <f>ROUND(Dot_ex($D446,$E446,$F446,$G446,$H446,$I446,$L446+SUM($N446:S446),J$115,J$117,J$117),2)</f>
        <v>0</v>
      </c>
      <c r="U446" s="8">
        <f>ROUND(Dot_ex($D446,$E446,$F446,$G446,$H446,$I446,$L446+SUM($N446:T446),K$115,K$117,K$117),2)</f>
        <v>0</v>
      </c>
      <c r="V446" s="8">
        <f>ROUND(Dot_ex($D446,$E446,$F446,$G446,$H446,$I446,$L446+SUM($N446:U446),L$115,L$117,L$117),2)</f>
        <v>0</v>
      </c>
      <c r="W446" s="8">
        <f>ROUND(Dot_ex($D446,$E446,$F446,$G446,$H446,$I446,$L446+SUM($N446:V446),M$115,M$117,M$117),2)</f>
        <v>0</v>
      </c>
    </row>
    <row r="447" spans="1:23" hidden="1" x14ac:dyDescent="0.2">
      <c r="E447" s="1" t="s">
        <v>49</v>
      </c>
      <c r="G447" s="8"/>
      <c r="J447" s="8"/>
      <c r="K447" s="8">
        <f>SUMIF($H439:$H439,"L",$K439:$K439)</f>
        <v>0</v>
      </c>
      <c r="L447" s="8"/>
      <c r="M447" s="8"/>
    </row>
    <row r="448" spans="1:23" hidden="1" x14ac:dyDescent="0.2">
      <c r="E448" s="1" t="s">
        <v>50</v>
      </c>
      <c r="G448" s="8"/>
      <c r="J448" s="8"/>
      <c r="K448" s="8">
        <f>SUMIF($H439:$H439,"D",$K439:$K439)</f>
        <v>0</v>
      </c>
      <c r="L448" s="8"/>
      <c r="M448" s="8"/>
    </row>
    <row r="449" spans="5:13" hidden="1" x14ac:dyDescent="0.2">
      <c r="E449" s="1" t="s">
        <v>51</v>
      </c>
      <c r="G449" s="8"/>
      <c r="J449" s="8"/>
      <c r="K449" s="4">
        <f>K447+K448</f>
        <v>0</v>
      </c>
      <c r="L449" s="8"/>
      <c r="M449" s="8"/>
    </row>
  </sheetData>
  <phoneticPr fontId="16" type="noConversion"/>
  <conditionalFormatting sqref="A1:M1 A209:M209 A220:M223 A192:M198 A181:M181 A351:M352 A362:M369 A410:M425 D436:M438 A436:C436 A437:A438 A157:M170 A234:M310 A321:M340 A380:M400">
    <cfRule type="expression" dxfId="16" priority="4" stopIfTrue="1">
      <formula>IF(AND($D1&gt;=$G$6,$D1&lt;=$I$6),TRUE,FALSE)</formula>
    </cfRule>
  </conditionalFormatting>
  <conditionalFormatting sqref="I8">
    <cfRule type="cellIs" dxfId="15" priority="5" stopIfTrue="1" operator="lessThan">
      <formula>$G$6</formula>
    </cfRule>
  </conditionalFormatting>
  <conditionalFormatting sqref="A26">
    <cfRule type="expression" dxfId="14" priority="6" stopIfTrue="1">
      <formula>IF($I$8&lt;&gt;$I$6,TRUE,FALSE)</formula>
    </cfRule>
  </conditionalFormatting>
  <dataValidations xWindow="660" yWindow="379" count="4">
    <dataValidation type="date" operator="greaterThanOrEqual" allowBlank="1" showInputMessage="1" showErrorMessage="1" errorTitle="Attention !!!!!" error="Vous deve saisir une date correcte !!!!!_x000a_Celle-ci doit être égale ou postérieure à_x000a_la date d'entrée du bien....." sqref="E311 E436:F439 F410:F425 E341 E410:E416 E351 F351:F352 E234:E264 E321:E337 F321:F341 F234:F311 F380:F400">
      <formula1>D234</formula1>
    </dataValidation>
    <dataValidation type="date" allowBlank="1" showInputMessage="1" showErrorMessage="1" errorTitle="Erreur dans la saisie de la date" error="La date de calcul des amortissements doit être comprise entre le début et la fin de l'exercice !" promptTitle="Attention......." prompt="La date de calcul des amortissements doit être comprise entre_x000a_le début et la fin de l'exercice !!!!!!!!" sqref="I8">
      <formula1>G6</formula1>
      <formula2>I6</formula2>
    </dataValidation>
    <dataValidation type="list" allowBlank="1" showDropDown="1" showInputMessage="1" showErrorMessage="1" errorTitle="Attention !!!!!!" error="Votre choix est limité à :_x000a__x000a_L pour un amt de type Linéaire_x000a_ou_x000a_D pour un amt de type Dégréssif_x000a_ou_x000a_N pour non amortissable" sqref="H436:H439 H410:H425 H351:H352 H321:H341 H234:H311 H380:H400">
      <formula1>$G$11:$G$13</formula1>
    </dataValidation>
    <dataValidation type="date" operator="greaterThanOrEqual" allowBlank="1" showInputMessage="1" showErrorMessage="1" errorTitle="Attention !!!!!" error="Vous deve saisir une date correcte !!!!!" sqref="D436:D438 D410:D425 E417:E425 E338:E340 D351:D352 E352 D335:D340 D321 D192:E198 D362:E369 D220:E223 D181:E181 D209:E209 D157:E170 D380:E400">
      <formula1>1</formula1>
    </dataValidation>
  </dataValidations>
  <printOptions horizontalCentered="1" verticalCentered="1"/>
  <pageMargins left="0" right="0" top="0.39370078740157483" bottom="0.39370078740157483" header="0" footer="0.11811023622047245"/>
  <pageSetup paperSize="9" orientation="landscape" horizontalDpi="4294967292" verticalDpi="300" r:id="rId1"/>
  <headerFooter alignWithMargins="0">
    <oddFooter>&amp;L&amp;"Small Fonts,Normal"&amp;4&amp;F &amp;D &amp;T&amp;R&amp;"Arial,Normal"&amp;8Page &amp;P/&amp;N</oddFooter>
  </headerFooter>
  <rowBreaks count="4" manualBreakCount="4">
    <brk id="30" max="11" man="1"/>
    <brk id="66" max="16383" man="1"/>
    <brk id="106" max="16383" man="1"/>
    <brk id="147" max="11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121"/>
  <dimension ref="A1:R60"/>
  <sheetViews>
    <sheetView showGridLines="0" showZeros="0" topLeftCell="A10" workbookViewId="0">
      <selection activeCell="A59" sqref="A59"/>
    </sheetView>
  </sheetViews>
  <sheetFormatPr baseColWidth="10" defaultRowHeight="11.25" x14ac:dyDescent="0.2"/>
  <cols>
    <col min="1" max="1" width="6.83203125" style="9" customWidth="1"/>
    <col min="2" max="2" width="19.83203125" style="9" customWidth="1"/>
    <col min="3" max="5" width="11.1640625" style="9" customWidth="1"/>
    <col min="6" max="6" width="10.1640625" style="9" customWidth="1"/>
    <col min="7" max="10" width="4.83203125" style="9" customWidth="1"/>
    <col min="11" max="16" width="8.33203125" style="9" customWidth="1"/>
    <col min="17" max="18" width="9.83203125" style="9" customWidth="1"/>
    <col min="19" max="16384" width="12" style="9"/>
  </cols>
  <sheetData>
    <row r="1" spans="1:18" x14ac:dyDescent="0.2">
      <c r="C1" s="124"/>
      <c r="D1" s="32"/>
      <c r="E1" s="32"/>
      <c r="F1" s="32"/>
      <c r="G1" s="32"/>
      <c r="H1" s="32"/>
      <c r="I1" s="32"/>
      <c r="J1" s="32"/>
      <c r="K1" s="32"/>
      <c r="L1" s="32"/>
      <c r="M1" s="125"/>
    </row>
    <row r="2" spans="1:18" x14ac:dyDescent="0.2">
      <c r="C2" s="126" t="s">
        <v>36</v>
      </c>
      <c r="D2" s="10"/>
      <c r="E2" s="10"/>
      <c r="F2" s="10"/>
      <c r="G2" s="10"/>
      <c r="H2" s="10"/>
      <c r="I2" s="10"/>
      <c r="J2" s="10"/>
      <c r="K2" s="10"/>
      <c r="L2" s="10"/>
      <c r="M2" s="11"/>
    </row>
    <row r="3" spans="1:18" x14ac:dyDescent="0.2">
      <c r="C3" s="12"/>
      <c r="D3" s="13"/>
      <c r="E3" s="13"/>
      <c r="F3" s="13"/>
      <c r="G3" s="13"/>
      <c r="H3" s="13"/>
      <c r="I3" s="13"/>
      <c r="J3" s="13"/>
      <c r="K3" s="13"/>
      <c r="L3" s="13"/>
      <c r="M3" s="14"/>
    </row>
    <row r="4" spans="1:18" ht="12.75" customHeight="1" x14ac:dyDescent="0.2">
      <c r="C4" s="15"/>
      <c r="D4" s="13"/>
      <c r="E4" s="13" t="s">
        <v>9</v>
      </c>
      <c r="F4" s="10" t="str">
        <f>NomSociété</f>
        <v>Société Test</v>
      </c>
      <c r="G4" s="10"/>
      <c r="H4" s="10"/>
      <c r="I4" s="10"/>
      <c r="J4" s="10"/>
      <c r="K4" s="10"/>
      <c r="L4" s="10"/>
      <c r="M4" s="14"/>
    </row>
    <row r="5" spans="1:18" x14ac:dyDescent="0.2">
      <c r="C5" s="15"/>
      <c r="D5" s="13"/>
      <c r="E5" s="13"/>
      <c r="F5" s="13"/>
      <c r="G5" s="13"/>
      <c r="H5" s="13"/>
      <c r="I5" s="13"/>
      <c r="J5" s="13"/>
      <c r="K5" s="13"/>
      <c r="L5" s="13"/>
      <c r="M5" s="14"/>
    </row>
    <row r="6" spans="1:18" x14ac:dyDescent="0.2">
      <c r="C6" s="15"/>
      <c r="D6" s="13"/>
      <c r="E6" s="16" t="s">
        <v>10</v>
      </c>
      <c r="F6" s="54">
        <v>41091</v>
      </c>
      <c r="G6" s="18" t="s">
        <v>11</v>
      </c>
      <c r="H6" s="127">
        <v>41455</v>
      </c>
      <c r="I6" s="238"/>
      <c r="J6" s="128"/>
      <c r="M6" s="14"/>
    </row>
    <row r="7" spans="1:18" x14ac:dyDescent="0.2">
      <c r="C7" s="19" t="str">
        <f>IF(F6&gt;H6,"Attention Date impossible !!!!",IF(F6&gt;I8,"Attention Date impossible !!!!",""))</f>
        <v/>
      </c>
      <c r="D7" s="10"/>
      <c r="E7" s="10"/>
      <c r="F7" s="10"/>
      <c r="G7" s="10"/>
      <c r="H7" s="10"/>
      <c r="I7" s="10"/>
      <c r="J7" s="10"/>
      <c r="K7" s="10"/>
      <c r="L7" s="10"/>
      <c r="M7" s="11"/>
    </row>
    <row r="8" spans="1:18" x14ac:dyDescent="0.2">
      <c r="C8" s="15"/>
      <c r="D8" s="10"/>
      <c r="E8" s="10" t="s">
        <v>45</v>
      </c>
      <c r="F8" s="30"/>
      <c r="G8" s="30"/>
      <c r="H8" s="30"/>
      <c r="I8" s="127">
        <v>41455</v>
      </c>
      <c r="J8" s="30"/>
      <c r="K8" s="30"/>
      <c r="M8" s="14"/>
    </row>
    <row r="9" spans="1:18" x14ac:dyDescent="0.2">
      <c r="C9" s="15"/>
      <c r="D9" s="13"/>
      <c r="E9" s="13"/>
      <c r="F9" s="13"/>
      <c r="G9" s="13"/>
      <c r="H9" s="13"/>
      <c r="I9" s="13"/>
      <c r="J9" s="13"/>
      <c r="K9" s="13"/>
      <c r="L9" s="13"/>
      <c r="M9" s="14"/>
    </row>
    <row r="10" spans="1:18" x14ac:dyDescent="0.2">
      <c r="C10" s="15"/>
      <c r="D10" s="13"/>
      <c r="E10" s="13"/>
      <c r="F10" s="13"/>
      <c r="G10" s="13"/>
      <c r="H10" s="13"/>
      <c r="I10" s="13"/>
      <c r="J10" s="13"/>
      <c r="K10" s="13"/>
      <c r="L10" s="13"/>
      <c r="M10" s="14"/>
    </row>
    <row r="11" spans="1:18" x14ac:dyDescent="0.2">
      <c r="C11" s="15"/>
      <c r="D11" s="13"/>
      <c r="E11" s="16" t="s">
        <v>13</v>
      </c>
      <c r="F11" s="18" t="s">
        <v>8</v>
      </c>
      <c r="G11" s="13" t="s">
        <v>21</v>
      </c>
      <c r="H11" s="13"/>
      <c r="I11" s="13"/>
      <c r="J11" s="13"/>
      <c r="K11" s="13"/>
      <c r="L11" s="13"/>
      <c r="M11" s="14"/>
    </row>
    <row r="12" spans="1:18" x14ac:dyDescent="0.2">
      <c r="C12" s="15"/>
      <c r="D12" s="13"/>
      <c r="E12" s="13"/>
      <c r="F12" s="18" t="s">
        <v>12</v>
      </c>
      <c r="G12" s="13" t="s">
        <v>22</v>
      </c>
      <c r="H12" s="13"/>
      <c r="I12" s="13"/>
      <c r="J12" s="13"/>
      <c r="K12" s="13"/>
      <c r="L12" s="13"/>
      <c r="M12" s="14"/>
    </row>
    <row r="13" spans="1:18" x14ac:dyDescent="0.2">
      <c r="C13" s="15"/>
      <c r="D13" s="13"/>
      <c r="E13" s="13"/>
      <c r="F13" s="18" t="s">
        <v>16</v>
      </c>
      <c r="G13" s="13" t="s">
        <v>17</v>
      </c>
      <c r="H13" s="13"/>
      <c r="I13" s="13"/>
      <c r="J13" s="13"/>
      <c r="K13" s="13"/>
      <c r="L13" s="13"/>
      <c r="M13" s="14"/>
    </row>
    <row r="14" spans="1:18" x14ac:dyDescent="0.2">
      <c r="C14" s="20"/>
      <c r="D14" s="21"/>
      <c r="E14" s="21"/>
      <c r="F14" s="21"/>
      <c r="G14" s="21"/>
      <c r="H14" s="21"/>
      <c r="I14" s="21"/>
      <c r="J14" s="21"/>
      <c r="K14" s="21"/>
      <c r="L14" s="21"/>
      <c r="M14" s="22"/>
    </row>
    <row r="16" spans="1:18" x14ac:dyDescent="0.2">
      <c r="A16" s="23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5"/>
    </row>
    <row r="17" spans="1:18" x14ac:dyDescent="0.2">
      <c r="A17" s="12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4"/>
    </row>
    <row r="18" spans="1:18" x14ac:dyDescent="0.2">
      <c r="A18" s="12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4"/>
    </row>
    <row r="19" spans="1:18" x14ac:dyDescent="0.2">
      <c r="A19" s="12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4"/>
    </row>
    <row r="20" spans="1:18" ht="22.5" x14ac:dyDescent="0.45">
      <c r="A20" s="194" t="str">
        <f>F4</f>
        <v>Société Test</v>
      </c>
      <c r="B20" s="26"/>
      <c r="C20" s="26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1"/>
    </row>
    <row r="21" spans="1:18" x14ac:dyDescent="0.2">
      <c r="A21" s="2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1"/>
    </row>
    <row r="22" spans="1:18" x14ac:dyDescent="0.2">
      <c r="A22" s="2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1"/>
    </row>
    <row r="23" spans="1:18" x14ac:dyDescent="0.2">
      <c r="A23" s="27" t="str">
        <f>"Liste des immobilisations et des amortissements au " &amp; TEXT($H$6,"j mmmm aaaa")</f>
        <v>Liste des immobilisations et des amortissements au 30 juin 2013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1"/>
    </row>
    <row r="24" spans="1:18" x14ac:dyDescent="0.2">
      <c r="A24" s="27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1"/>
    </row>
    <row r="25" spans="1:18" x14ac:dyDescent="0.2">
      <c r="A25" s="27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1"/>
    </row>
    <row r="26" spans="1:18" x14ac:dyDescent="0.2">
      <c r="A26" s="27" t="str">
        <f>"Calcul des amortissements dérogatoires au " &amp; TEXT($I$8,"j mmmm aaaa")</f>
        <v>Calcul des amortissements dérogatoires au 30 juin 2013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1"/>
    </row>
    <row r="27" spans="1:18" x14ac:dyDescent="0.2">
      <c r="A27" s="12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4"/>
    </row>
    <row r="28" spans="1:18" x14ac:dyDescent="0.2">
      <c r="A28" s="12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4"/>
    </row>
    <row r="29" spans="1:18" x14ac:dyDescent="0.2">
      <c r="A29" s="12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4"/>
    </row>
    <row r="30" spans="1:18" x14ac:dyDescent="0.2">
      <c r="A30" s="28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2"/>
    </row>
    <row r="31" spans="1:18" ht="12" customHeight="1" thickBot="1" x14ac:dyDescent="0.25">
      <c r="A31" s="46"/>
      <c r="B31" s="10"/>
      <c r="C31" s="46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</row>
    <row r="32" spans="1:18" x14ac:dyDescent="0.2">
      <c r="A32" s="129"/>
      <c r="B32" s="79"/>
      <c r="C32" s="79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1"/>
    </row>
    <row r="33" spans="1:18" ht="12.75" customHeight="1" x14ac:dyDescent="0.2">
      <c r="A33" s="148" t="str">
        <f>F4 &amp; "   -   Immobilisations et Amortissements de l'exercice " &amp; TEXT(F6,"aaaa") &amp; "/" &amp; TEXT(H6,"aaaa")</f>
        <v>Société Test   -   Immobilisations et Amortissements de l'exercice 2012/2013</v>
      </c>
      <c r="B33" s="130"/>
      <c r="C33" s="130"/>
      <c r="D33" s="131"/>
      <c r="E33" s="131"/>
      <c r="F33" s="131"/>
      <c r="G33" s="131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84"/>
    </row>
    <row r="34" spans="1:18" ht="12" thickBot="1" x14ac:dyDescent="0.25">
      <c r="A34" s="132"/>
      <c r="B34" s="133"/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3"/>
      <c r="Q34" s="133"/>
      <c r="R34" s="134"/>
    </row>
    <row r="35" spans="1:18" x14ac:dyDescent="0.2">
      <c r="A35" s="112"/>
      <c r="B35" s="113"/>
      <c r="C35" s="114"/>
      <c r="D35" s="113"/>
      <c r="E35" s="113"/>
      <c r="F35" s="114"/>
      <c r="G35" s="114"/>
      <c r="H35" s="113"/>
      <c r="I35" s="114"/>
      <c r="J35" s="113"/>
      <c r="K35" s="115"/>
      <c r="L35" s="116"/>
      <c r="M35" s="115"/>
      <c r="N35" s="116"/>
      <c r="O35" s="115"/>
      <c r="P35" s="117"/>
      <c r="Q35" s="113"/>
      <c r="R35" s="118"/>
    </row>
    <row r="36" spans="1:18" x14ac:dyDescent="0.2">
      <c r="A36" s="119" t="s">
        <v>72</v>
      </c>
      <c r="B36" s="69" t="s">
        <v>0</v>
      </c>
      <c r="C36" s="43" t="s">
        <v>18</v>
      </c>
      <c r="D36" s="46"/>
      <c r="E36" s="46"/>
      <c r="F36" s="87" t="s">
        <v>3</v>
      </c>
      <c r="G36" s="43" t="s">
        <v>163</v>
      </c>
      <c r="H36" s="43"/>
      <c r="I36" s="43" t="s">
        <v>162</v>
      </c>
      <c r="J36" s="43"/>
      <c r="K36" s="120" t="str">
        <f>"Amts au " &amp; TEXT($F$6,"j/m/aa")</f>
        <v>Amts au 1/7/12</v>
      </c>
      <c r="L36" s="43"/>
      <c r="M36" s="43" t="s">
        <v>136</v>
      </c>
      <c r="N36" s="46"/>
      <c r="O36" s="43" t="s">
        <v>5</v>
      </c>
      <c r="P36" s="121" t="s">
        <v>133</v>
      </c>
      <c r="Q36" s="69" t="s">
        <v>161</v>
      </c>
      <c r="R36" s="88" t="s">
        <v>137</v>
      </c>
    </row>
    <row r="37" spans="1:18" x14ac:dyDescent="0.2">
      <c r="A37" s="119" t="s">
        <v>73</v>
      </c>
      <c r="B37" s="69" t="s">
        <v>20</v>
      </c>
      <c r="C37" s="87" t="s">
        <v>1</v>
      </c>
      <c r="D37" s="69" t="s">
        <v>37</v>
      </c>
      <c r="E37" s="69" t="s">
        <v>2</v>
      </c>
      <c r="F37" s="87" t="s">
        <v>4</v>
      </c>
      <c r="G37" s="87" t="s">
        <v>134</v>
      </c>
      <c r="H37" s="87" t="s">
        <v>135</v>
      </c>
      <c r="I37" s="87" t="s">
        <v>134</v>
      </c>
      <c r="J37" s="87" t="s">
        <v>135</v>
      </c>
      <c r="K37" s="87" t="s">
        <v>134</v>
      </c>
      <c r="L37" s="87" t="s">
        <v>135</v>
      </c>
      <c r="M37" s="87" t="s">
        <v>134</v>
      </c>
      <c r="N37" s="87" t="s">
        <v>135</v>
      </c>
      <c r="O37" s="43" t="s">
        <v>132</v>
      </c>
      <c r="P37" s="121"/>
      <c r="Q37" s="69" t="str">
        <f>"au " &amp; TEXT(I8,"j/m/aa")</f>
        <v>au 30/6/13</v>
      </c>
      <c r="R37" s="122" t="str">
        <f>"au " &amp; TEXT(I8,"j/m/aa")</f>
        <v>au 30/6/13</v>
      </c>
    </row>
    <row r="38" spans="1:18" ht="12" thickBot="1" x14ac:dyDescent="0.25">
      <c r="A38" s="123"/>
      <c r="B38" s="90"/>
      <c r="C38" s="91"/>
      <c r="D38" s="90"/>
      <c r="E38" s="90"/>
      <c r="F38" s="91"/>
      <c r="G38" s="91"/>
      <c r="H38" s="91"/>
      <c r="I38" s="91"/>
      <c r="J38" s="91"/>
      <c r="K38" s="91"/>
      <c r="L38" s="91"/>
      <c r="M38" s="92"/>
      <c r="N38" s="91"/>
      <c r="O38" s="91"/>
      <c r="P38" s="93"/>
      <c r="Q38" s="90"/>
      <c r="R38" s="93"/>
    </row>
    <row r="40" spans="1:18" x14ac:dyDescent="0.2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7"/>
    </row>
    <row r="41" spans="1:18" x14ac:dyDescent="0.2">
      <c r="A41" s="138" t="s">
        <v>77</v>
      </c>
      <c r="B41" s="139"/>
      <c r="C41" s="139"/>
      <c r="D41" s="140"/>
      <c r="E41" s="141"/>
      <c r="F41" s="141"/>
      <c r="G41" s="141"/>
      <c r="H41" s="141"/>
      <c r="I41" s="141"/>
      <c r="J41" s="141"/>
      <c r="K41" s="141"/>
      <c r="L41" s="141"/>
      <c r="M41" s="141"/>
      <c r="N41" s="141"/>
      <c r="O41" s="141"/>
      <c r="P41" s="141"/>
      <c r="Q41" s="141"/>
      <c r="R41" s="142"/>
    </row>
    <row r="42" spans="1:18" x14ac:dyDescent="0.2">
      <c r="A42" s="143"/>
      <c r="B42" s="144"/>
      <c r="C42" s="144"/>
      <c r="D42" s="144"/>
      <c r="E42" s="144"/>
      <c r="F42" s="144"/>
      <c r="G42" s="144"/>
      <c r="H42" s="144"/>
      <c r="I42" s="144"/>
      <c r="J42" s="144"/>
      <c r="K42" s="144"/>
      <c r="L42" s="144"/>
      <c r="M42" s="145"/>
      <c r="N42" s="144"/>
      <c r="O42" s="144"/>
      <c r="P42" s="144"/>
      <c r="Q42" s="144"/>
      <c r="R42" s="146"/>
    </row>
    <row r="43" spans="1:18" x14ac:dyDescent="0.2">
      <c r="A43" s="147" t="s">
        <v>213</v>
      </c>
      <c r="B43" s="1" t="s">
        <v>156</v>
      </c>
      <c r="C43" s="77">
        <v>36372</v>
      </c>
      <c r="D43" s="77">
        <v>36372</v>
      </c>
      <c r="E43" s="77"/>
      <c r="F43" s="8">
        <v>2744.08</v>
      </c>
      <c r="G43" s="1" t="s">
        <v>8</v>
      </c>
      <c r="H43" s="1" t="s">
        <v>131</v>
      </c>
      <c r="I43" s="1">
        <v>3</v>
      </c>
      <c r="J43" s="1">
        <v>1</v>
      </c>
      <c r="K43" s="8">
        <v>2669.1</v>
      </c>
      <c r="L43" s="8">
        <v>2744.08</v>
      </c>
      <c r="M43" s="8">
        <f>ROUND(Dot_ex(C43,D43,E43,F43,G43,I43,K43,$F$6,$H$6,$I$8),2)</f>
        <v>74.98</v>
      </c>
      <c r="N43" s="8">
        <f>ROUND(Dot_ex(C43,D43,E43,F43,H43,J43,L43,$F$6,$H$6,$I$8),2)</f>
        <v>0</v>
      </c>
      <c r="O43" s="8">
        <f>IF(M43&lt;N43,N43-M43,0)</f>
        <v>0</v>
      </c>
      <c r="P43" s="8">
        <f>IF(M43&gt;N43,M43-N43,0)</f>
        <v>74.98</v>
      </c>
      <c r="Q43" s="8">
        <f>L43+N43</f>
        <v>2744.08</v>
      </c>
      <c r="R43" s="8">
        <f>ROUND(L43-K43+O43-P43,2)</f>
        <v>0</v>
      </c>
    </row>
    <row r="44" spans="1:18" x14ac:dyDescent="0.2">
      <c r="A44" s="147" t="s">
        <v>214</v>
      </c>
      <c r="B44" s="1" t="s">
        <v>158</v>
      </c>
      <c r="C44" s="77">
        <v>36372</v>
      </c>
      <c r="D44" s="77">
        <v>36372</v>
      </c>
      <c r="E44" s="77"/>
      <c r="F44" s="8">
        <v>1676.94</v>
      </c>
      <c r="G44" s="1" t="s">
        <v>8</v>
      </c>
      <c r="H44" s="1" t="s">
        <v>131</v>
      </c>
      <c r="I44" s="1">
        <v>3</v>
      </c>
      <c r="J44" s="1">
        <v>1</v>
      </c>
      <c r="K44" s="8">
        <v>1631.12</v>
      </c>
      <c r="L44" s="8">
        <v>1676.94</v>
      </c>
      <c r="M44" s="8">
        <f>ROUND(Dot_ex(C44,D44,E44,F44,G44,I44,K44,$F$6,$H$6,$I$8),2)</f>
        <v>45.82</v>
      </c>
      <c r="N44" s="8">
        <f>ROUND(Dot_ex(C44,D44,E44,F44,H44,J44,L44,$F$6,$H$6,$I$8),2)</f>
        <v>0</v>
      </c>
      <c r="O44" s="8">
        <f>IF(M44&lt;N44,N44-M44,0)</f>
        <v>0</v>
      </c>
      <c r="P44" s="8">
        <f>IF(M44&gt;N44,M44-N44,0)</f>
        <v>45.82</v>
      </c>
      <c r="Q44" s="8">
        <f>L44+N44</f>
        <v>1676.94</v>
      </c>
      <c r="R44" s="8">
        <f>ROUND(L44-K44+O44-P44,2)</f>
        <v>0</v>
      </c>
    </row>
    <row r="45" spans="1:18" x14ac:dyDescent="0.2">
      <c r="A45" s="147" t="s">
        <v>215</v>
      </c>
      <c r="B45" s="1" t="s">
        <v>157</v>
      </c>
      <c r="C45" s="77">
        <v>36372</v>
      </c>
      <c r="D45" s="77">
        <v>36372</v>
      </c>
      <c r="E45" s="77"/>
      <c r="F45" s="8">
        <v>1448.27</v>
      </c>
      <c r="G45" s="1" t="s">
        <v>8</v>
      </c>
      <c r="H45" s="1" t="s">
        <v>131</v>
      </c>
      <c r="I45" s="1">
        <v>3</v>
      </c>
      <c r="J45" s="1">
        <v>1</v>
      </c>
      <c r="K45" s="8">
        <v>1408.7</v>
      </c>
      <c r="L45" s="8">
        <v>1448.27</v>
      </c>
      <c r="M45" s="8">
        <f>ROUND(Dot_ex(C45,D45,E45,F45,G45,I45,K45,$F$6,$H$6,$I$8),2)</f>
        <v>39.57</v>
      </c>
      <c r="N45" s="8">
        <f>ROUND(Dot_ex(C45,D45,E45,F45,H45,J45,L45,$F$6,$H$6,$I$8),2)</f>
        <v>0</v>
      </c>
      <c r="O45" s="8">
        <f>IF(M45&lt;N45,N45-M45,0)</f>
        <v>0</v>
      </c>
      <c r="P45" s="8">
        <f>IF(M45&gt;N45,M45-N45,0)</f>
        <v>39.57</v>
      </c>
      <c r="Q45" s="8">
        <f>L45+N45</f>
        <v>1448.27</v>
      </c>
      <c r="R45" s="8">
        <f>ROUND(L45-K45+O45-P45,2)</f>
        <v>0</v>
      </c>
    </row>
    <row r="46" spans="1:18" x14ac:dyDescent="0.2">
      <c r="A46" s="147" t="s">
        <v>216</v>
      </c>
      <c r="B46" s="1" t="s">
        <v>160</v>
      </c>
      <c r="C46" s="77">
        <v>36372</v>
      </c>
      <c r="D46" s="77">
        <v>36372</v>
      </c>
      <c r="E46" s="77"/>
      <c r="F46" s="8">
        <v>533.57000000000005</v>
      </c>
      <c r="G46" s="1" t="s">
        <v>8</v>
      </c>
      <c r="H46" s="1" t="s">
        <v>131</v>
      </c>
      <c r="I46" s="1">
        <v>3</v>
      </c>
      <c r="J46" s="1">
        <v>1</v>
      </c>
      <c r="K46" s="8">
        <v>519</v>
      </c>
      <c r="L46" s="8">
        <v>533.57000000000005</v>
      </c>
      <c r="M46" s="8">
        <f>ROUND(Dot_ex(C46,D46,E46,F46,G46,I46,K46,$F$6,$H$6,$I$8),2)</f>
        <v>14.57</v>
      </c>
      <c r="N46" s="8">
        <f>ROUND(Dot_ex(C46,D46,E46,F46,H46,J46,L46,$F$6,$H$6,$I$8),2)</f>
        <v>0</v>
      </c>
      <c r="O46" s="8">
        <f>IF(M46&lt;N46,N46-M46,0)</f>
        <v>0</v>
      </c>
      <c r="P46" s="8">
        <f>IF(M46&gt;N46,M46-N46,0)</f>
        <v>14.57</v>
      </c>
      <c r="Q46" s="8">
        <f>L46+N46</f>
        <v>533.57000000000005</v>
      </c>
      <c r="R46" s="8">
        <f>ROUND(L46-K46+O46-P46,2)</f>
        <v>0</v>
      </c>
    </row>
    <row r="47" spans="1:18" x14ac:dyDescent="0.2">
      <c r="A47" s="147" t="s">
        <v>217</v>
      </c>
      <c r="B47" s="1" t="s">
        <v>159</v>
      </c>
      <c r="C47" s="77">
        <v>36372</v>
      </c>
      <c r="D47" s="77">
        <v>36372</v>
      </c>
      <c r="E47" s="77"/>
      <c r="F47" s="8">
        <v>750.05</v>
      </c>
      <c r="G47" s="1" t="s">
        <v>8</v>
      </c>
      <c r="H47" s="1" t="s">
        <v>131</v>
      </c>
      <c r="I47" s="1">
        <v>3</v>
      </c>
      <c r="J47" s="1">
        <v>1</v>
      </c>
      <c r="K47" s="8">
        <v>729.56</v>
      </c>
      <c r="L47" s="8">
        <v>750.05</v>
      </c>
      <c r="M47" s="8">
        <f>ROUND(Dot_ex(C47,D47,E47,F47,G47,I47,K47,$F$6,$H$6,$I$8),2)</f>
        <v>20.49</v>
      </c>
      <c r="N47" s="8">
        <f>ROUND(Dot_ex(C47,D47,E47,F47,H47,J47,L47,$F$6,$H$6,$I$8),2)</f>
        <v>0</v>
      </c>
      <c r="O47" s="8">
        <f>IF(M47&lt;N47,N47-M47,0)</f>
        <v>0</v>
      </c>
      <c r="P47" s="8">
        <f>IF(M47&gt;N47,M47-N47,0)</f>
        <v>20.49</v>
      </c>
      <c r="Q47" s="8">
        <f>L47+N47</f>
        <v>750.05</v>
      </c>
      <c r="R47" s="8">
        <f>ROUND(L47-K47+O47-P47,2)</f>
        <v>0</v>
      </c>
    </row>
    <row r="48" spans="1:18" x14ac:dyDescent="0.2">
      <c r="G48" s="1"/>
      <c r="H48" s="1"/>
      <c r="I48" s="1"/>
      <c r="J48" s="1"/>
      <c r="K48" s="8"/>
      <c r="L48" s="8"/>
      <c r="M48" s="8"/>
    </row>
    <row r="49" spans="4:18" x14ac:dyDescent="0.2">
      <c r="D49" s="94" t="s">
        <v>14</v>
      </c>
      <c r="E49" s="95"/>
      <c r="F49" s="96">
        <f>SUM(F43:F48)</f>
        <v>7152.9100000000008</v>
      </c>
      <c r="G49" s="94"/>
      <c r="H49" s="94"/>
      <c r="I49" s="97"/>
      <c r="J49" s="97"/>
      <c r="K49" s="96">
        <f t="shared" ref="K49:P49" si="0">SUM(K43:K48)</f>
        <v>6957.48</v>
      </c>
      <c r="L49" s="96">
        <f t="shared" si="0"/>
        <v>7152.9100000000008</v>
      </c>
      <c r="M49" s="96">
        <f t="shared" si="0"/>
        <v>195.43</v>
      </c>
      <c r="N49" s="96">
        <f t="shared" si="0"/>
        <v>0</v>
      </c>
      <c r="O49" s="96">
        <f t="shared" si="0"/>
        <v>0</v>
      </c>
      <c r="P49" s="96">
        <f t="shared" si="0"/>
        <v>195.43</v>
      </c>
      <c r="Q49" s="96"/>
      <c r="R49" s="96">
        <f>SUM(R43:R48)</f>
        <v>0</v>
      </c>
    </row>
    <row r="50" spans="4:18" x14ac:dyDescent="0.2">
      <c r="D50" s="94"/>
      <c r="E50" s="95"/>
      <c r="F50" s="96"/>
      <c r="G50" s="94"/>
      <c r="H50" s="94"/>
      <c r="I50" s="97"/>
      <c r="J50" s="97"/>
      <c r="K50" s="96"/>
      <c r="L50" s="96"/>
      <c r="M50" s="96"/>
      <c r="N50" s="96"/>
      <c r="O50" s="96"/>
      <c r="P50" s="96"/>
      <c r="Q50" s="96"/>
      <c r="R50" s="96"/>
    </row>
    <row r="53" spans="4:18" x14ac:dyDescent="0.2">
      <c r="E53" s="23"/>
      <c r="F53" s="24"/>
      <c r="G53" s="24"/>
      <c r="H53" s="24"/>
      <c r="I53" s="24"/>
      <c r="J53" s="24"/>
      <c r="K53" s="24"/>
      <c r="L53" s="25"/>
    </row>
    <row r="54" spans="4:18" x14ac:dyDescent="0.2">
      <c r="E54" s="12"/>
      <c r="F54" s="13"/>
      <c r="G54" s="10" t="s">
        <v>138</v>
      </c>
      <c r="H54" s="10"/>
      <c r="I54" s="10"/>
      <c r="J54" s="10"/>
      <c r="K54" s="10"/>
      <c r="L54" s="11"/>
    </row>
    <row r="55" spans="4:18" x14ac:dyDescent="0.2">
      <c r="E55" s="12"/>
      <c r="F55" s="13"/>
      <c r="G55" s="150">
        <f>F6</f>
        <v>41091</v>
      </c>
      <c r="H55" s="150"/>
      <c r="I55" s="151" t="s">
        <v>5</v>
      </c>
      <c r="J55" s="151"/>
      <c r="K55" s="152" t="s">
        <v>133</v>
      </c>
      <c r="L55" s="149">
        <f>H6</f>
        <v>41455</v>
      </c>
    </row>
    <row r="56" spans="4:18" x14ac:dyDescent="0.2">
      <c r="E56" s="12"/>
      <c r="F56" s="13"/>
      <c r="G56" s="10"/>
      <c r="H56" s="10"/>
      <c r="I56" s="10"/>
      <c r="J56" s="10"/>
      <c r="K56" s="13"/>
      <c r="L56" s="14"/>
    </row>
    <row r="57" spans="4:18" x14ac:dyDescent="0.2">
      <c r="E57" s="12" t="s">
        <v>46</v>
      </c>
      <c r="F57" s="13"/>
      <c r="G57" s="111">
        <f>L49-K49</f>
        <v>195.4300000000012</v>
      </c>
      <c r="H57" s="111"/>
      <c r="I57" s="111">
        <f>O49</f>
        <v>0</v>
      </c>
      <c r="J57" s="111"/>
      <c r="K57" s="41">
        <f>P49</f>
        <v>195.43</v>
      </c>
      <c r="L57" s="57">
        <f>G57+I57-K57</f>
        <v>1.1937117960769683E-12</v>
      </c>
    </row>
    <row r="58" spans="4:18" x14ac:dyDescent="0.2">
      <c r="E58" s="12"/>
      <c r="F58" s="13"/>
      <c r="G58" s="10"/>
      <c r="H58" s="10"/>
      <c r="I58" s="10"/>
      <c r="J58" s="10"/>
      <c r="K58" s="13"/>
      <c r="L58" s="14"/>
    </row>
    <row r="59" spans="4:18" x14ac:dyDescent="0.2">
      <c r="E59" s="12" t="s">
        <v>139</v>
      </c>
      <c r="F59" s="13"/>
      <c r="G59" s="111">
        <f>G57</f>
        <v>195.4300000000012</v>
      </c>
      <c r="H59" s="111"/>
      <c r="I59" s="111">
        <f>I57</f>
        <v>0</v>
      </c>
      <c r="J59" s="111"/>
      <c r="K59" s="41">
        <f>K57</f>
        <v>195.43</v>
      </c>
      <c r="L59" s="57">
        <f>L57</f>
        <v>1.1937117960769683E-12</v>
      </c>
    </row>
    <row r="60" spans="4:18" x14ac:dyDescent="0.2">
      <c r="E60" s="28"/>
      <c r="F60" s="21"/>
      <c r="G60" s="37"/>
      <c r="H60" s="37"/>
      <c r="I60" s="21"/>
      <c r="J60" s="21"/>
      <c r="K60" s="21"/>
      <c r="L60" s="22"/>
    </row>
  </sheetData>
  <phoneticPr fontId="16" type="noConversion"/>
  <conditionalFormatting sqref="I8">
    <cfRule type="cellIs" dxfId="13" priority="1" stopIfTrue="1" operator="lessThan">
      <formula>$F$6</formula>
    </cfRule>
  </conditionalFormatting>
  <dataValidations xWindow="522" yWindow="238" count="2">
    <dataValidation type="date" operator="greaterThanOrEqual" allowBlank="1" showInputMessage="1" showErrorMessage="1" errorTitle="Attention !!!!!" error="Vous deve saisir une date correcte !!!!!" sqref="C43:D47">
      <formula1>1</formula1>
    </dataValidation>
    <dataValidation type="date" allowBlank="1" showInputMessage="1" showErrorMessage="1" errorTitle="Erreur dans la saisie de la date" error="La date de calcul des amortissements doit être comprise entre le début et la fin de l'exercice !" promptTitle="Attention......." prompt="La date de calcul des amortissements doit être comprise entre_x000a_le début et la fin de l'exercice !!!!!!!!" sqref="I8">
      <formula1>F6</formula1>
      <formula2>H6</formula2>
    </dataValidation>
  </dataValidations>
  <printOptions horizontalCentered="1" verticalCentered="1"/>
  <pageMargins left="0" right="0" top="0.59055118110236227" bottom="0.59055118110236227" header="0" footer="0.11811023622047245"/>
  <pageSetup paperSize="9" fitToHeight="2" orientation="landscape" horizontalDpi="4294967292" verticalDpi="300" r:id="rId1"/>
  <headerFooter alignWithMargins="0">
    <oddFooter>&amp;L&amp;"Small Fonts,Normal"&amp;4&amp;F &amp;D &amp;T&amp;R&amp;9Page &amp;P/&amp;N</oddFooter>
  </headerFooter>
  <rowBreaks count="1" manualBreakCount="1">
    <brk id="30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86"/>
  <sheetViews>
    <sheetView showGridLines="0" showZeros="0" tabSelected="1" topLeftCell="A25" workbookViewId="0">
      <selection activeCell="D33" sqref="D33"/>
    </sheetView>
  </sheetViews>
  <sheetFormatPr baseColWidth="10" defaultRowHeight="12" x14ac:dyDescent="0.2"/>
  <cols>
    <col min="1" max="5" width="15.83203125" style="161" customWidth="1"/>
    <col min="6" max="16384" width="12" style="161"/>
  </cols>
  <sheetData>
    <row r="1" spans="1:5" ht="20.25" x14ac:dyDescent="0.3">
      <c r="A1" s="158" t="str">
        <f>NomSociété</f>
        <v>Société Test</v>
      </c>
      <c r="B1" s="160"/>
      <c r="C1" s="160"/>
      <c r="D1" s="160"/>
      <c r="E1" s="160"/>
    </row>
    <row r="5" spans="1:5" x14ac:dyDescent="0.2">
      <c r="A5" s="159" t="s">
        <v>74</v>
      </c>
      <c r="B5" s="160"/>
      <c r="C5" s="160"/>
      <c r="D5" s="160"/>
      <c r="E5" s="160"/>
    </row>
    <row r="10" spans="1:5" x14ac:dyDescent="0.2">
      <c r="A10" s="162"/>
      <c r="B10" s="163"/>
      <c r="C10" s="163"/>
      <c r="D10" s="163"/>
      <c r="E10" s="164"/>
    </row>
    <row r="11" spans="1:5" x14ac:dyDescent="0.2">
      <c r="A11" s="165" t="s">
        <v>52</v>
      </c>
      <c r="B11" s="166"/>
      <c r="C11" s="166"/>
      <c r="D11" s="166"/>
      <c r="E11" s="167"/>
    </row>
    <row r="12" spans="1:5" x14ac:dyDescent="0.2">
      <c r="A12" s="168"/>
      <c r="B12" s="169"/>
      <c r="C12" s="169"/>
      <c r="D12" s="169"/>
      <c r="E12" s="170"/>
    </row>
    <row r="13" spans="1:5" x14ac:dyDescent="0.2">
      <c r="A13" s="171" t="s">
        <v>53</v>
      </c>
      <c r="B13" s="166"/>
      <c r="C13" s="166"/>
      <c r="D13" s="166"/>
      <c r="E13" s="172">
        <v>103</v>
      </c>
    </row>
    <row r="14" spans="1:5" x14ac:dyDescent="0.2">
      <c r="A14" s="171"/>
      <c r="B14" s="166"/>
      <c r="C14" s="166"/>
      <c r="D14" s="166"/>
      <c r="E14" s="170"/>
    </row>
    <row r="15" spans="1:5" x14ac:dyDescent="0.2">
      <c r="A15" s="171" t="s">
        <v>54</v>
      </c>
      <c r="B15" s="173"/>
      <c r="C15" s="173"/>
      <c r="D15" s="166"/>
      <c r="E15" s="174">
        <v>7</v>
      </c>
    </row>
    <row r="16" spans="1:5" x14ac:dyDescent="0.2">
      <c r="A16" s="175"/>
      <c r="B16" s="176"/>
      <c r="C16" s="176"/>
      <c r="D16" s="176"/>
      <c r="E16" s="177"/>
    </row>
    <row r="17" spans="1:5" x14ac:dyDescent="0.2">
      <c r="A17" s="169"/>
      <c r="B17" s="169"/>
      <c r="C17" s="169"/>
      <c r="D17" s="169"/>
      <c r="E17" s="169"/>
    </row>
    <row r="18" spans="1:5" x14ac:dyDescent="0.2">
      <c r="A18" s="169"/>
      <c r="B18" s="169"/>
      <c r="C18" s="169"/>
      <c r="D18" s="169"/>
      <c r="E18" s="169"/>
    </row>
    <row r="19" spans="1:5" x14ac:dyDescent="0.2">
      <c r="A19" s="169"/>
      <c r="B19" s="169"/>
      <c r="C19" s="169"/>
      <c r="D19" s="169"/>
      <c r="E19" s="169"/>
    </row>
    <row r="20" spans="1:5" x14ac:dyDescent="0.2">
      <c r="A20" s="169"/>
      <c r="B20" s="169"/>
      <c r="C20" s="169"/>
      <c r="D20" s="169"/>
      <c r="E20" s="169"/>
    </row>
    <row r="22" spans="1:5" x14ac:dyDescent="0.2">
      <c r="A22" s="162"/>
      <c r="B22" s="163"/>
      <c r="C22" s="163"/>
      <c r="D22" s="163"/>
      <c r="E22" s="164"/>
    </row>
    <row r="23" spans="1:5" x14ac:dyDescent="0.2">
      <c r="A23" s="165" t="s">
        <v>56</v>
      </c>
      <c r="B23" s="173"/>
      <c r="C23" s="173"/>
      <c r="D23" s="166"/>
      <c r="E23" s="167"/>
    </row>
    <row r="24" spans="1:5" x14ac:dyDescent="0.2">
      <c r="A24" s="168"/>
      <c r="B24" s="169"/>
      <c r="C24" s="169"/>
      <c r="D24" s="169"/>
      <c r="E24" s="170"/>
    </row>
    <row r="25" spans="1:5" x14ac:dyDescent="0.2">
      <c r="A25" s="171" t="s">
        <v>57</v>
      </c>
      <c r="B25" s="166"/>
      <c r="C25" s="166"/>
      <c r="D25" s="166" t="str">
        <f ca="1">VLOOKUP($E$13, Zone_Immob, 2, FALSE)</f>
        <v>Libios - Lecteur de plaques</v>
      </c>
      <c r="E25" s="167"/>
    </row>
    <row r="26" spans="1:5" x14ac:dyDescent="0.2">
      <c r="A26" s="171" t="s">
        <v>55</v>
      </c>
      <c r="B26" s="166"/>
      <c r="C26" s="166"/>
      <c r="D26" s="178">
        <f ca="1">DATE(IF(MONTH(D28)&lt;E15,YEAR(D28)-1,YEAR(D28)),E15,1)</f>
        <v>41091</v>
      </c>
      <c r="E26" s="179"/>
    </row>
    <row r="27" spans="1:5" x14ac:dyDescent="0.2">
      <c r="A27" s="171" t="s">
        <v>58</v>
      </c>
      <c r="B27" s="166"/>
      <c r="C27" s="166"/>
      <c r="D27" s="178">
        <f ca="1">VLOOKUP($E$13, Zone_Immob,4, FALSE)</f>
        <v>41151</v>
      </c>
      <c r="E27" s="167"/>
    </row>
    <row r="28" spans="1:5" x14ac:dyDescent="0.2">
      <c r="A28" s="171" t="s">
        <v>59</v>
      </c>
      <c r="B28" s="166"/>
      <c r="C28" s="166"/>
      <c r="D28" s="178">
        <f ca="1">VLOOKUP($E$13, Zone_Immob, 5, FALSE)</f>
        <v>41151</v>
      </c>
      <c r="E28" s="167"/>
    </row>
    <row r="29" spans="1:5" x14ac:dyDescent="0.2">
      <c r="A29" s="171" t="s">
        <v>60</v>
      </c>
      <c r="B29" s="166"/>
      <c r="C29" s="166"/>
      <c r="D29" s="180">
        <f ca="1">VLOOKUP($E$13, Zone_Immob, 6, FALSE)</f>
        <v>0</v>
      </c>
      <c r="E29" s="167"/>
    </row>
    <row r="30" spans="1:5" x14ac:dyDescent="0.2">
      <c r="A30" s="171" t="s">
        <v>61</v>
      </c>
      <c r="B30" s="166"/>
      <c r="C30" s="166"/>
      <c r="D30" s="181">
        <f ca="1">VLOOKUP($E$13, Zone_Immob, 7, FALSE)</f>
        <v>2992.5</v>
      </c>
      <c r="E30" s="167"/>
    </row>
    <row r="31" spans="1:5" x14ac:dyDescent="0.2">
      <c r="A31" s="171" t="s">
        <v>62</v>
      </c>
      <c r="B31" s="166"/>
      <c r="C31" s="166"/>
      <c r="D31" s="166" t="str">
        <f ca="1">VLOOKUP($E$13, Zone_Immob, 8, FALSE)</f>
        <v>L</v>
      </c>
      <c r="E31" s="167"/>
    </row>
    <row r="32" spans="1:5" x14ac:dyDescent="0.2">
      <c r="A32" s="171" t="s">
        <v>63</v>
      </c>
      <c r="B32" s="166"/>
      <c r="C32" s="166"/>
      <c r="D32" s="166">
        <f ca="1">VLOOKUP($E$13, Zone_Immob, 9, FALSE)</f>
        <v>5</v>
      </c>
      <c r="E32" s="167"/>
    </row>
    <row r="33" spans="1:5" x14ac:dyDescent="0.2">
      <c r="A33" s="175"/>
      <c r="B33" s="182"/>
      <c r="C33" s="182"/>
      <c r="D33" s="176"/>
      <c r="E33" s="177"/>
    </row>
    <row r="35" spans="1:5" x14ac:dyDescent="0.2">
      <c r="A35" s="159" t="str">
        <f>A1 &amp; "   -   " &amp; A5</f>
        <v>Société Test   -   PLAN D'AMORTISSEMENT</v>
      </c>
      <c r="B35" s="160"/>
      <c r="C35" s="160"/>
      <c r="D35" s="160"/>
      <c r="E35" s="160"/>
    </row>
    <row r="37" spans="1:5" x14ac:dyDescent="0.2">
      <c r="A37" s="162"/>
      <c r="B37" s="164"/>
      <c r="C37" s="164"/>
      <c r="D37" s="163"/>
      <c r="E37" s="183"/>
    </row>
    <row r="38" spans="1:5" x14ac:dyDescent="0.2">
      <c r="A38" s="171" t="s">
        <v>64</v>
      </c>
      <c r="B38" s="167"/>
      <c r="C38" s="184" t="s">
        <v>5</v>
      </c>
      <c r="D38" s="185" t="s">
        <v>65</v>
      </c>
      <c r="E38" s="186" t="s">
        <v>66</v>
      </c>
    </row>
    <row r="39" spans="1:5" x14ac:dyDescent="0.2">
      <c r="A39" s="187" t="s">
        <v>67</v>
      </c>
      <c r="B39" s="184" t="s">
        <v>68</v>
      </c>
      <c r="C39" s="184" t="s">
        <v>69</v>
      </c>
      <c r="D39" s="185" t="s">
        <v>70</v>
      </c>
      <c r="E39" s="186" t="s">
        <v>71</v>
      </c>
    </row>
    <row r="40" spans="1:5" x14ac:dyDescent="0.2">
      <c r="A40" s="188"/>
      <c r="B40" s="189"/>
      <c r="C40" s="189"/>
      <c r="D40" s="182"/>
      <c r="E40" s="190"/>
    </row>
    <row r="41" spans="1:5" x14ac:dyDescent="0.2">
      <c r="A41" s="187"/>
      <c r="B41" s="191"/>
      <c r="C41" s="184"/>
      <c r="D41" s="185"/>
      <c r="E41" s="186"/>
    </row>
    <row r="42" spans="1:5" x14ac:dyDescent="0.2">
      <c r="A42" s="192">
        <f ca="1">IF(D31&lt;&gt;"N",D26,0)</f>
        <v>41091</v>
      </c>
      <c r="B42" s="192">
        <f ca="1">IF(D31&lt;&gt;"N",EOMONTH(A42,11),"")</f>
        <v>41455</v>
      </c>
      <c r="C42" s="193">
        <f ca="1">ROUND(Dot_ex($D$27,$D$28,$D$29,$D$30,$D$31,$D$32,D41,A42,B42,B42),2)</f>
        <v>500.12</v>
      </c>
      <c r="D42" s="193">
        <f ca="1">C42</f>
        <v>500.12</v>
      </c>
      <c r="E42" s="193">
        <f t="shared" ref="E42:E73" ca="1" si="0">IF(A42&gt;0,ROUND($D$30-D42,2),0)</f>
        <v>2492.38</v>
      </c>
    </row>
    <row r="43" spans="1:5" x14ac:dyDescent="0.2">
      <c r="A43" s="192">
        <f ca="1">IF(AND(E42&gt;0,$D$29=0),B42+1,IF(AND($D$29&gt;0,B42&gt;0,$D$29&gt;B42),B42+1,0))</f>
        <v>41456</v>
      </c>
      <c r="B43" s="192">
        <f t="shared" ref="B43:B86" ca="1" si="1">IF(A43&gt;0,EOMONTH(A43,11),0)</f>
        <v>41820</v>
      </c>
      <c r="C43" s="193">
        <f ca="1">ROUND(IF(A43&gt;0,Dot_ex($D$27,$D$28,$D$29,$D$30,$D$31,$D$32,D42,A43,B43,B43),0),2)</f>
        <v>598.5</v>
      </c>
      <c r="D43" s="193">
        <f t="shared" ref="D43:D74" ca="1" si="2">IF(A43&gt;0,D42+C43,0)</f>
        <v>1098.6199999999999</v>
      </c>
      <c r="E43" s="193">
        <f t="shared" ca="1" si="0"/>
        <v>1893.88</v>
      </c>
    </row>
    <row r="44" spans="1:5" x14ac:dyDescent="0.2">
      <c r="A44" s="192">
        <f ca="1">IF(AND(E43&gt;0,$D$29=0),B43+1,IF(AND($D$29&gt;0,B43&gt;0,$D$29&gt;B43),B43+1,0))</f>
        <v>41821</v>
      </c>
      <c r="B44" s="192">
        <f t="shared" ca="1" si="1"/>
        <v>42185</v>
      </c>
      <c r="C44" s="193">
        <f t="shared" ref="C44:C86" ca="1" si="3">ROUND(IF(A44&gt;0,Dot_ex($D$27,$D$28,$D$29,$D$30,$D$31,$D$32,D43,A44,B44,B44),0),2)</f>
        <v>598.5</v>
      </c>
      <c r="D44" s="193">
        <f t="shared" ca="1" si="2"/>
        <v>1697.12</v>
      </c>
      <c r="E44" s="193">
        <f t="shared" ca="1" si="0"/>
        <v>1295.3800000000001</v>
      </c>
    </row>
    <row r="45" spans="1:5" x14ac:dyDescent="0.2">
      <c r="A45" s="192">
        <f ca="1">IF(AND(E44&gt;0,$D$29=0),B44+1,IF(AND($D$29&gt;0,B44&gt;0,$D$29&gt;B44),B44+1,0))</f>
        <v>42186</v>
      </c>
      <c r="B45" s="192">
        <f t="shared" ca="1" si="1"/>
        <v>42551</v>
      </c>
      <c r="C45" s="193">
        <f t="shared" ca="1" si="3"/>
        <v>598.5</v>
      </c>
      <c r="D45" s="193">
        <f t="shared" ca="1" si="2"/>
        <v>2295.62</v>
      </c>
      <c r="E45" s="193">
        <f t="shared" ca="1" si="0"/>
        <v>696.88</v>
      </c>
    </row>
    <row r="46" spans="1:5" x14ac:dyDescent="0.2">
      <c r="A46" s="192">
        <f t="shared" ref="A46:A86" ca="1" si="4">IF(AND(E45&gt;0,$D$29=0),B45+1,IF(AND($D$29&gt;0,B45&gt;0,$D$29&gt;B45),B45+1,0))</f>
        <v>42552</v>
      </c>
      <c r="B46" s="192">
        <f t="shared" ca="1" si="1"/>
        <v>42916</v>
      </c>
      <c r="C46" s="193">
        <f t="shared" ca="1" si="3"/>
        <v>598.5</v>
      </c>
      <c r="D46" s="193">
        <f t="shared" ca="1" si="2"/>
        <v>2894.12</v>
      </c>
      <c r="E46" s="193">
        <f t="shared" ca="1" si="0"/>
        <v>98.38</v>
      </c>
    </row>
    <row r="47" spans="1:5" x14ac:dyDescent="0.2">
      <c r="A47" s="192">
        <f t="shared" ca="1" si="4"/>
        <v>42917</v>
      </c>
      <c r="B47" s="192">
        <f t="shared" ca="1" si="1"/>
        <v>43281</v>
      </c>
      <c r="C47" s="193">
        <f t="shared" ca="1" si="3"/>
        <v>98.38</v>
      </c>
      <c r="D47" s="193">
        <f t="shared" ca="1" si="2"/>
        <v>2992.5</v>
      </c>
      <c r="E47" s="193">
        <f t="shared" ca="1" si="0"/>
        <v>0</v>
      </c>
    </row>
    <row r="48" spans="1:5" x14ac:dyDescent="0.2">
      <c r="A48" s="192">
        <f t="shared" ca="1" si="4"/>
        <v>0</v>
      </c>
      <c r="B48" s="192">
        <f t="shared" ca="1" si="1"/>
        <v>0</v>
      </c>
      <c r="C48" s="193">
        <f t="shared" ca="1" si="3"/>
        <v>0</v>
      </c>
      <c r="D48" s="193">
        <f t="shared" ca="1" si="2"/>
        <v>0</v>
      </c>
      <c r="E48" s="193">
        <f t="shared" ca="1" si="0"/>
        <v>0</v>
      </c>
    </row>
    <row r="49" spans="1:5" x14ac:dyDescent="0.2">
      <c r="A49" s="192">
        <f t="shared" ca="1" si="4"/>
        <v>0</v>
      </c>
      <c r="B49" s="192">
        <f t="shared" ca="1" si="1"/>
        <v>0</v>
      </c>
      <c r="C49" s="193">
        <f t="shared" ca="1" si="3"/>
        <v>0</v>
      </c>
      <c r="D49" s="193">
        <f t="shared" ca="1" si="2"/>
        <v>0</v>
      </c>
      <c r="E49" s="193">
        <f t="shared" ca="1" si="0"/>
        <v>0</v>
      </c>
    </row>
    <row r="50" spans="1:5" x14ac:dyDescent="0.2">
      <c r="A50" s="192">
        <f t="shared" ca="1" si="4"/>
        <v>0</v>
      </c>
      <c r="B50" s="192">
        <f t="shared" ca="1" si="1"/>
        <v>0</v>
      </c>
      <c r="C50" s="193">
        <f t="shared" ca="1" si="3"/>
        <v>0</v>
      </c>
      <c r="D50" s="193">
        <f t="shared" ca="1" si="2"/>
        <v>0</v>
      </c>
      <c r="E50" s="193">
        <f t="shared" ca="1" si="0"/>
        <v>0</v>
      </c>
    </row>
    <row r="51" spans="1:5" x14ac:dyDescent="0.2">
      <c r="A51" s="192">
        <f t="shared" ca="1" si="4"/>
        <v>0</v>
      </c>
      <c r="B51" s="192">
        <f t="shared" ca="1" si="1"/>
        <v>0</v>
      </c>
      <c r="C51" s="193">
        <f t="shared" ca="1" si="3"/>
        <v>0</v>
      </c>
      <c r="D51" s="193">
        <f t="shared" ca="1" si="2"/>
        <v>0</v>
      </c>
      <c r="E51" s="193">
        <f t="shared" ca="1" si="0"/>
        <v>0</v>
      </c>
    </row>
    <row r="52" spans="1:5" x14ac:dyDescent="0.2">
      <c r="A52" s="192">
        <f t="shared" ca="1" si="4"/>
        <v>0</v>
      </c>
      <c r="B52" s="192">
        <f t="shared" ca="1" si="1"/>
        <v>0</v>
      </c>
      <c r="C52" s="193">
        <f t="shared" ca="1" si="3"/>
        <v>0</v>
      </c>
      <c r="D52" s="193">
        <f t="shared" ca="1" si="2"/>
        <v>0</v>
      </c>
      <c r="E52" s="193">
        <f t="shared" ca="1" si="0"/>
        <v>0</v>
      </c>
    </row>
    <row r="53" spans="1:5" x14ac:dyDescent="0.2">
      <c r="A53" s="192">
        <f t="shared" ca="1" si="4"/>
        <v>0</v>
      </c>
      <c r="B53" s="192">
        <f t="shared" ca="1" si="1"/>
        <v>0</v>
      </c>
      <c r="C53" s="193">
        <f t="shared" ca="1" si="3"/>
        <v>0</v>
      </c>
      <c r="D53" s="193">
        <f t="shared" ca="1" si="2"/>
        <v>0</v>
      </c>
      <c r="E53" s="193">
        <f t="shared" ca="1" si="0"/>
        <v>0</v>
      </c>
    </row>
    <row r="54" spans="1:5" x14ac:dyDescent="0.2">
      <c r="A54" s="192">
        <f t="shared" ca="1" si="4"/>
        <v>0</v>
      </c>
      <c r="B54" s="192">
        <f t="shared" ca="1" si="1"/>
        <v>0</v>
      </c>
      <c r="C54" s="193">
        <f t="shared" ca="1" si="3"/>
        <v>0</v>
      </c>
      <c r="D54" s="193">
        <f t="shared" ca="1" si="2"/>
        <v>0</v>
      </c>
      <c r="E54" s="193">
        <f t="shared" ca="1" si="0"/>
        <v>0</v>
      </c>
    </row>
    <row r="55" spans="1:5" x14ac:dyDescent="0.2">
      <c r="A55" s="192">
        <f t="shared" ca="1" si="4"/>
        <v>0</v>
      </c>
      <c r="B55" s="192">
        <f t="shared" ca="1" si="1"/>
        <v>0</v>
      </c>
      <c r="C55" s="193">
        <f t="shared" ca="1" si="3"/>
        <v>0</v>
      </c>
      <c r="D55" s="193">
        <f t="shared" ca="1" si="2"/>
        <v>0</v>
      </c>
      <c r="E55" s="193">
        <f t="shared" ca="1" si="0"/>
        <v>0</v>
      </c>
    </row>
    <row r="56" spans="1:5" x14ac:dyDescent="0.2">
      <c r="A56" s="192">
        <f t="shared" ca="1" si="4"/>
        <v>0</v>
      </c>
      <c r="B56" s="192">
        <f t="shared" ca="1" si="1"/>
        <v>0</v>
      </c>
      <c r="C56" s="193">
        <f t="shared" ca="1" si="3"/>
        <v>0</v>
      </c>
      <c r="D56" s="193">
        <f t="shared" ca="1" si="2"/>
        <v>0</v>
      </c>
      <c r="E56" s="193">
        <f t="shared" ca="1" si="0"/>
        <v>0</v>
      </c>
    </row>
    <row r="57" spans="1:5" x14ac:dyDescent="0.2">
      <c r="A57" s="192">
        <f t="shared" ca="1" si="4"/>
        <v>0</v>
      </c>
      <c r="B57" s="192">
        <f t="shared" ca="1" si="1"/>
        <v>0</v>
      </c>
      <c r="C57" s="193">
        <f t="shared" ca="1" si="3"/>
        <v>0</v>
      </c>
      <c r="D57" s="193">
        <f t="shared" ca="1" si="2"/>
        <v>0</v>
      </c>
      <c r="E57" s="193">
        <f t="shared" ca="1" si="0"/>
        <v>0</v>
      </c>
    </row>
    <row r="58" spans="1:5" x14ac:dyDescent="0.2">
      <c r="A58" s="192">
        <f t="shared" ca="1" si="4"/>
        <v>0</v>
      </c>
      <c r="B58" s="192">
        <f t="shared" ca="1" si="1"/>
        <v>0</v>
      </c>
      <c r="C58" s="193">
        <f t="shared" ca="1" si="3"/>
        <v>0</v>
      </c>
      <c r="D58" s="193">
        <f t="shared" ca="1" si="2"/>
        <v>0</v>
      </c>
      <c r="E58" s="193">
        <f t="shared" ca="1" si="0"/>
        <v>0</v>
      </c>
    </row>
    <row r="59" spans="1:5" x14ac:dyDescent="0.2">
      <c r="A59" s="192">
        <f t="shared" ca="1" si="4"/>
        <v>0</v>
      </c>
      <c r="B59" s="192">
        <f t="shared" ca="1" si="1"/>
        <v>0</v>
      </c>
      <c r="C59" s="193">
        <f t="shared" ca="1" si="3"/>
        <v>0</v>
      </c>
      <c r="D59" s="193">
        <f t="shared" ca="1" si="2"/>
        <v>0</v>
      </c>
      <c r="E59" s="193">
        <f t="shared" ca="1" si="0"/>
        <v>0</v>
      </c>
    </row>
    <row r="60" spans="1:5" x14ac:dyDescent="0.2">
      <c r="A60" s="192">
        <f t="shared" ca="1" si="4"/>
        <v>0</v>
      </c>
      <c r="B60" s="192">
        <f t="shared" ca="1" si="1"/>
        <v>0</v>
      </c>
      <c r="C60" s="193">
        <f t="shared" ca="1" si="3"/>
        <v>0</v>
      </c>
      <c r="D60" s="193">
        <f t="shared" ca="1" si="2"/>
        <v>0</v>
      </c>
      <c r="E60" s="193">
        <f t="shared" ca="1" si="0"/>
        <v>0</v>
      </c>
    </row>
    <row r="61" spans="1:5" x14ac:dyDescent="0.2">
      <c r="A61" s="192">
        <f t="shared" ca="1" si="4"/>
        <v>0</v>
      </c>
      <c r="B61" s="192">
        <f t="shared" ca="1" si="1"/>
        <v>0</v>
      </c>
      <c r="C61" s="193">
        <f t="shared" ca="1" si="3"/>
        <v>0</v>
      </c>
      <c r="D61" s="193">
        <f t="shared" ca="1" si="2"/>
        <v>0</v>
      </c>
      <c r="E61" s="193">
        <f t="shared" ca="1" si="0"/>
        <v>0</v>
      </c>
    </row>
    <row r="62" spans="1:5" x14ac:dyDescent="0.2">
      <c r="A62" s="192">
        <f t="shared" ca="1" si="4"/>
        <v>0</v>
      </c>
      <c r="B62" s="192">
        <f t="shared" ca="1" si="1"/>
        <v>0</v>
      </c>
      <c r="C62" s="193">
        <f t="shared" ca="1" si="3"/>
        <v>0</v>
      </c>
      <c r="D62" s="193">
        <f t="shared" ca="1" si="2"/>
        <v>0</v>
      </c>
      <c r="E62" s="193">
        <f t="shared" ca="1" si="0"/>
        <v>0</v>
      </c>
    </row>
    <row r="63" spans="1:5" x14ac:dyDescent="0.2">
      <c r="A63" s="192">
        <f t="shared" ca="1" si="4"/>
        <v>0</v>
      </c>
      <c r="B63" s="192">
        <f t="shared" ca="1" si="1"/>
        <v>0</v>
      </c>
      <c r="C63" s="193">
        <f t="shared" ca="1" si="3"/>
        <v>0</v>
      </c>
      <c r="D63" s="193">
        <f t="shared" ca="1" si="2"/>
        <v>0</v>
      </c>
      <c r="E63" s="193">
        <f t="shared" ca="1" si="0"/>
        <v>0</v>
      </c>
    </row>
    <row r="64" spans="1:5" x14ac:dyDescent="0.2">
      <c r="A64" s="192">
        <f t="shared" ca="1" si="4"/>
        <v>0</v>
      </c>
      <c r="B64" s="192">
        <f t="shared" ca="1" si="1"/>
        <v>0</v>
      </c>
      <c r="C64" s="193">
        <f t="shared" ca="1" si="3"/>
        <v>0</v>
      </c>
      <c r="D64" s="193">
        <f t="shared" ca="1" si="2"/>
        <v>0</v>
      </c>
      <c r="E64" s="193">
        <f t="shared" ca="1" si="0"/>
        <v>0</v>
      </c>
    </row>
    <row r="65" spans="1:5" x14ac:dyDescent="0.2">
      <c r="A65" s="192">
        <f t="shared" ca="1" si="4"/>
        <v>0</v>
      </c>
      <c r="B65" s="192">
        <f t="shared" ca="1" si="1"/>
        <v>0</v>
      </c>
      <c r="C65" s="193">
        <f t="shared" ca="1" si="3"/>
        <v>0</v>
      </c>
      <c r="D65" s="193">
        <f t="shared" ca="1" si="2"/>
        <v>0</v>
      </c>
      <c r="E65" s="193">
        <f t="shared" ca="1" si="0"/>
        <v>0</v>
      </c>
    </row>
    <row r="66" spans="1:5" x14ac:dyDescent="0.2">
      <c r="A66" s="192">
        <f t="shared" ca="1" si="4"/>
        <v>0</v>
      </c>
      <c r="B66" s="192">
        <f t="shared" ca="1" si="1"/>
        <v>0</v>
      </c>
      <c r="C66" s="193">
        <f t="shared" ca="1" si="3"/>
        <v>0</v>
      </c>
      <c r="D66" s="193">
        <f t="shared" ca="1" si="2"/>
        <v>0</v>
      </c>
      <c r="E66" s="193">
        <f t="shared" ca="1" si="0"/>
        <v>0</v>
      </c>
    </row>
    <row r="67" spans="1:5" x14ac:dyDescent="0.2">
      <c r="A67" s="192">
        <f t="shared" ca="1" si="4"/>
        <v>0</v>
      </c>
      <c r="B67" s="192">
        <f t="shared" ca="1" si="1"/>
        <v>0</v>
      </c>
      <c r="C67" s="193">
        <f t="shared" ca="1" si="3"/>
        <v>0</v>
      </c>
      <c r="D67" s="193">
        <f t="shared" ca="1" si="2"/>
        <v>0</v>
      </c>
      <c r="E67" s="193">
        <f t="shared" ca="1" si="0"/>
        <v>0</v>
      </c>
    </row>
    <row r="68" spans="1:5" x14ac:dyDescent="0.2">
      <c r="A68" s="192">
        <f t="shared" ca="1" si="4"/>
        <v>0</v>
      </c>
      <c r="B68" s="192">
        <f t="shared" ca="1" si="1"/>
        <v>0</v>
      </c>
      <c r="C68" s="193">
        <f t="shared" ca="1" si="3"/>
        <v>0</v>
      </c>
      <c r="D68" s="193">
        <f t="shared" ca="1" si="2"/>
        <v>0</v>
      </c>
      <c r="E68" s="193">
        <f t="shared" ca="1" si="0"/>
        <v>0</v>
      </c>
    </row>
    <row r="69" spans="1:5" x14ac:dyDescent="0.2">
      <c r="A69" s="192">
        <f t="shared" ca="1" si="4"/>
        <v>0</v>
      </c>
      <c r="B69" s="192">
        <f t="shared" ca="1" si="1"/>
        <v>0</v>
      </c>
      <c r="C69" s="193">
        <f t="shared" ca="1" si="3"/>
        <v>0</v>
      </c>
      <c r="D69" s="193">
        <f t="shared" ca="1" si="2"/>
        <v>0</v>
      </c>
      <c r="E69" s="193">
        <f t="shared" ca="1" si="0"/>
        <v>0</v>
      </c>
    </row>
    <row r="70" spans="1:5" x14ac:dyDescent="0.2">
      <c r="A70" s="192">
        <f t="shared" ca="1" si="4"/>
        <v>0</v>
      </c>
      <c r="B70" s="192">
        <f t="shared" ca="1" si="1"/>
        <v>0</v>
      </c>
      <c r="C70" s="193">
        <f t="shared" ca="1" si="3"/>
        <v>0</v>
      </c>
      <c r="D70" s="193">
        <f t="shared" ca="1" si="2"/>
        <v>0</v>
      </c>
      <c r="E70" s="193">
        <f t="shared" ca="1" si="0"/>
        <v>0</v>
      </c>
    </row>
    <row r="71" spans="1:5" x14ac:dyDescent="0.2">
      <c r="A71" s="192">
        <f t="shared" ca="1" si="4"/>
        <v>0</v>
      </c>
      <c r="B71" s="192">
        <f t="shared" ca="1" si="1"/>
        <v>0</v>
      </c>
      <c r="C71" s="193">
        <f t="shared" ca="1" si="3"/>
        <v>0</v>
      </c>
      <c r="D71" s="193">
        <f t="shared" ca="1" si="2"/>
        <v>0</v>
      </c>
      <c r="E71" s="193">
        <f t="shared" ca="1" si="0"/>
        <v>0</v>
      </c>
    </row>
    <row r="72" spans="1:5" x14ac:dyDescent="0.2">
      <c r="A72" s="192">
        <f t="shared" ca="1" si="4"/>
        <v>0</v>
      </c>
      <c r="B72" s="192">
        <f t="shared" ca="1" si="1"/>
        <v>0</v>
      </c>
      <c r="C72" s="193">
        <f t="shared" ca="1" si="3"/>
        <v>0</v>
      </c>
      <c r="D72" s="193">
        <f t="shared" ca="1" si="2"/>
        <v>0</v>
      </c>
      <c r="E72" s="193">
        <f t="shared" ca="1" si="0"/>
        <v>0</v>
      </c>
    </row>
    <row r="73" spans="1:5" x14ac:dyDescent="0.2">
      <c r="A73" s="192">
        <f t="shared" ca="1" si="4"/>
        <v>0</v>
      </c>
      <c r="B73" s="192">
        <f t="shared" ca="1" si="1"/>
        <v>0</v>
      </c>
      <c r="C73" s="193">
        <f t="shared" ca="1" si="3"/>
        <v>0</v>
      </c>
      <c r="D73" s="193">
        <f t="shared" ca="1" si="2"/>
        <v>0</v>
      </c>
      <c r="E73" s="193">
        <f t="shared" ca="1" si="0"/>
        <v>0</v>
      </c>
    </row>
    <row r="74" spans="1:5" x14ac:dyDescent="0.2">
      <c r="A74" s="192">
        <f t="shared" ca="1" si="4"/>
        <v>0</v>
      </c>
      <c r="B74" s="192">
        <f t="shared" ca="1" si="1"/>
        <v>0</v>
      </c>
      <c r="C74" s="193">
        <f t="shared" ca="1" si="3"/>
        <v>0</v>
      </c>
      <c r="D74" s="193">
        <f t="shared" ca="1" si="2"/>
        <v>0</v>
      </c>
      <c r="E74" s="193">
        <f t="shared" ref="E74:E86" ca="1" si="5">IF(A74&gt;0,ROUND($D$30-D74,2),0)</f>
        <v>0</v>
      </c>
    </row>
    <row r="75" spans="1:5" x14ac:dyDescent="0.2">
      <c r="A75" s="192">
        <f t="shared" ca="1" si="4"/>
        <v>0</v>
      </c>
      <c r="B75" s="192">
        <f t="shared" ca="1" si="1"/>
        <v>0</v>
      </c>
      <c r="C75" s="193">
        <f t="shared" ca="1" si="3"/>
        <v>0</v>
      </c>
      <c r="D75" s="193">
        <f t="shared" ref="D75:D86" ca="1" si="6">IF(A75&gt;0,D74+C75,0)</f>
        <v>0</v>
      </c>
      <c r="E75" s="193">
        <f t="shared" ca="1" si="5"/>
        <v>0</v>
      </c>
    </row>
    <row r="76" spans="1:5" x14ac:dyDescent="0.2">
      <c r="A76" s="192">
        <f t="shared" ca="1" si="4"/>
        <v>0</v>
      </c>
      <c r="B76" s="192">
        <f t="shared" ca="1" si="1"/>
        <v>0</v>
      </c>
      <c r="C76" s="193">
        <f t="shared" ca="1" si="3"/>
        <v>0</v>
      </c>
      <c r="D76" s="193">
        <f t="shared" ca="1" si="6"/>
        <v>0</v>
      </c>
      <c r="E76" s="193">
        <f t="shared" ca="1" si="5"/>
        <v>0</v>
      </c>
    </row>
    <row r="77" spans="1:5" x14ac:dyDescent="0.2">
      <c r="A77" s="192">
        <f t="shared" ca="1" si="4"/>
        <v>0</v>
      </c>
      <c r="B77" s="192">
        <f t="shared" ca="1" si="1"/>
        <v>0</v>
      </c>
      <c r="C77" s="193">
        <f t="shared" ca="1" si="3"/>
        <v>0</v>
      </c>
      <c r="D77" s="193">
        <f t="shared" ca="1" si="6"/>
        <v>0</v>
      </c>
      <c r="E77" s="193">
        <f t="shared" ca="1" si="5"/>
        <v>0</v>
      </c>
    </row>
    <row r="78" spans="1:5" x14ac:dyDescent="0.2">
      <c r="A78" s="192">
        <f t="shared" ca="1" si="4"/>
        <v>0</v>
      </c>
      <c r="B78" s="192">
        <f t="shared" ca="1" si="1"/>
        <v>0</v>
      </c>
      <c r="C78" s="193">
        <f t="shared" ca="1" si="3"/>
        <v>0</v>
      </c>
      <c r="D78" s="193">
        <f t="shared" ca="1" si="6"/>
        <v>0</v>
      </c>
      <c r="E78" s="193">
        <f t="shared" ca="1" si="5"/>
        <v>0</v>
      </c>
    </row>
    <row r="79" spans="1:5" x14ac:dyDescent="0.2">
      <c r="A79" s="192">
        <f t="shared" ca="1" si="4"/>
        <v>0</v>
      </c>
      <c r="B79" s="192">
        <f t="shared" ca="1" si="1"/>
        <v>0</v>
      </c>
      <c r="C79" s="193">
        <f t="shared" ca="1" si="3"/>
        <v>0</v>
      </c>
      <c r="D79" s="193">
        <f t="shared" ca="1" si="6"/>
        <v>0</v>
      </c>
      <c r="E79" s="193">
        <f t="shared" ca="1" si="5"/>
        <v>0</v>
      </c>
    </row>
    <row r="80" spans="1:5" x14ac:dyDescent="0.2">
      <c r="A80" s="192">
        <f t="shared" ca="1" si="4"/>
        <v>0</v>
      </c>
      <c r="B80" s="192">
        <f t="shared" ca="1" si="1"/>
        <v>0</v>
      </c>
      <c r="C80" s="193">
        <f t="shared" ca="1" si="3"/>
        <v>0</v>
      </c>
      <c r="D80" s="193">
        <f t="shared" ca="1" si="6"/>
        <v>0</v>
      </c>
      <c r="E80" s="193">
        <f t="shared" ca="1" si="5"/>
        <v>0</v>
      </c>
    </row>
    <row r="81" spans="1:5" x14ac:dyDescent="0.2">
      <c r="A81" s="192">
        <f t="shared" ca="1" si="4"/>
        <v>0</v>
      </c>
      <c r="B81" s="192">
        <f t="shared" ca="1" si="1"/>
        <v>0</v>
      </c>
      <c r="C81" s="193">
        <f t="shared" ca="1" si="3"/>
        <v>0</v>
      </c>
      <c r="D81" s="193">
        <f t="shared" ca="1" si="6"/>
        <v>0</v>
      </c>
      <c r="E81" s="193">
        <f t="shared" ca="1" si="5"/>
        <v>0</v>
      </c>
    </row>
    <row r="82" spans="1:5" x14ac:dyDescent="0.2">
      <c r="A82" s="192">
        <f t="shared" ca="1" si="4"/>
        <v>0</v>
      </c>
      <c r="B82" s="192">
        <f t="shared" ca="1" si="1"/>
        <v>0</v>
      </c>
      <c r="C82" s="193">
        <f t="shared" ca="1" si="3"/>
        <v>0</v>
      </c>
      <c r="D82" s="193">
        <f t="shared" ca="1" si="6"/>
        <v>0</v>
      </c>
      <c r="E82" s="193">
        <f t="shared" ca="1" si="5"/>
        <v>0</v>
      </c>
    </row>
    <row r="83" spans="1:5" x14ac:dyDescent="0.2">
      <c r="A83" s="192">
        <f t="shared" ca="1" si="4"/>
        <v>0</v>
      </c>
      <c r="B83" s="192">
        <f t="shared" ca="1" si="1"/>
        <v>0</v>
      </c>
      <c r="C83" s="193">
        <f t="shared" ca="1" si="3"/>
        <v>0</v>
      </c>
      <c r="D83" s="193">
        <f t="shared" ca="1" si="6"/>
        <v>0</v>
      </c>
      <c r="E83" s="193">
        <f t="shared" ca="1" si="5"/>
        <v>0</v>
      </c>
    </row>
    <row r="84" spans="1:5" x14ac:dyDescent="0.2">
      <c r="A84" s="192">
        <f t="shared" ca="1" si="4"/>
        <v>0</v>
      </c>
      <c r="B84" s="192">
        <f t="shared" ca="1" si="1"/>
        <v>0</v>
      </c>
      <c r="C84" s="193">
        <f t="shared" ca="1" si="3"/>
        <v>0</v>
      </c>
      <c r="D84" s="193">
        <f t="shared" ca="1" si="6"/>
        <v>0</v>
      </c>
      <c r="E84" s="193">
        <f t="shared" ca="1" si="5"/>
        <v>0</v>
      </c>
    </row>
    <row r="85" spans="1:5" x14ac:dyDescent="0.2">
      <c r="A85" s="192">
        <f t="shared" ca="1" si="4"/>
        <v>0</v>
      </c>
      <c r="B85" s="192">
        <f t="shared" ca="1" si="1"/>
        <v>0</v>
      </c>
      <c r="C85" s="193">
        <f t="shared" ca="1" si="3"/>
        <v>0</v>
      </c>
      <c r="D85" s="193">
        <f t="shared" ca="1" si="6"/>
        <v>0</v>
      </c>
      <c r="E85" s="193">
        <f t="shared" ca="1" si="5"/>
        <v>0</v>
      </c>
    </row>
    <row r="86" spans="1:5" x14ac:dyDescent="0.2">
      <c r="A86" s="192">
        <f t="shared" ca="1" si="4"/>
        <v>0</v>
      </c>
      <c r="B86" s="192">
        <f t="shared" ca="1" si="1"/>
        <v>0</v>
      </c>
      <c r="C86" s="193">
        <f t="shared" ca="1" si="3"/>
        <v>0</v>
      </c>
      <c r="D86" s="193">
        <f t="shared" ca="1" si="6"/>
        <v>0</v>
      </c>
      <c r="E86" s="193">
        <f t="shared" ca="1" si="5"/>
        <v>0</v>
      </c>
    </row>
  </sheetData>
  <phoneticPr fontId="16" type="noConversion"/>
  <conditionalFormatting sqref="A44:E86">
    <cfRule type="expression" dxfId="12" priority="1" stopIfTrue="1">
      <formula>AND($A44=0,$B43&gt;0)</formula>
    </cfRule>
    <cfRule type="expression" dxfId="11" priority="2" stopIfTrue="1">
      <formula>$A44&gt;0</formula>
    </cfRule>
  </conditionalFormatting>
  <conditionalFormatting sqref="A42:E42">
    <cfRule type="expression" dxfId="10" priority="3" stopIfTrue="1">
      <formula>AND($A42=0,$B41&gt;0)</formula>
    </cfRule>
    <cfRule type="expression" dxfId="9" priority="4" stopIfTrue="1">
      <formula>$A42&gt;0</formula>
    </cfRule>
    <cfRule type="expression" dxfId="8" priority="5" stopIfTrue="1">
      <formula>$A42=0</formula>
    </cfRule>
  </conditionalFormatting>
  <conditionalFormatting sqref="A43:E43">
    <cfRule type="expression" dxfId="7" priority="6" stopIfTrue="1">
      <formula>AND($A43=0,$B42&gt;0)</formula>
    </cfRule>
    <cfRule type="expression" dxfId="6" priority="7" stopIfTrue="1">
      <formula>$A43&gt;0</formula>
    </cfRule>
  </conditionalFormatting>
  <printOptions horizontalCentered="1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Footer>&amp;RPage &amp;P  / &amp;N</oddFooter>
  </headerFooter>
  <rowBreaks count="1" manualBreakCount="1">
    <brk id="33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11250"/>
  <dimension ref="A1:W455"/>
  <sheetViews>
    <sheetView showGridLines="0" showZeros="0" workbookViewId="0">
      <selection activeCell="G4" sqref="G4"/>
    </sheetView>
  </sheetViews>
  <sheetFormatPr baseColWidth="10" defaultRowHeight="11.25" x14ac:dyDescent="0.2"/>
  <cols>
    <col min="1" max="1" width="6.33203125" style="99" customWidth="1"/>
    <col min="2" max="2" width="32.5" style="9" customWidth="1"/>
    <col min="3" max="3" width="2.5" style="9" bestFit="1" customWidth="1"/>
    <col min="4" max="13" width="11.83203125" style="9" customWidth="1"/>
    <col min="14" max="16384" width="12" style="9"/>
  </cols>
  <sheetData>
    <row r="1" spans="1:13" x14ac:dyDescent="0.2">
      <c r="A1" s="98"/>
      <c r="B1" s="1"/>
      <c r="C1" s="1"/>
      <c r="D1" s="2"/>
      <c r="E1" s="3"/>
      <c r="F1" s="3"/>
      <c r="G1" s="4"/>
      <c r="H1" s="5"/>
      <c r="I1" s="6"/>
      <c r="J1" s="4"/>
      <c r="K1" s="7"/>
      <c r="L1" s="8"/>
      <c r="M1" s="8"/>
    </row>
    <row r="2" spans="1:13" ht="15.75" x14ac:dyDescent="0.25">
      <c r="D2" s="157" t="s">
        <v>36</v>
      </c>
      <c r="E2" s="10"/>
      <c r="F2" s="10"/>
      <c r="G2" s="10"/>
      <c r="H2" s="10"/>
      <c r="I2" s="10"/>
      <c r="J2" s="10"/>
      <c r="K2" s="11"/>
    </row>
    <row r="3" spans="1:13" x14ac:dyDescent="0.2">
      <c r="D3" s="12"/>
      <c r="E3" s="13"/>
      <c r="F3" s="13"/>
      <c r="G3" s="13"/>
      <c r="H3" s="13"/>
      <c r="I3" s="13"/>
      <c r="J3" s="13"/>
      <c r="K3" s="14"/>
    </row>
    <row r="4" spans="1:13" ht="12.75" customHeight="1" x14ac:dyDescent="0.2">
      <c r="D4" s="15"/>
      <c r="E4" s="13"/>
      <c r="F4" s="13" t="s">
        <v>9</v>
      </c>
      <c r="G4" s="10" t="str">
        <f>NomSociété</f>
        <v>Société Test</v>
      </c>
      <c r="H4" s="10"/>
      <c r="I4" s="10"/>
      <c r="J4" s="10"/>
      <c r="K4" s="14"/>
    </row>
    <row r="5" spans="1:13" x14ac:dyDescent="0.2">
      <c r="D5" s="15"/>
      <c r="E5" s="13"/>
      <c r="F5" s="13"/>
      <c r="G5" s="13"/>
      <c r="H5" s="13"/>
      <c r="I5" s="13"/>
      <c r="J5" s="13"/>
      <c r="K5" s="14"/>
    </row>
    <row r="6" spans="1:13" x14ac:dyDescent="0.2">
      <c r="D6" s="15"/>
      <c r="E6" s="13"/>
      <c r="F6" s="16" t="s">
        <v>10</v>
      </c>
      <c r="G6" s="17">
        <v>40725</v>
      </c>
      <c r="H6" s="18" t="s">
        <v>11</v>
      </c>
      <c r="I6" s="17">
        <v>41090</v>
      </c>
      <c r="J6" s="13"/>
      <c r="K6" s="14"/>
      <c r="M6" s="195"/>
    </row>
    <row r="7" spans="1:13" x14ac:dyDescent="0.2">
      <c r="D7" s="19" t="str">
        <f>IF(G6&gt;I6,"Attention Date impossible !!!!",IF(G6&gt;I8,"Attention Date impossible !!!!",""))</f>
        <v/>
      </c>
      <c r="E7" s="10"/>
      <c r="F7" s="10"/>
      <c r="G7" s="10"/>
      <c r="H7" s="10"/>
      <c r="I7" s="10"/>
      <c r="J7" s="10"/>
      <c r="K7" s="11"/>
    </row>
    <row r="8" spans="1:13" x14ac:dyDescent="0.2">
      <c r="D8" s="15"/>
      <c r="E8" s="10"/>
      <c r="F8" s="10" t="s">
        <v>45</v>
      </c>
      <c r="G8" s="10"/>
      <c r="H8" s="10"/>
      <c r="I8" s="17">
        <v>41090</v>
      </c>
      <c r="J8" s="13"/>
      <c r="K8" s="14"/>
    </row>
    <row r="9" spans="1:13" x14ac:dyDescent="0.2">
      <c r="D9" s="15"/>
      <c r="E9" s="13"/>
      <c r="F9" s="13"/>
      <c r="G9" s="13"/>
      <c r="H9" s="13"/>
      <c r="I9" s="13"/>
      <c r="J9" s="13"/>
      <c r="K9" s="14"/>
    </row>
    <row r="10" spans="1:13" x14ac:dyDescent="0.2">
      <c r="D10" s="15"/>
      <c r="E10" s="13"/>
      <c r="F10" s="13"/>
      <c r="G10" s="13"/>
      <c r="H10" s="13"/>
      <c r="I10" s="13"/>
      <c r="J10" s="13"/>
      <c r="K10" s="14"/>
    </row>
    <row r="11" spans="1:13" x14ac:dyDescent="0.2">
      <c r="D11" s="15"/>
      <c r="E11" s="13"/>
      <c r="F11" s="16" t="s">
        <v>13</v>
      </c>
      <c r="G11" s="18" t="s">
        <v>8</v>
      </c>
      <c r="H11" s="13" t="s">
        <v>21</v>
      </c>
      <c r="I11" s="13"/>
      <c r="J11" s="13"/>
      <c r="K11" s="14"/>
    </row>
    <row r="12" spans="1:13" x14ac:dyDescent="0.2">
      <c r="D12" s="15"/>
      <c r="E12" s="13"/>
      <c r="F12" s="13"/>
      <c r="G12" s="18" t="s">
        <v>12</v>
      </c>
      <c r="H12" s="13" t="s">
        <v>22</v>
      </c>
      <c r="I12" s="13"/>
      <c r="J12" s="13"/>
      <c r="K12" s="14"/>
    </row>
    <row r="13" spans="1:13" x14ac:dyDescent="0.2">
      <c r="D13" s="15"/>
      <c r="E13" s="13"/>
      <c r="F13" s="13"/>
      <c r="G13" s="18" t="s">
        <v>16</v>
      </c>
      <c r="H13" s="13" t="s">
        <v>17</v>
      </c>
      <c r="I13" s="13"/>
      <c r="J13" s="13"/>
      <c r="K13" s="14"/>
    </row>
    <row r="14" spans="1:13" x14ac:dyDescent="0.2">
      <c r="D14" s="20"/>
      <c r="E14" s="21"/>
      <c r="F14" s="21"/>
      <c r="G14" s="21"/>
      <c r="H14" s="21"/>
      <c r="I14" s="21"/>
      <c r="J14" s="21"/>
      <c r="K14" s="22"/>
    </row>
    <row r="16" spans="1:13" x14ac:dyDescent="0.2">
      <c r="A16" s="100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5"/>
    </row>
    <row r="17" spans="1:13" x14ac:dyDescent="0.2">
      <c r="A17" s="101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4"/>
    </row>
    <row r="18" spans="1:13" x14ac:dyDescent="0.2">
      <c r="A18" s="101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4"/>
    </row>
    <row r="19" spans="1:13" x14ac:dyDescent="0.2">
      <c r="A19" s="101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4"/>
    </row>
    <row r="20" spans="1:13" ht="22.5" x14ac:dyDescent="0.45">
      <c r="A20" s="155" t="str">
        <f>G4</f>
        <v>Société Test</v>
      </c>
      <c r="B20" s="26"/>
      <c r="C20" s="26"/>
      <c r="D20" s="26"/>
      <c r="E20" s="10"/>
      <c r="F20" s="10"/>
      <c r="G20" s="10"/>
      <c r="H20" s="10"/>
      <c r="I20" s="10"/>
      <c r="J20" s="10"/>
      <c r="K20" s="10"/>
      <c r="L20" s="10"/>
      <c r="M20" s="11"/>
    </row>
    <row r="21" spans="1:13" x14ac:dyDescent="0.2">
      <c r="A21" s="102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1"/>
    </row>
    <row r="22" spans="1:13" x14ac:dyDescent="0.2">
      <c r="A22" s="102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1"/>
    </row>
    <row r="23" spans="1:13" x14ac:dyDescent="0.2">
      <c r="A23" s="102" t="str">
        <f>"Liste des immobilisations et des amortissements au " &amp; TEXT($I$6,"j mmmm aaaa")</f>
        <v>Liste des immobilisations et des amortissements au 30 juin 2012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1"/>
    </row>
    <row r="24" spans="1:13" x14ac:dyDescent="0.2">
      <c r="A24" s="102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1"/>
    </row>
    <row r="25" spans="1:13" x14ac:dyDescent="0.2">
      <c r="A25" s="102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1"/>
    </row>
    <row r="26" spans="1:13" x14ac:dyDescent="0.2">
      <c r="A26" s="102" t="str">
        <f>"Calcul des amortissements au " &amp; TEXT($I$8,"j mmmm aaaa")</f>
        <v>Calcul des amortissements au 30 juin 2012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1"/>
    </row>
    <row r="27" spans="1:13" x14ac:dyDescent="0.2">
      <c r="A27" s="101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</row>
    <row r="28" spans="1:13" x14ac:dyDescent="0.2">
      <c r="A28" s="101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</row>
    <row r="29" spans="1:13" x14ac:dyDescent="0.2">
      <c r="A29" s="101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4"/>
    </row>
    <row r="30" spans="1:13" x14ac:dyDescent="0.2">
      <c r="A30" s="103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2"/>
    </row>
    <row r="31" spans="1:13" x14ac:dyDescent="0.2">
      <c r="G31" s="8"/>
      <c r="J31" s="8"/>
      <c r="K31" s="8"/>
      <c r="L31" s="8"/>
      <c r="M31" s="8"/>
    </row>
    <row r="32" spans="1:13" x14ac:dyDescent="0.2">
      <c r="G32" s="8"/>
      <c r="J32" s="8"/>
      <c r="K32" s="8"/>
      <c r="L32" s="8"/>
      <c r="M32" s="8"/>
    </row>
    <row r="33" spans="1:13" ht="18" x14ac:dyDescent="0.25">
      <c r="A33" s="153" t="str">
        <f>G4 &amp; "   -   VARIATIONS DE L'ACTIF IMMOBILISE"</f>
        <v>Société Test   -   VARIATIONS DE L'ACTIF IMMOBILISE</v>
      </c>
      <c r="B33" s="30"/>
      <c r="C33" s="30"/>
      <c r="D33" s="30"/>
      <c r="E33" s="30"/>
      <c r="F33" s="30"/>
      <c r="G33" s="31"/>
      <c r="H33" s="30"/>
      <c r="I33" s="30"/>
      <c r="J33" s="31"/>
      <c r="K33" s="31"/>
      <c r="L33" s="31"/>
      <c r="M33" s="31"/>
    </row>
    <row r="34" spans="1:13" ht="12" customHeight="1" x14ac:dyDescent="0.2">
      <c r="B34" s="29"/>
      <c r="C34" s="29"/>
      <c r="D34" s="30"/>
      <c r="E34" s="30"/>
      <c r="F34" s="30"/>
      <c r="G34" s="31"/>
      <c r="H34" s="30"/>
      <c r="I34" s="30"/>
      <c r="J34" s="31"/>
      <c r="K34" s="31"/>
      <c r="L34" s="31"/>
      <c r="M34" s="31"/>
    </row>
    <row r="35" spans="1:13" ht="12" customHeight="1" x14ac:dyDescent="0.2">
      <c r="B35" s="29"/>
      <c r="C35" s="29"/>
      <c r="D35" s="30"/>
      <c r="E35" s="30"/>
      <c r="F35" s="30"/>
      <c r="G35" s="31"/>
      <c r="H35" s="30"/>
      <c r="I35" s="30"/>
      <c r="J35" s="31"/>
      <c r="K35" s="31"/>
      <c r="L35" s="31"/>
      <c r="M35" s="31"/>
    </row>
    <row r="36" spans="1:13" x14ac:dyDescent="0.2">
      <c r="G36" s="8"/>
      <c r="J36" s="8"/>
      <c r="K36" s="8"/>
      <c r="L36" s="8"/>
      <c r="M36" s="8"/>
    </row>
    <row r="37" spans="1:13" x14ac:dyDescent="0.2">
      <c r="A37" s="104"/>
      <c r="B37" s="32"/>
      <c r="C37" s="32"/>
      <c r="D37" s="32"/>
      <c r="E37" s="23"/>
      <c r="F37" s="24"/>
      <c r="G37" s="4"/>
      <c r="H37" s="24"/>
      <c r="I37" s="23"/>
      <c r="J37" s="4"/>
      <c r="K37" s="4"/>
      <c r="L37" s="4"/>
      <c r="M37" s="33"/>
    </row>
    <row r="38" spans="1:13" x14ac:dyDescent="0.2">
      <c r="A38" s="102" t="s">
        <v>32</v>
      </c>
      <c r="B38" s="10"/>
      <c r="C38" s="10"/>
      <c r="D38" s="10"/>
      <c r="E38" s="27" t="s">
        <v>29</v>
      </c>
      <c r="F38" s="10"/>
      <c r="G38" s="10"/>
      <c r="H38" s="10"/>
      <c r="I38" s="27" t="s">
        <v>30</v>
      </c>
      <c r="J38" s="10"/>
      <c r="K38" s="10"/>
      <c r="L38" s="10"/>
      <c r="M38" s="35" t="s">
        <v>27</v>
      </c>
    </row>
    <row r="39" spans="1:13" x14ac:dyDescent="0.2">
      <c r="A39" s="102" t="s">
        <v>43</v>
      </c>
      <c r="B39" s="10"/>
      <c r="C39" s="10"/>
      <c r="D39" s="10"/>
      <c r="E39" s="36" t="str">
        <f>"Au " &amp; TEXT($G$6,"j/m/aaaa")</f>
        <v>Au 1/7/2011</v>
      </c>
      <c r="F39" s="18" t="s">
        <v>24</v>
      </c>
      <c r="G39" s="18" t="s">
        <v>25</v>
      </c>
      <c r="H39" s="18" t="str">
        <f>"Au " &amp; TEXT(I6,"j/m/aaaa")</f>
        <v>Au 30/6/2012</v>
      </c>
      <c r="I39" s="36" t="str">
        <f>E39</f>
        <v>Au 1/7/2011</v>
      </c>
      <c r="J39" s="18" t="s">
        <v>31</v>
      </c>
      <c r="K39" s="18" t="str">
        <f>G39</f>
        <v>Cessions</v>
      </c>
      <c r="L39" s="18" t="str">
        <f>H39</f>
        <v>Au 30/6/2012</v>
      </c>
      <c r="M39" s="35" t="s">
        <v>28</v>
      </c>
    </row>
    <row r="40" spans="1:13" x14ac:dyDescent="0.2">
      <c r="A40" s="105"/>
      <c r="B40" s="37"/>
      <c r="C40" s="37"/>
      <c r="D40" s="37"/>
      <c r="E40" s="28"/>
      <c r="F40" s="21"/>
      <c r="G40" s="21"/>
      <c r="H40" s="21"/>
      <c r="I40" s="28"/>
      <c r="J40" s="21"/>
      <c r="K40" s="21"/>
      <c r="L40" s="21"/>
      <c r="M40" s="38"/>
    </row>
    <row r="41" spans="1:13" x14ac:dyDescent="0.2">
      <c r="A41" s="102"/>
      <c r="B41" s="10"/>
      <c r="C41" s="10"/>
      <c r="D41" s="10"/>
      <c r="E41" s="12"/>
      <c r="F41" s="13"/>
      <c r="G41" s="13"/>
      <c r="H41" s="13"/>
      <c r="I41" s="12"/>
      <c r="J41" s="13"/>
      <c r="K41" s="13"/>
      <c r="L41" s="13"/>
      <c r="M41" s="39"/>
    </row>
    <row r="42" spans="1:13" x14ac:dyDescent="0.2">
      <c r="A42" s="156" t="s">
        <v>40</v>
      </c>
      <c r="B42" s="10"/>
      <c r="C42" s="10"/>
      <c r="D42" s="10"/>
      <c r="E42" s="12"/>
      <c r="F42" s="13"/>
      <c r="G42" s="13"/>
      <c r="H42" s="13"/>
      <c r="I42" s="12"/>
      <c r="J42" s="13"/>
      <c r="K42" s="13"/>
      <c r="L42" s="13"/>
      <c r="M42" s="39"/>
    </row>
    <row r="43" spans="1:13" x14ac:dyDescent="0.2">
      <c r="A43" s="102" t="s">
        <v>46</v>
      </c>
      <c r="B43" s="10"/>
      <c r="C43" s="10"/>
      <c r="D43" s="10"/>
      <c r="E43" s="40">
        <f>G182</f>
        <v>24522.17</v>
      </c>
      <c r="F43" s="41">
        <f>G183</f>
        <v>3274</v>
      </c>
      <c r="G43" s="41">
        <f>G184</f>
        <v>4697.08</v>
      </c>
      <c r="H43" s="41">
        <f>E43+F43-G43</f>
        <v>23099.089999999997</v>
      </c>
      <c r="I43" s="40">
        <f>J180</f>
        <v>23812.379999999994</v>
      </c>
      <c r="J43" s="41">
        <f>K180</f>
        <v>700.56999999999994</v>
      </c>
      <c r="K43" s="41">
        <f>L184</f>
        <v>4697.08</v>
      </c>
      <c r="L43" s="41">
        <f>I43+J43-K43</f>
        <v>19815.869999999995</v>
      </c>
      <c r="M43" s="42">
        <f>H43-L43</f>
        <v>3283.2200000000012</v>
      </c>
    </row>
    <row r="44" spans="1:13" x14ac:dyDescent="0.2">
      <c r="A44" s="102" t="s">
        <v>256</v>
      </c>
      <c r="B44" s="10"/>
      <c r="C44" s="10"/>
      <c r="D44" s="10"/>
      <c r="E44" s="40"/>
      <c r="F44" s="41"/>
      <c r="G44" s="41"/>
      <c r="H44" s="41">
        <f>E44+F44-G44</f>
        <v>0</v>
      </c>
      <c r="I44" s="40"/>
      <c r="J44" s="41"/>
      <c r="K44" s="41"/>
      <c r="L44" s="41"/>
      <c r="M44" s="42">
        <f>H44-L44</f>
        <v>0</v>
      </c>
    </row>
    <row r="45" spans="1:13" x14ac:dyDescent="0.2">
      <c r="A45" s="106" t="s">
        <v>14</v>
      </c>
      <c r="B45" s="10"/>
      <c r="C45" s="10"/>
      <c r="D45" s="10"/>
      <c r="E45" s="44">
        <f t="shared" ref="E45:M45" si="0">SUM(E43:E44)</f>
        <v>24522.17</v>
      </c>
      <c r="F45" s="4">
        <f t="shared" si="0"/>
        <v>3274</v>
      </c>
      <c r="G45" s="4">
        <f t="shared" si="0"/>
        <v>4697.08</v>
      </c>
      <c r="H45" s="7">
        <f t="shared" si="0"/>
        <v>23099.089999999997</v>
      </c>
      <c r="I45" s="45">
        <f t="shared" si="0"/>
        <v>23812.379999999994</v>
      </c>
      <c r="J45" s="4">
        <f t="shared" si="0"/>
        <v>700.56999999999994</v>
      </c>
      <c r="K45" s="4">
        <f t="shared" si="0"/>
        <v>4697.08</v>
      </c>
      <c r="L45" s="4">
        <f t="shared" si="0"/>
        <v>19815.869999999995</v>
      </c>
      <c r="M45" s="33">
        <f t="shared" si="0"/>
        <v>3283.2200000000012</v>
      </c>
    </row>
    <row r="46" spans="1:13" x14ac:dyDescent="0.2">
      <c r="A46" s="102"/>
      <c r="B46" s="10"/>
      <c r="C46" s="10"/>
      <c r="D46" s="10"/>
      <c r="E46" s="40"/>
      <c r="F46" s="41"/>
      <c r="G46" s="41"/>
      <c r="H46" s="41"/>
      <c r="I46" s="40"/>
      <c r="J46" s="41"/>
      <c r="K46" s="41"/>
      <c r="L46" s="41"/>
      <c r="M46" s="42"/>
    </row>
    <row r="47" spans="1:13" x14ac:dyDescent="0.2">
      <c r="A47" s="156" t="s">
        <v>48</v>
      </c>
      <c r="B47" s="10"/>
      <c r="C47" s="10"/>
      <c r="D47" s="10"/>
      <c r="E47" s="40"/>
      <c r="F47" s="41"/>
      <c r="G47" s="41"/>
      <c r="H47" s="41"/>
      <c r="I47" s="40"/>
      <c r="J47" s="41"/>
      <c r="K47" s="41"/>
      <c r="L47" s="41"/>
      <c r="M47" s="42"/>
    </row>
    <row r="48" spans="1:13" x14ac:dyDescent="0.2">
      <c r="A48" s="102" t="s">
        <v>168</v>
      </c>
      <c r="B48" s="10"/>
      <c r="C48" s="10"/>
      <c r="D48" s="10"/>
      <c r="E48" s="40">
        <f>G193</f>
        <v>39485.82</v>
      </c>
      <c r="F48" s="41">
        <f>G194</f>
        <v>0</v>
      </c>
      <c r="G48" s="41">
        <f>G195</f>
        <v>0</v>
      </c>
      <c r="H48" s="41">
        <f t="shared" ref="H48:H57" si="1">E48+F48-G48</f>
        <v>39485.82</v>
      </c>
      <c r="I48" s="40"/>
      <c r="J48" s="41"/>
      <c r="K48" s="41"/>
      <c r="L48" s="41">
        <f t="shared" ref="L48:L57" si="2">I48+J48-K48</f>
        <v>0</v>
      </c>
      <c r="M48" s="42">
        <f t="shared" ref="M48:M57" si="3">H48-L48</f>
        <v>39485.82</v>
      </c>
    </row>
    <row r="49" spans="1:13" x14ac:dyDescent="0.2">
      <c r="A49" s="102" t="s">
        <v>202</v>
      </c>
      <c r="B49" s="10"/>
      <c r="C49" s="10"/>
      <c r="D49" s="10"/>
      <c r="E49" s="40">
        <f>G210</f>
        <v>15492.96</v>
      </c>
      <c r="F49" s="41">
        <f>G211</f>
        <v>0</v>
      </c>
      <c r="G49" s="41">
        <f>G212</f>
        <v>0</v>
      </c>
      <c r="H49" s="41">
        <f t="shared" si="1"/>
        <v>15492.96</v>
      </c>
      <c r="I49" s="40">
        <f>J208</f>
        <v>14200.369999999999</v>
      </c>
      <c r="J49" s="41">
        <f>K208</f>
        <v>1292.5899999999999</v>
      </c>
      <c r="K49" s="41">
        <f>L212</f>
        <v>0</v>
      </c>
      <c r="L49" s="41">
        <f t="shared" si="2"/>
        <v>15492.96</v>
      </c>
      <c r="M49" s="42">
        <f t="shared" si="3"/>
        <v>0</v>
      </c>
    </row>
    <row r="50" spans="1:13" x14ac:dyDescent="0.2">
      <c r="A50" s="102" t="s">
        <v>169</v>
      </c>
      <c r="B50" s="10"/>
      <c r="C50" s="10"/>
      <c r="D50" s="10"/>
      <c r="E50" s="40">
        <f>G221</f>
        <v>248854.25</v>
      </c>
      <c r="F50" s="41">
        <f>G222</f>
        <v>0</v>
      </c>
      <c r="G50" s="41">
        <f>G223</f>
        <v>0</v>
      </c>
      <c r="H50" s="41">
        <f t="shared" si="1"/>
        <v>248854.25</v>
      </c>
      <c r="I50" s="40">
        <f>J219</f>
        <v>92614.69</v>
      </c>
      <c r="J50" s="41">
        <f>K219</f>
        <v>9954.17</v>
      </c>
      <c r="K50" s="41">
        <f>L223</f>
        <v>0</v>
      </c>
      <c r="L50" s="41">
        <f t="shared" si="2"/>
        <v>102568.86</v>
      </c>
      <c r="M50" s="42">
        <f t="shared" si="3"/>
        <v>146285.39000000001</v>
      </c>
    </row>
    <row r="51" spans="1:13" x14ac:dyDescent="0.2">
      <c r="A51" s="102" t="s">
        <v>233</v>
      </c>
      <c r="B51" s="10"/>
      <c r="C51" s="10"/>
      <c r="D51" s="10"/>
      <c r="E51" s="40">
        <f>G235</f>
        <v>16385.18</v>
      </c>
      <c r="F51" s="41">
        <f>G236</f>
        <v>0</v>
      </c>
      <c r="G51" s="41">
        <f>G237</f>
        <v>0</v>
      </c>
      <c r="H51" s="41">
        <f t="shared" si="1"/>
        <v>16385.18</v>
      </c>
      <c r="I51" s="40">
        <f>J233</f>
        <v>16127.060000000001</v>
      </c>
      <c r="J51" s="41">
        <f>K233</f>
        <v>138.55000000000001</v>
      </c>
      <c r="K51" s="41">
        <f>L237</f>
        <v>0</v>
      </c>
      <c r="L51" s="41">
        <f t="shared" si="2"/>
        <v>16265.61</v>
      </c>
      <c r="M51" s="42">
        <f t="shared" si="3"/>
        <v>119.56999999999971</v>
      </c>
    </row>
    <row r="52" spans="1:13" x14ac:dyDescent="0.2">
      <c r="A52" s="102" t="s">
        <v>105</v>
      </c>
      <c r="B52" s="10"/>
      <c r="C52" s="10"/>
      <c r="D52" s="10"/>
      <c r="E52" s="40">
        <f>G320</f>
        <v>412660.77999999997</v>
      </c>
      <c r="F52" s="41">
        <f>G321</f>
        <v>0</v>
      </c>
      <c r="G52" s="41">
        <f>G322</f>
        <v>0</v>
      </c>
      <c r="H52" s="41">
        <f t="shared" si="1"/>
        <v>412660.77999999997</v>
      </c>
      <c r="I52" s="40">
        <f>J318</f>
        <v>403280.98999999993</v>
      </c>
      <c r="J52" s="41">
        <f>K318</f>
        <v>3073.36</v>
      </c>
      <c r="K52" s="41">
        <f>L322</f>
        <v>0</v>
      </c>
      <c r="L52" s="41">
        <f t="shared" si="2"/>
        <v>406354.34999999992</v>
      </c>
      <c r="M52" s="42">
        <f t="shared" si="3"/>
        <v>6306.4300000000512</v>
      </c>
    </row>
    <row r="53" spans="1:13" x14ac:dyDescent="0.2">
      <c r="A53" s="102" t="s">
        <v>47</v>
      </c>
      <c r="B53" s="10"/>
      <c r="C53" s="10"/>
      <c r="D53" s="10"/>
      <c r="E53" s="40">
        <f>G349</f>
        <v>35574.51</v>
      </c>
      <c r="F53" s="41">
        <f>G350</f>
        <v>0</v>
      </c>
      <c r="G53" s="41">
        <f>G351</f>
        <v>0</v>
      </c>
      <c r="H53" s="41">
        <f t="shared" si="1"/>
        <v>35574.51</v>
      </c>
      <c r="I53" s="40">
        <f>J347</f>
        <v>35574.51</v>
      </c>
      <c r="J53" s="41">
        <f>K347</f>
        <v>0</v>
      </c>
      <c r="K53" s="41">
        <f>L351</f>
        <v>0</v>
      </c>
      <c r="L53" s="41">
        <f t="shared" si="2"/>
        <v>35574.51</v>
      </c>
      <c r="M53" s="42">
        <f t="shared" si="3"/>
        <v>0</v>
      </c>
    </row>
    <row r="54" spans="1:13" x14ac:dyDescent="0.2">
      <c r="A54" s="102" t="s">
        <v>254</v>
      </c>
      <c r="B54" s="10"/>
      <c r="C54" s="10"/>
      <c r="D54" s="10"/>
      <c r="E54" s="40">
        <f>G360</f>
        <v>2120</v>
      </c>
      <c r="F54" s="41">
        <f>G361</f>
        <v>0</v>
      </c>
      <c r="G54" s="41">
        <f>G362</f>
        <v>0</v>
      </c>
      <c r="H54" s="41">
        <f t="shared" si="1"/>
        <v>2120</v>
      </c>
      <c r="I54" s="40">
        <f>J358</f>
        <v>1330.66</v>
      </c>
      <c r="J54" s="41">
        <f>K358</f>
        <v>212</v>
      </c>
      <c r="K54" s="41">
        <f>L362</f>
        <v>0</v>
      </c>
      <c r="L54" s="41">
        <f t="shared" si="2"/>
        <v>1542.66</v>
      </c>
      <c r="M54" s="42">
        <f t="shared" si="3"/>
        <v>577.33999999999992</v>
      </c>
    </row>
    <row r="55" spans="1:13" x14ac:dyDescent="0.2">
      <c r="A55" s="102" t="s">
        <v>26</v>
      </c>
      <c r="B55" s="10"/>
      <c r="C55" s="10"/>
      <c r="D55" s="10"/>
      <c r="E55" s="40">
        <f>G378</f>
        <v>49400</v>
      </c>
      <c r="F55" s="41">
        <f>G379</f>
        <v>41868</v>
      </c>
      <c r="G55" s="41">
        <f>G380</f>
        <v>0</v>
      </c>
      <c r="H55" s="41">
        <f t="shared" si="1"/>
        <v>91268</v>
      </c>
      <c r="I55" s="40">
        <f>J376</f>
        <v>45.099999999999994</v>
      </c>
      <c r="J55" s="41">
        <f>K376</f>
        <v>25465.32</v>
      </c>
      <c r="K55" s="41">
        <f>L380</f>
        <v>0</v>
      </c>
      <c r="L55" s="41">
        <f t="shared" si="2"/>
        <v>25510.42</v>
      </c>
      <c r="M55" s="42">
        <f t="shared" si="3"/>
        <v>65757.58</v>
      </c>
    </row>
    <row r="56" spans="1:13" x14ac:dyDescent="0.2">
      <c r="A56" s="102" t="s">
        <v>123</v>
      </c>
      <c r="B56" s="10"/>
      <c r="C56" s="10"/>
      <c r="D56" s="10"/>
      <c r="E56" s="40">
        <f>G409</f>
        <v>23781.95</v>
      </c>
      <c r="F56" s="41">
        <f>G410</f>
        <v>3664.31</v>
      </c>
      <c r="G56" s="41">
        <f>G411</f>
        <v>3660.8900000000003</v>
      </c>
      <c r="H56" s="41">
        <f t="shared" si="1"/>
        <v>23785.370000000003</v>
      </c>
      <c r="I56" s="40">
        <f>J407</f>
        <v>21818.23</v>
      </c>
      <c r="J56" s="41">
        <f>K407</f>
        <v>1741.9599999999998</v>
      </c>
      <c r="K56" s="41">
        <f>L411</f>
        <v>3660.8900000000003</v>
      </c>
      <c r="L56" s="41">
        <f t="shared" si="2"/>
        <v>19899.3</v>
      </c>
      <c r="M56" s="42">
        <f t="shared" si="3"/>
        <v>3886.0700000000033</v>
      </c>
    </row>
    <row r="57" spans="1:13" x14ac:dyDescent="0.2">
      <c r="A57" s="102" t="s">
        <v>124</v>
      </c>
      <c r="B57" s="10"/>
      <c r="C57" s="10"/>
      <c r="D57" s="10"/>
      <c r="E57" s="40">
        <f>G435</f>
        <v>17131.650000000001</v>
      </c>
      <c r="F57" s="41">
        <f>G436</f>
        <v>0</v>
      </c>
      <c r="G57" s="41">
        <f>G437</f>
        <v>0</v>
      </c>
      <c r="H57" s="41">
        <f t="shared" si="1"/>
        <v>17131.650000000001</v>
      </c>
      <c r="I57" s="40">
        <f>J433</f>
        <v>16223.970000000001</v>
      </c>
      <c r="J57" s="41">
        <f>K433</f>
        <v>773.42</v>
      </c>
      <c r="K57" s="41">
        <f>L437</f>
        <v>0</v>
      </c>
      <c r="L57" s="41">
        <f t="shared" si="2"/>
        <v>16997.39</v>
      </c>
      <c r="M57" s="42">
        <f t="shared" si="3"/>
        <v>134.26000000000204</v>
      </c>
    </row>
    <row r="58" spans="1:13" ht="12" customHeight="1" x14ac:dyDescent="0.2">
      <c r="A58" s="106" t="s">
        <v>14</v>
      </c>
      <c r="B58" s="10"/>
      <c r="C58" s="10"/>
      <c r="D58" s="46"/>
      <c r="E58" s="44">
        <f ca="1">SUM(E48:INDIRECT(ADDRESS(ROW()-1,COLUMN())))</f>
        <v>860887.1</v>
      </c>
      <c r="F58" s="47">
        <f ca="1">SUM(F48:INDIRECT(ADDRESS(ROW()-1,COLUMN())))</f>
        <v>45532.31</v>
      </c>
      <c r="G58" s="47">
        <f ca="1">SUM(G48:INDIRECT(ADDRESS(ROW()-1,COLUMN())))</f>
        <v>3660.8900000000003</v>
      </c>
      <c r="H58" s="47">
        <f ca="1">SUM(H48:INDIRECT(ADDRESS(ROW()-1,COLUMN())))</f>
        <v>902758.52</v>
      </c>
      <c r="I58" s="44">
        <f ca="1">SUM(I48:INDIRECT(ADDRESS(ROW()-1,COLUMN())))</f>
        <v>601215.57999999984</v>
      </c>
      <c r="J58" s="47">
        <f ca="1">SUM(J48:INDIRECT(ADDRESS(ROW()-1,COLUMN())))</f>
        <v>42651.369999999995</v>
      </c>
      <c r="K58" s="47">
        <f ca="1">SUM(K48:INDIRECT(ADDRESS(ROW()-1,COLUMN())))</f>
        <v>3660.8900000000003</v>
      </c>
      <c r="L58" s="47">
        <f ca="1">SUM(L48:INDIRECT(ADDRESS(ROW()-1,COLUMN())))</f>
        <v>640206.06000000006</v>
      </c>
      <c r="M58" s="48">
        <f ca="1">SUM(M48:INDIRECT(ADDRESS(ROW()-1,COLUMN())))</f>
        <v>262552.46000000008</v>
      </c>
    </row>
    <row r="59" spans="1:13" ht="12" customHeight="1" x14ac:dyDescent="0.2">
      <c r="A59" s="106"/>
      <c r="B59" s="10"/>
      <c r="C59" s="10"/>
      <c r="D59" s="46"/>
      <c r="E59" s="49"/>
      <c r="F59" s="50"/>
      <c r="G59" s="50"/>
      <c r="H59" s="50"/>
      <c r="I59" s="49"/>
      <c r="J59" s="50"/>
      <c r="K59" s="50"/>
      <c r="L59" s="50"/>
      <c r="M59" s="51"/>
    </row>
    <row r="60" spans="1:13" ht="12" customHeight="1" x14ac:dyDescent="0.2">
      <c r="A60" s="156" t="s">
        <v>41</v>
      </c>
      <c r="B60" s="10"/>
      <c r="C60" s="10"/>
      <c r="D60" s="10"/>
      <c r="E60" s="49"/>
      <c r="F60" s="50"/>
      <c r="G60" s="50"/>
      <c r="H60" s="50"/>
      <c r="I60" s="49"/>
      <c r="J60" s="50"/>
      <c r="K60" s="50"/>
      <c r="L60" s="50"/>
      <c r="M60" s="51"/>
    </row>
    <row r="61" spans="1:13" ht="12" customHeight="1" x14ac:dyDescent="0.2">
      <c r="A61" s="102" t="s">
        <v>264</v>
      </c>
      <c r="B61" s="10"/>
      <c r="C61" s="10"/>
      <c r="D61" s="10"/>
      <c r="E61" s="49"/>
      <c r="F61" s="50"/>
      <c r="G61" s="50"/>
      <c r="H61" s="50">
        <f>E61+F61-G61</f>
        <v>0</v>
      </c>
      <c r="I61" s="49"/>
      <c r="J61" s="50"/>
      <c r="K61" s="50"/>
      <c r="L61" s="50"/>
      <c r="M61" s="51">
        <f>H61-L61</f>
        <v>0</v>
      </c>
    </row>
    <row r="62" spans="1:13" ht="12" customHeight="1" x14ac:dyDescent="0.2">
      <c r="A62" s="106" t="s">
        <v>229</v>
      </c>
      <c r="B62" s="10"/>
      <c r="C62" s="10"/>
      <c r="D62" s="46"/>
      <c r="E62" s="49">
        <f>G448</f>
        <v>356</v>
      </c>
      <c r="F62" s="50">
        <f>G449</f>
        <v>0</v>
      </c>
      <c r="G62" s="50">
        <f>G450</f>
        <v>0</v>
      </c>
      <c r="H62" s="50">
        <f>E62+F62-G62</f>
        <v>356</v>
      </c>
      <c r="I62" s="49"/>
      <c r="J62" s="50"/>
      <c r="K62" s="50"/>
      <c r="L62" s="50"/>
      <c r="M62" s="51">
        <f>H62-L62</f>
        <v>356</v>
      </c>
    </row>
    <row r="63" spans="1:13" ht="12" customHeight="1" x14ac:dyDescent="0.2">
      <c r="A63" s="106" t="s">
        <v>14</v>
      </c>
      <c r="B63" s="10"/>
      <c r="C63" s="10"/>
      <c r="D63" s="46"/>
      <c r="E63" s="44">
        <f ca="1">SUM(E61:INDIRECT(ADDRESS(ROW()-1,COLUMN())))</f>
        <v>356</v>
      </c>
      <c r="F63" s="47">
        <f ca="1">SUM(F61:INDIRECT(ADDRESS(ROW()-1,COLUMN())))</f>
        <v>0</v>
      </c>
      <c r="G63" s="47">
        <f ca="1">SUM(G61:INDIRECT(ADDRESS(ROW()-1,COLUMN())))</f>
        <v>0</v>
      </c>
      <c r="H63" s="52">
        <f ca="1">SUM(H61:INDIRECT(ADDRESS(ROW()-1,COLUMN())))</f>
        <v>356</v>
      </c>
      <c r="I63" s="44">
        <f ca="1">SUM(I61:INDIRECT(ADDRESS(ROW()-1,COLUMN())))</f>
        <v>0</v>
      </c>
      <c r="J63" s="47">
        <f ca="1">SUM(J61:INDIRECT(ADDRESS(ROW()-1,COLUMN())))</f>
        <v>0</v>
      </c>
      <c r="K63" s="47">
        <f ca="1">SUM(K61:INDIRECT(ADDRESS(ROW()-1,COLUMN())))</f>
        <v>0</v>
      </c>
      <c r="L63" s="47">
        <f ca="1">SUM(L61:INDIRECT(ADDRESS(ROW()-1,COLUMN())))</f>
        <v>0</v>
      </c>
      <c r="M63" s="48">
        <f ca="1">SUM(M61:INDIRECT(ADDRESS(ROW()-1,COLUMN())))</f>
        <v>356</v>
      </c>
    </row>
    <row r="64" spans="1:13" ht="12" customHeight="1" x14ac:dyDescent="0.2">
      <c r="A64" s="107"/>
      <c r="B64" s="18"/>
      <c r="C64" s="18"/>
      <c r="D64" s="53"/>
      <c r="E64" s="54"/>
      <c r="F64" s="54"/>
      <c r="G64" s="41"/>
      <c r="H64" s="55"/>
      <c r="I64" s="56"/>
      <c r="J64" s="41"/>
      <c r="K64" s="41"/>
      <c r="L64" s="57"/>
      <c r="M64" s="57"/>
    </row>
    <row r="65" spans="1:14" s="58" customFormat="1" ht="20.100000000000001" customHeight="1" x14ac:dyDescent="0.2">
      <c r="A65" s="108" t="s">
        <v>42</v>
      </c>
      <c r="B65" s="46"/>
      <c r="C65" s="46"/>
      <c r="D65" s="46"/>
      <c r="E65" s="49">
        <f t="shared" ref="E65:M65" ca="1" si="4">E45+E58+E63</f>
        <v>885765.27</v>
      </c>
      <c r="F65" s="50">
        <f t="shared" ca="1" si="4"/>
        <v>48806.31</v>
      </c>
      <c r="G65" s="50">
        <f t="shared" ca="1" si="4"/>
        <v>8357.9700000000012</v>
      </c>
      <c r="H65" s="50">
        <f t="shared" ca="1" si="4"/>
        <v>926213.61</v>
      </c>
      <c r="I65" s="49">
        <f t="shared" ca="1" si="4"/>
        <v>625027.95999999985</v>
      </c>
      <c r="J65" s="50">
        <f t="shared" ca="1" si="4"/>
        <v>43351.939999999995</v>
      </c>
      <c r="K65" s="50">
        <f t="shared" ca="1" si="4"/>
        <v>8357.9700000000012</v>
      </c>
      <c r="L65" s="50">
        <f t="shared" ca="1" si="4"/>
        <v>660021.93000000005</v>
      </c>
      <c r="M65" s="51">
        <f t="shared" ca="1" si="4"/>
        <v>266191.68000000005</v>
      </c>
    </row>
    <row r="66" spans="1:14" ht="12" customHeight="1" x14ac:dyDescent="0.2">
      <c r="A66" s="109"/>
      <c r="B66" s="37"/>
      <c r="C66" s="37"/>
      <c r="D66" s="60"/>
      <c r="E66" s="61"/>
      <c r="F66" s="62"/>
      <c r="G66" s="62"/>
      <c r="H66" s="62"/>
      <c r="I66" s="61"/>
      <c r="J66" s="62"/>
      <c r="K66" s="62"/>
      <c r="L66" s="62"/>
      <c r="M66" s="63"/>
    </row>
    <row r="67" spans="1:14" ht="12" customHeight="1" x14ac:dyDescent="0.2">
      <c r="A67" s="110"/>
      <c r="B67" s="10"/>
      <c r="C67" s="10"/>
      <c r="D67" s="46"/>
      <c r="E67" s="50"/>
      <c r="F67" s="50"/>
      <c r="G67" s="50"/>
      <c r="H67" s="50"/>
      <c r="I67" s="50"/>
      <c r="J67" s="50"/>
      <c r="K67" s="50"/>
      <c r="L67" s="50"/>
      <c r="M67" s="50"/>
    </row>
    <row r="68" spans="1:14" ht="12" customHeight="1" x14ac:dyDescent="0.2">
      <c r="B68" s="154" t="str">
        <f>G4 &amp; "   -   Ventilation des Dotations aux amortissements de l'exercice " &amp; TEXT(G6,"aaaa") &amp; "/" &amp;TEXT(I6,"aaaa")</f>
        <v>Société Test   -   Ventilation des Dotations aux amortissements de l'exercice 2011/2012</v>
      </c>
      <c r="C68" s="46"/>
      <c r="D68" s="46"/>
      <c r="E68" s="67"/>
      <c r="F68" s="67"/>
      <c r="G68" s="67"/>
      <c r="H68" s="67"/>
      <c r="I68" s="67"/>
      <c r="J68" s="67"/>
      <c r="K68" s="67"/>
      <c r="L68" s="67"/>
      <c r="M68" s="67"/>
    </row>
    <row r="69" spans="1:14" ht="12" customHeight="1" x14ac:dyDescent="0.2">
      <c r="A69" s="110"/>
      <c r="B69" s="10"/>
      <c r="C69" s="10"/>
      <c r="D69" s="46"/>
      <c r="E69" s="50"/>
      <c r="F69" s="50"/>
      <c r="G69" s="50"/>
      <c r="H69" s="50"/>
      <c r="I69" s="50"/>
      <c r="J69" s="50"/>
      <c r="K69" s="50"/>
      <c r="L69" s="50"/>
      <c r="M69" s="50"/>
    </row>
    <row r="70" spans="1:14" ht="12" customHeight="1" x14ac:dyDescent="0.2">
      <c r="A70" s="110"/>
      <c r="B70" s="10"/>
      <c r="C70" s="10"/>
      <c r="D70" s="46"/>
      <c r="E70" s="50"/>
      <c r="F70" s="50"/>
      <c r="G70" s="50"/>
      <c r="H70" s="50"/>
      <c r="I70" s="50"/>
      <c r="J70" s="50"/>
      <c r="K70" s="50"/>
      <c r="L70" s="50"/>
      <c r="M70" s="50"/>
    </row>
    <row r="71" spans="1:14" ht="12" customHeight="1" x14ac:dyDescent="0.2">
      <c r="A71" s="110"/>
      <c r="B71" s="10"/>
      <c r="C71" s="10"/>
      <c r="D71" s="46"/>
      <c r="E71" s="50"/>
      <c r="F71" s="50"/>
      <c r="G71" s="50"/>
      <c r="H71" s="50"/>
      <c r="I71" s="50"/>
      <c r="J71" s="50"/>
      <c r="K71" s="50"/>
      <c r="L71" s="50"/>
      <c r="M71" s="50"/>
    </row>
    <row r="72" spans="1:14" ht="12" customHeight="1" x14ac:dyDescent="0.2">
      <c r="D72" s="64"/>
      <c r="E72" s="32"/>
      <c r="F72" s="32"/>
      <c r="G72" s="65"/>
      <c r="H72" s="44"/>
      <c r="I72" s="47"/>
      <c r="J72" s="52"/>
      <c r="L72" s="50"/>
      <c r="M72" s="50"/>
      <c r="N72" s="50"/>
    </row>
    <row r="73" spans="1:14" ht="12" customHeight="1" x14ac:dyDescent="0.2">
      <c r="D73" s="43"/>
      <c r="E73" s="10"/>
      <c r="F73" s="10"/>
      <c r="G73" s="46"/>
      <c r="H73" s="66" t="s">
        <v>130</v>
      </c>
      <c r="I73" s="67"/>
      <c r="J73" s="68"/>
    </row>
    <row r="74" spans="1:14" ht="12" customHeight="1" x14ac:dyDescent="0.2">
      <c r="D74" s="43"/>
      <c r="E74" s="10"/>
      <c r="F74" s="10"/>
      <c r="G74" s="69" t="s">
        <v>164</v>
      </c>
      <c r="H74" s="36" t="s">
        <v>126</v>
      </c>
      <c r="I74" s="70" t="s">
        <v>127</v>
      </c>
      <c r="J74" s="71" t="s">
        <v>128</v>
      </c>
    </row>
    <row r="75" spans="1:14" ht="12" customHeight="1" x14ac:dyDescent="0.2">
      <c r="D75" s="43"/>
      <c r="E75" s="10"/>
      <c r="F75" s="10"/>
      <c r="G75" s="46"/>
      <c r="H75" s="72"/>
      <c r="I75" s="73"/>
      <c r="J75" s="74"/>
    </row>
    <row r="76" spans="1:14" ht="12" customHeight="1" x14ac:dyDescent="0.2">
      <c r="D76" s="43"/>
      <c r="E76" s="10"/>
      <c r="F76" s="10"/>
      <c r="G76" s="46"/>
      <c r="H76" s="36"/>
      <c r="I76" s="70"/>
      <c r="J76" s="71"/>
    </row>
    <row r="77" spans="1:14" x14ac:dyDescent="0.2">
      <c r="D77" s="236" t="s">
        <v>40</v>
      </c>
      <c r="E77" s="10"/>
      <c r="F77" s="10"/>
      <c r="G77" s="10"/>
      <c r="H77" s="12"/>
      <c r="I77" s="13"/>
      <c r="J77" s="14"/>
    </row>
    <row r="78" spans="1:14" x14ac:dyDescent="0.2">
      <c r="D78" s="34" t="s">
        <v>46</v>
      </c>
      <c r="E78" s="10"/>
      <c r="F78" s="10"/>
      <c r="G78" s="18">
        <v>280500</v>
      </c>
      <c r="H78" s="40">
        <f>I78+J78</f>
        <v>700.56999999999994</v>
      </c>
      <c r="I78" s="41">
        <f>SUMIF($H157:$H179,"L",K$157:K$179)</f>
        <v>700.56999999999994</v>
      </c>
      <c r="J78" s="57">
        <f>SUMIF($H157:$H179,"D",K$157:K$179)</f>
        <v>0</v>
      </c>
    </row>
    <row r="79" spans="1:14" x14ac:dyDescent="0.2">
      <c r="D79" s="43" t="s">
        <v>14</v>
      </c>
      <c r="E79" s="10"/>
      <c r="F79" s="10"/>
      <c r="G79" s="18">
        <v>681110</v>
      </c>
      <c r="H79" s="44">
        <f>SUM(H78:H78)</f>
        <v>700.56999999999994</v>
      </c>
      <c r="I79" s="4">
        <f>SUM(I78:I78)</f>
        <v>700.56999999999994</v>
      </c>
      <c r="J79" s="7">
        <f>SUM(J78:J78)</f>
        <v>0</v>
      </c>
    </row>
    <row r="80" spans="1:14" x14ac:dyDescent="0.2">
      <c r="D80" s="34"/>
      <c r="E80" s="10"/>
      <c r="F80" s="10"/>
      <c r="G80" s="10"/>
      <c r="H80" s="40"/>
      <c r="I80" s="41"/>
      <c r="J80" s="57"/>
    </row>
    <row r="81" spans="1:14" x14ac:dyDescent="0.2">
      <c r="D81" s="236" t="s">
        <v>48</v>
      </c>
      <c r="E81" s="10"/>
      <c r="F81" s="10"/>
      <c r="G81" s="10"/>
      <c r="H81" s="40"/>
      <c r="I81" s="41"/>
      <c r="J81" s="57"/>
    </row>
    <row r="82" spans="1:14" x14ac:dyDescent="0.2">
      <c r="D82" s="27" t="s">
        <v>212</v>
      </c>
      <c r="E82" s="10"/>
      <c r="F82" s="10"/>
      <c r="G82" s="10">
        <v>281200</v>
      </c>
      <c r="H82" s="40">
        <f t="shared" ref="H82:H90" si="5">I82+J82</f>
        <v>1292.5899999999999</v>
      </c>
      <c r="I82" s="41">
        <f>SUMIF($H200:$H206,"L",K$200:K$206)</f>
        <v>1292.5899999999999</v>
      </c>
      <c r="J82" s="57">
        <f>SUMIF($H200:$H206,"D",K$200:K$206)</f>
        <v>0</v>
      </c>
    </row>
    <row r="83" spans="1:14" x14ac:dyDescent="0.2">
      <c r="D83" s="34" t="s">
        <v>172</v>
      </c>
      <c r="E83" s="10"/>
      <c r="F83" s="10"/>
      <c r="G83" s="18">
        <v>281310</v>
      </c>
      <c r="H83" s="40">
        <f t="shared" si="5"/>
        <v>9954.17</v>
      </c>
      <c r="I83" s="41">
        <f>SUMIF($H217:$H218,"L",K$217:K$218)</f>
        <v>9954.17</v>
      </c>
      <c r="J83" s="57">
        <f>SUMIF($H217:$H218,"D",K$217:K$218)</f>
        <v>0</v>
      </c>
    </row>
    <row r="84" spans="1:14" x14ac:dyDescent="0.2">
      <c r="D84" s="34" t="s">
        <v>234</v>
      </c>
      <c r="E84" s="10"/>
      <c r="F84" s="10"/>
      <c r="G84" s="18">
        <v>281350</v>
      </c>
      <c r="H84" s="40">
        <f t="shared" si="5"/>
        <v>138.55000000000001</v>
      </c>
      <c r="I84" s="41">
        <f>SUMIF($H228:$H232,"L",K$228:K$232)</f>
        <v>138.55000000000001</v>
      </c>
      <c r="J84" s="57">
        <f>SUMIF($H228:$H232,"D",K$228:K$232)</f>
        <v>0</v>
      </c>
    </row>
    <row r="85" spans="1:14" x14ac:dyDescent="0.2">
      <c r="D85" s="34" t="s">
        <v>105</v>
      </c>
      <c r="E85" s="10"/>
      <c r="F85" s="10"/>
      <c r="G85" s="18">
        <v>281540</v>
      </c>
      <c r="H85" s="40">
        <f t="shared" si="5"/>
        <v>3073.36</v>
      </c>
      <c r="I85" s="41">
        <f>SUMIF($H242:$H317,"L",K$242:K$317)</f>
        <v>2787.69</v>
      </c>
      <c r="J85" s="57">
        <f>SUMIF($H242:$H317,"D",K$242:K$317)</f>
        <v>285.67</v>
      </c>
    </row>
    <row r="86" spans="1:14" x14ac:dyDescent="0.2">
      <c r="D86" s="34" t="s">
        <v>47</v>
      </c>
      <c r="E86" s="10"/>
      <c r="F86" s="10"/>
      <c r="G86" s="18">
        <v>281541</v>
      </c>
      <c r="H86" s="40">
        <f t="shared" si="5"/>
        <v>0</v>
      </c>
      <c r="I86" s="41">
        <f>SUMIF($H327:$H346,"L",K$327:K$346)</f>
        <v>0</v>
      </c>
      <c r="J86" s="57">
        <f>SUMIF($H327:$H346,"D",K$327:K$346)</f>
        <v>0</v>
      </c>
    </row>
    <row r="87" spans="1:14" x14ac:dyDescent="0.2">
      <c r="D87" s="34" t="s">
        <v>254</v>
      </c>
      <c r="E87" s="10"/>
      <c r="F87" s="10"/>
      <c r="G87" s="18">
        <v>281810</v>
      </c>
      <c r="H87" s="40">
        <f t="shared" si="5"/>
        <v>212</v>
      </c>
      <c r="I87" s="41">
        <f>SUMIF($H356:$H357,"L",K$356:K$357)</f>
        <v>212</v>
      </c>
      <c r="J87" s="57">
        <f>SUMIF($H356:$H357,"D",K$356:K$357)</f>
        <v>0</v>
      </c>
    </row>
    <row r="88" spans="1:14" x14ac:dyDescent="0.2">
      <c r="D88" s="34" t="s">
        <v>26</v>
      </c>
      <c r="E88" s="10"/>
      <c r="F88" s="10"/>
      <c r="G88" s="18">
        <v>281820</v>
      </c>
      <c r="H88" s="40">
        <f>I88+J88</f>
        <v>25465.32</v>
      </c>
      <c r="I88" s="41">
        <f>SUMIF($H367:$H375,"L",K$367:K$375)</f>
        <v>25465.32</v>
      </c>
      <c r="J88" s="57">
        <f>SUMIF($H367:$H375,"D",K$367:K$375)</f>
        <v>0</v>
      </c>
    </row>
    <row r="89" spans="1:14" x14ac:dyDescent="0.2">
      <c r="D89" s="34" t="s">
        <v>123</v>
      </c>
      <c r="E89" s="10"/>
      <c r="F89" s="10"/>
      <c r="G89" s="18">
        <v>281830</v>
      </c>
      <c r="H89" s="40">
        <f t="shared" si="5"/>
        <v>1741.9600000000003</v>
      </c>
      <c r="I89" s="41">
        <f>SUMIF($H385:$H406,"L",K$385:K$406)</f>
        <v>22.4</v>
      </c>
      <c r="J89" s="57">
        <f>SUMIF($H385:$H406,"D",K$385:K$406)</f>
        <v>1719.5600000000002</v>
      </c>
    </row>
    <row r="90" spans="1:14" x14ac:dyDescent="0.2">
      <c r="D90" s="34" t="s">
        <v>124</v>
      </c>
      <c r="E90" s="10"/>
      <c r="F90" s="10"/>
      <c r="G90" s="18">
        <v>281840</v>
      </c>
      <c r="H90" s="40">
        <f t="shared" si="5"/>
        <v>773.42</v>
      </c>
      <c r="I90" s="41">
        <f>SUMIF($H416:$H432,"L",K$416:K$432)</f>
        <v>773.42</v>
      </c>
      <c r="J90" s="57">
        <f>SUMIF($H416:$H432,"D",K$416:K$432)</f>
        <v>0</v>
      </c>
    </row>
    <row r="91" spans="1:14" ht="12" customHeight="1" x14ac:dyDescent="0.2">
      <c r="D91" s="43" t="s">
        <v>14</v>
      </c>
      <c r="E91" s="10"/>
      <c r="F91" s="10"/>
      <c r="G91" s="69">
        <v>681120</v>
      </c>
      <c r="H91" s="44">
        <f>SUM(H82:H90)</f>
        <v>42651.369999999995</v>
      </c>
      <c r="I91" s="47">
        <f>SUM(I82:I90)</f>
        <v>40646.14</v>
      </c>
      <c r="J91" s="52">
        <f>SUM(J82:J90)</f>
        <v>2005.2300000000002</v>
      </c>
    </row>
    <row r="92" spans="1:14" ht="12" customHeight="1" x14ac:dyDescent="0.2">
      <c r="D92" s="43"/>
      <c r="E92" s="10"/>
      <c r="F92" s="10"/>
      <c r="G92" s="46"/>
      <c r="H92" s="49"/>
      <c r="I92" s="50"/>
      <c r="J92" s="75"/>
      <c r="L92" s="50"/>
      <c r="M92" s="50"/>
      <c r="N92" s="50"/>
    </row>
    <row r="93" spans="1:14" ht="12" customHeight="1" x14ac:dyDescent="0.2">
      <c r="D93" s="237" t="s">
        <v>129</v>
      </c>
      <c r="E93" s="10"/>
      <c r="F93" s="10"/>
      <c r="G93" s="46"/>
      <c r="H93" s="49">
        <f>H79+H91</f>
        <v>43351.939999999995</v>
      </c>
      <c r="I93" s="50">
        <f>I79+I91</f>
        <v>41346.71</v>
      </c>
      <c r="J93" s="75">
        <f>J79+J91</f>
        <v>2005.2300000000002</v>
      </c>
      <c r="L93" s="50"/>
      <c r="M93" s="50"/>
      <c r="N93" s="50"/>
    </row>
    <row r="94" spans="1:14" ht="12" customHeight="1" x14ac:dyDescent="0.2">
      <c r="D94" s="59"/>
      <c r="E94" s="37"/>
      <c r="F94" s="37"/>
      <c r="G94" s="60"/>
      <c r="H94" s="61"/>
      <c r="I94" s="62"/>
      <c r="J94" s="76"/>
      <c r="L94" s="50"/>
      <c r="M94" s="50"/>
      <c r="N94" s="50"/>
    </row>
    <row r="95" spans="1:14" ht="12" customHeight="1" x14ac:dyDescent="0.2">
      <c r="A95" s="110"/>
      <c r="B95" s="10"/>
      <c r="C95" s="10"/>
      <c r="D95" s="46"/>
      <c r="E95" s="50"/>
      <c r="F95" s="50"/>
      <c r="G95" s="50"/>
      <c r="H95" s="50"/>
      <c r="I95" s="50"/>
      <c r="J95" s="50"/>
      <c r="K95" s="50"/>
      <c r="L95" s="50"/>
      <c r="M95" s="50"/>
    </row>
    <row r="96" spans="1:14" ht="12" customHeight="1" x14ac:dyDescent="0.2">
      <c r="A96" s="110"/>
      <c r="B96" s="10"/>
      <c r="C96" s="10"/>
      <c r="D96" s="46"/>
      <c r="I96" s="50"/>
      <c r="J96" s="50"/>
      <c r="K96" s="50"/>
      <c r="L96" s="50"/>
      <c r="M96" s="50"/>
    </row>
    <row r="97" spans="1:14" ht="12" customHeight="1" x14ac:dyDescent="0.2">
      <c r="A97" s="110"/>
      <c r="I97" s="50"/>
      <c r="J97" s="50"/>
      <c r="K97" s="50"/>
      <c r="L97" s="50"/>
      <c r="M97" s="50"/>
    </row>
    <row r="98" spans="1:14" ht="12" customHeight="1" x14ac:dyDescent="0.2">
      <c r="A98" s="110"/>
      <c r="E98" s="124" t="s">
        <v>277</v>
      </c>
      <c r="F98" s="32"/>
      <c r="G98" s="32"/>
      <c r="H98" s="32"/>
      <c r="I98" s="125"/>
      <c r="J98" s="50"/>
      <c r="K98" s="50"/>
      <c r="L98" s="50"/>
      <c r="M98" s="50"/>
      <c r="N98" s="50"/>
    </row>
    <row r="99" spans="1:14" ht="12" customHeight="1" x14ac:dyDescent="0.2">
      <c r="A99" s="110"/>
      <c r="E99" s="231" t="s">
        <v>271</v>
      </c>
      <c r="F99" s="232"/>
      <c r="G99" s="18" t="s">
        <v>269</v>
      </c>
      <c r="H99" s="18"/>
      <c r="I99" s="75">
        <f>SUMIF($C$155:$C$452,G99,$K$155:$K$452)</f>
        <v>25992.09</v>
      </c>
      <c r="J99" s="50"/>
      <c r="K99" s="50"/>
      <c r="L99" s="50"/>
      <c r="M99" s="50"/>
      <c r="N99" s="50"/>
    </row>
    <row r="100" spans="1:14" ht="12" customHeight="1" x14ac:dyDescent="0.2">
      <c r="A100" s="110"/>
      <c r="E100" s="231" t="s">
        <v>272</v>
      </c>
      <c r="F100" s="232"/>
      <c r="G100" s="18" t="s">
        <v>8</v>
      </c>
      <c r="H100" s="18"/>
      <c r="I100" s="75">
        <f>SUMIF($C$155:$C$452,G100,$K$155:$K$452)</f>
        <v>3073.36</v>
      </c>
      <c r="J100" s="50"/>
      <c r="K100" s="50"/>
      <c r="L100" s="50"/>
      <c r="M100" s="50"/>
      <c r="N100" s="50"/>
    </row>
    <row r="101" spans="1:14" ht="12" customHeight="1" x14ac:dyDescent="0.2">
      <c r="A101" s="110"/>
      <c r="B101" s="10"/>
      <c r="C101" s="10"/>
      <c r="D101" s="46"/>
      <c r="E101" s="231" t="s">
        <v>273</v>
      </c>
      <c r="F101" s="232"/>
      <c r="G101" s="18" t="s">
        <v>265</v>
      </c>
      <c r="H101" s="18"/>
      <c r="I101" s="75">
        <f>SUMIF($C$155:$C$452,G101,$K$155:$K$452)</f>
        <v>14286.490000000002</v>
      </c>
      <c r="J101" s="50"/>
      <c r="K101" s="50"/>
      <c r="L101" s="50"/>
      <c r="M101" s="50"/>
      <c r="N101" s="50"/>
    </row>
    <row r="102" spans="1:14" ht="12" customHeight="1" x14ac:dyDescent="0.2">
      <c r="A102" s="110"/>
      <c r="B102" s="10"/>
      <c r="C102" s="10"/>
      <c r="D102" s="46"/>
      <c r="E102" s="59" t="s">
        <v>139</v>
      </c>
      <c r="F102" s="229"/>
      <c r="G102" s="21"/>
      <c r="H102" s="21"/>
      <c r="I102" s="230">
        <f>SUM(I99:I101)</f>
        <v>43351.94</v>
      </c>
      <c r="J102" s="50"/>
      <c r="K102" s="50"/>
      <c r="L102" s="50"/>
      <c r="M102" s="50"/>
      <c r="N102" s="50"/>
    </row>
    <row r="103" spans="1:14" ht="12" customHeight="1" x14ac:dyDescent="0.2">
      <c r="A103" s="110"/>
      <c r="B103" s="10"/>
      <c r="C103" s="10"/>
      <c r="D103" s="46"/>
      <c r="E103" s="46"/>
      <c r="F103" s="67"/>
      <c r="G103" s="13"/>
      <c r="H103" s="196"/>
      <c r="I103" s="50"/>
      <c r="J103" s="50"/>
      <c r="K103" s="50"/>
      <c r="L103" s="50"/>
      <c r="M103" s="50"/>
    </row>
    <row r="104" spans="1:14" ht="12" customHeight="1" x14ac:dyDescent="0.2">
      <c r="A104" s="110"/>
      <c r="B104" s="10"/>
      <c r="C104" s="10"/>
      <c r="D104" s="46"/>
      <c r="E104" s="46"/>
      <c r="F104" s="67"/>
      <c r="G104" s="13"/>
      <c r="H104" s="196"/>
      <c r="I104" s="50"/>
      <c r="J104" s="50"/>
      <c r="K104" s="50"/>
      <c r="L104" s="50"/>
      <c r="M104" s="50"/>
    </row>
    <row r="105" spans="1:14" ht="12" customHeight="1" x14ac:dyDescent="0.2">
      <c r="A105" s="110"/>
      <c r="B105" s="234">
        <f>IF(I102&lt;&gt;H93,"Attention !!! Certaines acquisitions n'ont pas été affectées dans les sections analytiques",)</f>
        <v>0</v>
      </c>
      <c r="C105" s="10"/>
      <c r="D105" s="46"/>
      <c r="E105" s="46"/>
      <c r="F105" s="67"/>
      <c r="G105" s="10"/>
      <c r="H105" s="235"/>
      <c r="I105" s="67"/>
      <c r="J105" s="67"/>
      <c r="K105" s="67"/>
      <c r="L105" s="67"/>
      <c r="M105" s="67"/>
    </row>
    <row r="106" spans="1:14" ht="12" customHeight="1" x14ac:dyDescent="0.2">
      <c r="A106" s="110"/>
      <c r="B106" s="10"/>
      <c r="C106" s="10"/>
      <c r="D106" s="46"/>
      <c r="E106" s="46"/>
      <c r="F106" s="67"/>
      <c r="G106" s="13"/>
      <c r="H106" s="196"/>
      <c r="I106" s="50"/>
      <c r="J106" s="50"/>
      <c r="K106" s="50"/>
      <c r="L106" s="50"/>
      <c r="M106" s="50"/>
    </row>
    <row r="107" spans="1:14" ht="12" customHeight="1" x14ac:dyDescent="0.2">
      <c r="A107" s="110"/>
      <c r="B107" s="10"/>
      <c r="C107" s="10"/>
      <c r="D107" s="46"/>
      <c r="E107" s="50"/>
      <c r="F107" s="50"/>
      <c r="G107" s="50"/>
      <c r="H107" s="50"/>
      <c r="I107" s="50"/>
      <c r="J107" s="50"/>
      <c r="K107" s="50"/>
      <c r="L107" s="50"/>
      <c r="M107" s="50"/>
    </row>
    <row r="108" spans="1:14" ht="12" customHeight="1" x14ac:dyDescent="0.2">
      <c r="A108" s="110"/>
      <c r="B108" s="10"/>
      <c r="C108" s="10"/>
      <c r="D108" s="46"/>
      <c r="E108" s="50"/>
      <c r="F108" s="50"/>
      <c r="G108" s="50"/>
      <c r="H108" s="50"/>
      <c r="I108" s="50"/>
      <c r="J108" s="50"/>
      <c r="K108" s="50"/>
      <c r="L108" s="50"/>
      <c r="M108" s="50"/>
    </row>
    <row r="109" spans="1:14" ht="12" customHeight="1" x14ac:dyDescent="0.2">
      <c r="A109" s="233" t="str">
        <f>G4 &amp; "   -   Exercice " &amp; TEXT(G6,"aaaa") &amp; "/" &amp;TEXT(I6,"aaaa") &amp; "   -   Dotations prévisionnelles sur 10 ans"</f>
        <v>Société Test   -   Exercice 2011/2012   -   Dotations prévisionnelles sur 10 ans</v>
      </c>
      <c r="B109" s="10"/>
      <c r="C109" s="10"/>
      <c r="D109" s="46"/>
      <c r="E109" s="67"/>
      <c r="F109" s="67"/>
      <c r="G109" s="67"/>
      <c r="H109" s="67"/>
      <c r="I109" s="67"/>
      <c r="J109" s="67"/>
      <c r="K109" s="67"/>
      <c r="L109" s="67"/>
      <c r="M109" s="67"/>
    </row>
    <row r="110" spans="1:14" ht="12" customHeight="1" x14ac:dyDescent="0.2">
      <c r="A110" s="110"/>
      <c r="B110" s="10"/>
      <c r="C110" s="10"/>
      <c r="D110" s="46"/>
      <c r="E110" s="50"/>
      <c r="F110" s="50"/>
      <c r="G110" s="50"/>
      <c r="H110" s="50"/>
      <c r="I110" s="50"/>
      <c r="J110" s="50"/>
      <c r="K110" s="50"/>
      <c r="L110" s="50"/>
      <c r="M110" s="50"/>
    </row>
    <row r="111" spans="1:14" ht="12" customHeight="1" x14ac:dyDescent="0.2">
      <c r="A111" s="110"/>
      <c r="B111" s="10"/>
      <c r="C111" s="10"/>
      <c r="D111" s="46"/>
      <c r="E111" s="50"/>
      <c r="F111" s="50"/>
      <c r="G111" s="50"/>
      <c r="H111" s="50"/>
      <c r="I111" s="50"/>
      <c r="J111" s="50"/>
      <c r="K111" s="50"/>
      <c r="L111" s="50"/>
      <c r="M111" s="50"/>
    </row>
    <row r="112" spans="1:14" ht="12" customHeight="1" x14ac:dyDescent="0.2">
      <c r="A112" s="110"/>
      <c r="B112" s="10"/>
      <c r="C112" s="10"/>
      <c r="D112" s="46"/>
      <c r="E112" s="50"/>
      <c r="F112" s="50"/>
      <c r="G112" s="50"/>
      <c r="H112" s="50"/>
      <c r="I112" s="50"/>
      <c r="J112" s="50"/>
      <c r="K112" s="50"/>
      <c r="L112" s="50"/>
      <c r="M112" s="50"/>
    </row>
    <row r="113" spans="1:13" ht="12" customHeight="1" x14ac:dyDescent="0.2">
      <c r="A113" s="110"/>
      <c r="B113" s="10"/>
      <c r="C113" s="10"/>
      <c r="D113" s="46"/>
      <c r="E113" s="50"/>
      <c r="F113" s="50"/>
      <c r="G113" s="50"/>
      <c r="H113" s="50"/>
      <c r="I113" s="50"/>
      <c r="J113" s="50"/>
      <c r="K113" s="50"/>
      <c r="L113" s="50"/>
      <c r="M113" s="50"/>
    </row>
    <row r="114" spans="1:13" ht="12" customHeight="1" x14ac:dyDescent="0.2">
      <c r="A114" s="124"/>
      <c r="B114" s="65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52"/>
    </row>
    <row r="115" spans="1:13" ht="12" customHeight="1" x14ac:dyDescent="0.2">
      <c r="A115" s="106"/>
      <c r="B115" s="10"/>
      <c r="C115" s="13"/>
      <c r="D115" s="197">
        <f>I6+1</f>
        <v>41091</v>
      </c>
      <c r="E115" s="197">
        <f t="shared" ref="E115:M115" si="6">D117+1</f>
        <v>41456</v>
      </c>
      <c r="F115" s="197">
        <f t="shared" si="6"/>
        <v>41821</v>
      </c>
      <c r="G115" s="197">
        <f t="shared" si="6"/>
        <v>42186</v>
      </c>
      <c r="H115" s="197">
        <f t="shared" si="6"/>
        <v>42552</v>
      </c>
      <c r="I115" s="197">
        <f t="shared" si="6"/>
        <v>42917</v>
      </c>
      <c r="J115" s="197">
        <f t="shared" si="6"/>
        <v>43282</v>
      </c>
      <c r="K115" s="197">
        <f t="shared" si="6"/>
        <v>43647</v>
      </c>
      <c r="L115" s="197">
        <f t="shared" si="6"/>
        <v>44013</v>
      </c>
      <c r="M115" s="198">
        <f t="shared" si="6"/>
        <v>44378</v>
      </c>
    </row>
    <row r="116" spans="1:13" ht="12" customHeight="1" x14ac:dyDescent="0.2">
      <c r="A116" s="106"/>
      <c r="B116" s="10"/>
      <c r="C116" s="13"/>
      <c r="D116" s="18" t="s">
        <v>11</v>
      </c>
      <c r="E116" s="18" t="s">
        <v>11</v>
      </c>
      <c r="F116" s="18" t="s">
        <v>11</v>
      </c>
      <c r="G116" s="18" t="s">
        <v>11</v>
      </c>
      <c r="H116" s="18" t="s">
        <v>11</v>
      </c>
      <c r="I116" s="18" t="s">
        <v>11</v>
      </c>
      <c r="J116" s="18" t="s">
        <v>11</v>
      </c>
      <c r="K116" s="18" t="s">
        <v>11</v>
      </c>
      <c r="L116" s="18" t="s">
        <v>11</v>
      </c>
      <c r="M116" s="55" t="s">
        <v>11</v>
      </c>
    </row>
    <row r="117" spans="1:13" ht="12" customHeight="1" x14ac:dyDescent="0.2">
      <c r="A117" s="106"/>
      <c r="B117" s="10"/>
      <c r="C117" s="13"/>
      <c r="D117" s="197">
        <f t="shared" ref="D117:M117" si="7">EOMONTH(D115,11)</f>
        <v>41455</v>
      </c>
      <c r="E117" s="197">
        <f t="shared" si="7"/>
        <v>41820</v>
      </c>
      <c r="F117" s="197">
        <f t="shared" si="7"/>
        <v>42185</v>
      </c>
      <c r="G117" s="197">
        <f t="shared" si="7"/>
        <v>42551</v>
      </c>
      <c r="H117" s="197">
        <f t="shared" si="7"/>
        <v>42916</v>
      </c>
      <c r="I117" s="197">
        <f t="shared" si="7"/>
        <v>43281</v>
      </c>
      <c r="J117" s="197">
        <f t="shared" si="7"/>
        <v>43646</v>
      </c>
      <c r="K117" s="197">
        <f t="shared" si="7"/>
        <v>44012</v>
      </c>
      <c r="L117" s="197">
        <f t="shared" si="7"/>
        <v>44377</v>
      </c>
      <c r="M117" s="198">
        <f t="shared" si="7"/>
        <v>44742</v>
      </c>
    </row>
    <row r="118" spans="1:13" ht="12" customHeight="1" x14ac:dyDescent="0.2">
      <c r="A118" s="106"/>
      <c r="B118" s="10"/>
      <c r="C118" s="13"/>
      <c r="D118" s="50"/>
      <c r="E118" s="50"/>
      <c r="F118" s="50"/>
      <c r="G118" s="50"/>
      <c r="H118" s="50"/>
      <c r="I118" s="50"/>
      <c r="J118" s="50"/>
      <c r="K118" s="50"/>
      <c r="L118" s="50"/>
      <c r="M118" s="75"/>
    </row>
    <row r="119" spans="1:13" ht="12" customHeight="1" x14ac:dyDescent="0.2">
      <c r="A119" s="106"/>
      <c r="B119" s="10"/>
      <c r="C119" s="13"/>
      <c r="D119" s="50"/>
      <c r="E119" s="50"/>
      <c r="F119" s="50"/>
      <c r="G119" s="50"/>
      <c r="H119" s="50"/>
      <c r="I119" s="50"/>
      <c r="J119" s="50"/>
      <c r="K119" s="50"/>
      <c r="L119" s="50"/>
      <c r="M119" s="75"/>
    </row>
    <row r="120" spans="1:13" ht="12" customHeight="1" x14ac:dyDescent="0.2">
      <c r="A120" s="102" t="s">
        <v>46</v>
      </c>
      <c r="B120" s="10"/>
      <c r="C120" s="10"/>
      <c r="D120" s="50">
        <f t="shared" ref="D120:M120" si="8">N180</f>
        <v>1256.74</v>
      </c>
      <c r="E120" s="50">
        <f t="shared" si="8"/>
        <v>1198.3899999999999</v>
      </c>
      <c r="F120" s="50">
        <f t="shared" si="8"/>
        <v>828.09</v>
      </c>
      <c r="G120" s="50">
        <f t="shared" si="8"/>
        <v>0</v>
      </c>
      <c r="H120" s="50">
        <f t="shared" si="8"/>
        <v>0</v>
      </c>
      <c r="I120" s="50">
        <f t="shared" si="8"/>
        <v>0</v>
      </c>
      <c r="J120" s="50">
        <f t="shared" si="8"/>
        <v>0</v>
      </c>
      <c r="K120" s="50">
        <f t="shared" si="8"/>
        <v>0</v>
      </c>
      <c r="L120" s="50">
        <f t="shared" si="8"/>
        <v>0</v>
      </c>
      <c r="M120" s="75">
        <f t="shared" si="8"/>
        <v>0</v>
      </c>
    </row>
    <row r="121" spans="1:13" ht="12" customHeight="1" x14ac:dyDescent="0.2">
      <c r="A121" s="102" t="s">
        <v>270</v>
      </c>
      <c r="B121" s="10"/>
      <c r="C121" s="10"/>
      <c r="D121" s="50">
        <f t="shared" ref="D121:M121" si="9">N208</f>
        <v>0</v>
      </c>
      <c r="E121" s="50">
        <f t="shared" si="9"/>
        <v>0</v>
      </c>
      <c r="F121" s="50">
        <f t="shared" si="9"/>
        <v>0</v>
      </c>
      <c r="G121" s="50">
        <f t="shared" si="9"/>
        <v>0</v>
      </c>
      <c r="H121" s="50">
        <f t="shared" si="9"/>
        <v>0</v>
      </c>
      <c r="I121" s="50">
        <f t="shared" si="9"/>
        <v>0</v>
      </c>
      <c r="J121" s="50">
        <f t="shared" si="9"/>
        <v>0</v>
      </c>
      <c r="K121" s="50">
        <f t="shared" si="9"/>
        <v>0</v>
      </c>
      <c r="L121" s="50">
        <f t="shared" si="9"/>
        <v>0</v>
      </c>
      <c r="M121" s="75">
        <f t="shared" si="9"/>
        <v>0</v>
      </c>
    </row>
    <row r="122" spans="1:13" ht="12" customHeight="1" x14ac:dyDescent="0.2">
      <c r="A122" s="102" t="s">
        <v>169</v>
      </c>
      <c r="B122" s="10"/>
      <c r="C122" s="10"/>
      <c r="D122" s="50">
        <f t="shared" ref="D122:M122" si="10">N219</f>
        <v>9954.17</v>
      </c>
      <c r="E122" s="50">
        <f t="shared" si="10"/>
        <v>9954.17</v>
      </c>
      <c r="F122" s="50">
        <f t="shared" si="10"/>
        <v>9954.17</v>
      </c>
      <c r="G122" s="50">
        <f t="shared" si="10"/>
        <v>9954.17</v>
      </c>
      <c r="H122" s="50">
        <f t="shared" si="10"/>
        <v>9954.17</v>
      </c>
      <c r="I122" s="50">
        <f t="shared" si="10"/>
        <v>9954.17</v>
      </c>
      <c r="J122" s="50">
        <f t="shared" si="10"/>
        <v>9954.17</v>
      </c>
      <c r="K122" s="50">
        <f t="shared" si="10"/>
        <v>9954.17</v>
      </c>
      <c r="L122" s="50">
        <f t="shared" si="10"/>
        <v>9954.17</v>
      </c>
      <c r="M122" s="75">
        <f t="shared" si="10"/>
        <v>9954.17</v>
      </c>
    </row>
    <row r="123" spans="1:13" ht="12" customHeight="1" x14ac:dyDescent="0.2">
      <c r="A123" s="102" t="s">
        <v>235</v>
      </c>
      <c r="B123" s="10"/>
      <c r="C123" s="10"/>
      <c r="D123" s="50">
        <f t="shared" ref="D123:M123" si="11">N233</f>
        <v>119.57</v>
      </c>
      <c r="E123" s="50">
        <f t="shared" si="11"/>
        <v>0</v>
      </c>
      <c r="F123" s="50">
        <f t="shared" si="11"/>
        <v>0</v>
      </c>
      <c r="G123" s="50">
        <f t="shared" si="11"/>
        <v>0</v>
      </c>
      <c r="H123" s="50">
        <f t="shared" si="11"/>
        <v>0</v>
      </c>
      <c r="I123" s="50">
        <f t="shared" si="11"/>
        <v>0</v>
      </c>
      <c r="J123" s="50">
        <f t="shared" si="11"/>
        <v>0</v>
      </c>
      <c r="K123" s="50">
        <f t="shared" si="11"/>
        <v>0</v>
      </c>
      <c r="L123" s="50">
        <f t="shared" si="11"/>
        <v>0</v>
      </c>
      <c r="M123" s="75">
        <f t="shared" si="11"/>
        <v>0</v>
      </c>
    </row>
    <row r="124" spans="1:13" ht="12" customHeight="1" x14ac:dyDescent="0.2">
      <c r="A124" s="102" t="s">
        <v>105</v>
      </c>
      <c r="B124" s="10"/>
      <c r="C124" s="10"/>
      <c r="D124" s="50">
        <f t="shared" ref="D124:M124" si="12">N318</f>
        <v>2508.9300000000003</v>
      </c>
      <c r="E124" s="50">
        <f t="shared" si="12"/>
        <v>2161.69</v>
      </c>
      <c r="F124" s="50">
        <f t="shared" si="12"/>
        <v>1635.81</v>
      </c>
      <c r="G124" s="50">
        <f t="shared" si="12"/>
        <v>0</v>
      </c>
      <c r="H124" s="50">
        <f t="shared" si="12"/>
        <v>0</v>
      </c>
      <c r="I124" s="50">
        <f t="shared" si="12"/>
        <v>0</v>
      </c>
      <c r="J124" s="50">
        <f t="shared" si="12"/>
        <v>0</v>
      </c>
      <c r="K124" s="50">
        <f t="shared" si="12"/>
        <v>0</v>
      </c>
      <c r="L124" s="50">
        <f t="shared" si="12"/>
        <v>0</v>
      </c>
      <c r="M124" s="75">
        <f t="shared" si="12"/>
        <v>0</v>
      </c>
    </row>
    <row r="125" spans="1:13" ht="12" customHeight="1" x14ac:dyDescent="0.2">
      <c r="A125" s="102" t="s">
        <v>47</v>
      </c>
      <c r="B125" s="10"/>
      <c r="C125" s="10"/>
      <c r="D125" s="50">
        <f t="shared" ref="D125:M125" si="13">N347</f>
        <v>0</v>
      </c>
      <c r="E125" s="50">
        <f t="shared" si="13"/>
        <v>0</v>
      </c>
      <c r="F125" s="50">
        <f t="shared" si="13"/>
        <v>0</v>
      </c>
      <c r="G125" s="50">
        <f t="shared" si="13"/>
        <v>0</v>
      </c>
      <c r="H125" s="50">
        <f t="shared" si="13"/>
        <v>0</v>
      </c>
      <c r="I125" s="50">
        <f t="shared" si="13"/>
        <v>0</v>
      </c>
      <c r="J125" s="50">
        <f t="shared" si="13"/>
        <v>0</v>
      </c>
      <c r="K125" s="50">
        <f t="shared" si="13"/>
        <v>0</v>
      </c>
      <c r="L125" s="50">
        <f t="shared" si="13"/>
        <v>0</v>
      </c>
      <c r="M125" s="75">
        <f t="shared" si="13"/>
        <v>0</v>
      </c>
    </row>
    <row r="126" spans="1:13" ht="12" customHeight="1" x14ac:dyDescent="0.2">
      <c r="A126" s="102" t="s">
        <v>254</v>
      </c>
      <c r="B126" s="10"/>
      <c r="C126" s="10"/>
      <c r="D126" s="50">
        <f t="shared" ref="D126:M126" si="14">N358</f>
        <v>212</v>
      </c>
      <c r="E126" s="50">
        <f t="shared" si="14"/>
        <v>212</v>
      </c>
      <c r="F126" s="50">
        <f t="shared" si="14"/>
        <v>153.34</v>
      </c>
      <c r="G126" s="50">
        <f t="shared" si="14"/>
        <v>0</v>
      </c>
      <c r="H126" s="50">
        <f t="shared" si="14"/>
        <v>0</v>
      </c>
      <c r="I126" s="50">
        <f t="shared" si="14"/>
        <v>0</v>
      </c>
      <c r="J126" s="50">
        <f t="shared" si="14"/>
        <v>0</v>
      </c>
      <c r="K126" s="50">
        <f t="shared" si="14"/>
        <v>0</v>
      </c>
      <c r="L126" s="50">
        <f t="shared" si="14"/>
        <v>0</v>
      </c>
      <c r="M126" s="75">
        <f t="shared" si="14"/>
        <v>0</v>
      </c>
    </row>
    <row r="127" spans="1:13" ht="12" customHeight="1" x14ac:dyDescent="0.2">
      <c r="A127" s="102" t="s">
        <v>26</v>
      </c>
      <c r="B127" s="10"/>
      <c r="C127" s="10"/>
      <c r="D127" s="50">
        <f>N376</f>
        <v>30422.640000000007</v>
      </c>
      <c r="E127" s="50">
        <f t="shared" ref="E127:M127" si="15">O376</f>
        <v>30377.590000000004</v>
      </c>
      <c r="F127" s="50">
        <f t="shared" si="15"/>
        <v>4957.3499999999995</v>
      </c>
      <c r="G127" s="50">
        <f t="shared" si="15"/>
        <v>0</v>
      </c>
      <c r="H127" s="50">
        <f t="shared" si="15"/>
        <v>0</v>
      </c>
      <c r="I127" s="50">
        <f t="shared" si="15"/>
        <v>0</v>
      </c>
      <c r="J127" s="50">
        <f t="shared" si="15"/>
        <v>0</v>
      </c>
      <c r="K127" s="50">
        <f t="shared" si="15"/>
        <v>0</v>
      </c>
      <c r="L127" s="50">
        <f t="shared" si="15"/>
        <v>0</v>
      </c>
      <c r="M127" s="50">
        <f t="shared" si="15"/>
        <v>0</v>
      </c>
    </row>
    <row r="128" spans="1:13" ht="12" customHeight="1" x14ac:dyDescent="0.2">
      <c r="A128" s="102" t="s">
        <v>123</v>
      </c>
      <c r="B128" s="10"/>
      <c r="C128" s="10"/>
      <c r="D128" s="50">
        <f t="shared" ref="D128:M128" si="16">N407</f>
        <v>2315.6799999999998</v>
      </c>
      <c r="E128" s="50">
        <f t="shared" si="16"/>
        <v>1570.3899999999999</v>
      </c>
      <c r="F128" s="50">
        <f t="shared" si="16"/>
        <v>0</v>
      </c>
      <c r="G128" s="50">
        <f t="shared" si="16"/>
        <v>0</v>
      </c>
      <c r="H128" s="50">
        <f t="shared" si="16"/>
        <v>0</v>
      </c>
      <c r="I128" s="50">
        <f t="shared" si="16"/>
        <v>0</v>
      </c>
      <c r="J128" s="50">
        <f t="shared" si="16"/>
        <v>0</v>
      </c>
      <c r="K128" s="50">
        <f t="shared" si="16"/>
        <v>0</v>
      </c>
      <c r="L128" s="50">
        <f t="shared" si="16"/>
        <v>0</v>
      </c>
      <c r="M128" s="75">
        <f t="shared" si="16"/>
        <v>0</v>
      </c>
    </row>
    <row r="129" spans="1:13" ht="12" customHeight="1" x14ac:dyDescent="0.2">
      <c r="A129" s="102" t="s">
        <v>124</v>
      </c>
      <c r="B129" s="10"/>
      <c r="C129" s="10"/>
      <c r="D129" s="50">
        <f t="shared" ref="D129:M129" si="17">N433</f>
        <v>125.97</v>
      </c>
      <c r="E129" s="50">
        <f t="shared" si="17"/>
        <v>8.2899999999999991</v>
      </c>
      <c r="F129" s="50">
        <f t="shared" si="17"/>
        <v>0</v>
      </c>
      <c r="G129" s="50">
        <f t="shared" si="17"/>
        <v>0</v>
      </c>
      <c r="H129" s="50">
        <f t="shared" si="17"/>
        <v>0</v>
      </c>
      <c r="I129" s="50">
        <f t="shared" si="17"/>
        <v>0</v>
      </c>
      <c r="J129" s="50">
        <f t="shared" si="17"/>
        <v>0</v>
      </c>
      <c r="K129" s="50">
        <f t="shared" si="17"/>
        <v>0</v>
      </c>
      <c r="L129" s="50">
        <f t="shared" si="17"/>
        <v>0</v>
      </c>
      <c r="M129" s="75">
        <f t="shared" si="17"/>
        <v>0</v>
      </c>
    </row>
    <row r="130" spans="1:13" ht="12" customHeight="1" x14ac:dyDescent="0.2">
      <c r="A130" s="199" t="s">
        <v>14</v>
      </c>
      <c r="B130" s="10"/>
      <c r="C130" s="10"/>
      <c r="D130" s="196">
        <f t="shared" ref="D130:I130" si="18">SUM(D120:D129)</f>
        <v>46915.700000000004</v>
      </c>
      <c r="E130" s="196">
        <f t="shared" si="18"/>
        <v>45482.520000000004</v>
      </c>
      <c r="F130" s="196">
        <f t="shared" si="18"/>
        <v>17528.759999999998</v>
      </c>
      <c r="G130" s="196">
        <f t="shared" si="18"/>
        <v>9954.17</v>
      </c>
      <c r="H130" s="196">
        <f t="shared" si="18"/>
        <v>9954.17</v>
      </c>
      <c r="I130" s="196">
        <f t="shared" si="18"/>
        <v>9954.17</v>
      </c>
      <c r="J130" s="196">
        <f>SUM(J120:J129)</f>
        <v>9954.17</v>
      </c>
      <c r="K130" s="196">
        <f>SUM(K120:K129)</f>
        <v>9954.17</v>
      </c>
      <c r="L130" s="196">
        <f>SUM(L120:L129)</f>
        <v>9954.17</v>
      </c>
      <c r="M130" s="200">
        <f>SUM(M120:M129)</f>
        <v>9954.17</v>
      </c>
    </row>
    <row r="131" spans="1:13" ht="12" customHeight="1" x14ac:dyDescent="0.2">
      <c r="A131" s="201"/>
      <c r="B131" s="60"/>
      <c r="C131" s="62"/>
      <c r="D131" s="62"/>
      <c r="E131" s="62"/>
      <c r="F131" s="62"/>
      <c r="G131" s="62"/>
      <c r="H131" s="62"/>
      <c r="I131" s="62"/>
      <c r="J131" s="62"/>
      <c r="K131" s="62"/>
      <c r="L131" s="62"/>
      <c r="M131" s="76"/>
    </row>
    <row r="132" spans="1:13" ht="12" customHeight="1" x14ac:dyDescent="0.2">
      <c r="A132" s="10"/>
      <c r="B132" s="46"/>
      <c r="C132" s="50"/>
      <c r="D132" s="50"/>
      <c r="E132" s="50"/>
      <c r="F132" s="50"/>
      <c r="G132" s="50"/>
      <c r="H132" s="50"/>
      <c r="I132" s="50"/>
      <c r="J132" s="50"/>
      <c r="K132" s="50"/>
      <c r="L132" s="50"/>
      <c r="M132" s="50"/>
    </row>
    <row r="133" spans="1:13" ht="12" customHeight="1" x14ac:dyDescent="0.2">
      <c r="A133" s="124"/>
      <c r="B133" s="65"/>
      <c r="C133" s="47"/>
      <c r="D133" s="47"/>
      <c r="E133" s="47"/>
      <c r="F133" s="47"/>
      <c r="G133" s="47"/>
      <c r="H133" s="47"/>
      <c r="I133" s="47"/>
      <c r="J133" s="47"/>
      <c r="K133" s="47"/>
      <c r="L133" s="47"/>
      <c r="M133" s="52"/>
    </row>
    <row r="134" spans="1:13" ht="12" customHeight="1" x14ac:dyDescent="0.2">
      <c r="A134" s="101"/>
      <c r="B134" s="46" t="s">
        <v>271</v>
      </c>
      <c r="C134" s="18" t="s">
        <v>269</v>
      </c>
      <c r="D134" s="50">
        <f>SUMIF($C$155:$C$452,$C134,N$155:N$452)</f>
        <v>30605.780000000006</v>
      </c>
      <c r="E134" s="50">
        <f>SUMIF($C$155:$C$452,C134,$O$155:$O$452)</f>
        <v>30560.730000000003</v>
      </c>
      <c r="F134" s="50">
        <f>SUMIF($C$155:$C$452,C134,$P$155:$P$452)</f>
        <v>4957.3499999999995</v>
      </c>
      <c r="G134" s="50">
        <f>SUMIF($C$155:$C$452,C134,$Q$155:$Q$452)</f>
        <v>0</v>
      </c>
      <c r="H134" s="50">
        <f>SUMIF($C$155:$C$452,C134,$R$155:$R$452)</f>
        <v>0</v>
      </c>
      <c r="I134" s="50">
        <f>SUMIF($C$155:$C$452,C134,$R$155:$R$452)</f>
        <v>0</v>
      </c>
      <c r="J134" s="50">
        <f>SUMIF($C$155:$C$452,C134,$R$155:$R$452)</f>
        <v>0</v>
      </c>
      <c r="K134" s="50">
        <f>SUMIF($C$155:$C$452,#REF!,$R$155:$R$452)</f>
        <v>0</v>
      </c>
      <c r="L134" s="50">
        <f>SUMIF($C$155:$C$452,D134,$R$155:$R$452)</f>
        <v>0</v>
      </c>
      <c r="M134" s="75">
        <f>SUMIF($C$155:$C$452,E134,$R$155:$R$452)</f>
        <v>0</v>
      </c>
    </row>
    <row r="135" spans="1:13" ht="12" customHeight="1" x14ac:dyDescent="0.2">
      <c r="A135" s="101"/>
      <c r="B135" s="46" t="s">
        <v>272</v>
      </c>
      <c r="C135" s="18" t="s">
        <v>8</v>
      </c>
      <c r="D135" s="50">
        <f>SUMIF($C$155:$C$452,$C135,N$155:N$452)</f>
        <v>2508.9300000000003</v>
      </c>
      <c r="E135" s="50">
        <f t="shared" ref="E135:M136" si="19">SUMIF($C$155:$C$452,$C135,O$155:O$452)</f>
        <v>2161.69</v>
      </c>
      <c r="F135" s="50">
        <f t="shared" si="19"/>
        <v>1635.81</v>
      </c>
      <c r="G135" s="50">
        <f t="shared" si="19"/>
        <v>0</v>
      </c>
      <c r="H135" s="50">
        <f t="shared" si="19"/>
        <v>0</v>
      </c>
      <c r="I135" s="50">
        <f t="shared" si="19"/>
        <v>0</v>
      </c>
      <c r="J135" s="50">
        <f t="shared" si="19"/>
        <v>0</v>
      </c>
      <c r="K135" s="50">
        <f t="shared" si="19"/>
        <v>0</v>
      </c>
      <c r="L135" s="50">
        <f t="shared" si="19"/>
        <v>0</v>
      </c>
      <c r="M135" s="75">
        <f t="shared" si="19"/>
        <v>0</v>
      </c>
    </row>
    <row r="136" spans="1:13" ht="12" customHeight="1" x14ac:dyDescent="0.2">
      <c r="A136" s="101"/>
      <c r="B136" s="46" t="s">
        <v>273</v>
      </c>
      <c r="C136" s="18" t="s">
        <v>265</v>
      </c>
      <c r="D136" s="50">
        <f>SUMIF($C$155:$C$452,$C136,N$155:N$452)</f>
        <v>13800.990000000002</v>
      </c>
      <c r="E136" s="50">
        <f t="shared" si="19"/>
        <v>12760.1</v>
      </c>
      <c r="F136" s="50">
        <f t="shared" si="19"/>
        <v>10935.6</v>
      </c>
      <c r="G136" s="50">
        <f t="shared" si="19"/>
        <v>9954.17</v>
      </c>
      <c r="H136" s="50">
        <f t="shared" si="19"/>
        <v>9954.17</v>
      </c>
      <c r="I136" s="50">
        <f t="shared" si="19"/>
        <v>9954.17</v>
      </c>
      <c r="J136" s="50">
        <f t="shared" si="19"/>
        <v>9954.17</v>
      </c>
      <c r="K136" s="50">
        <f t="shared" si="19"/>
        <v>9954.17</v>
      </c>
      <c r="L136" s="50">
        <f t="shared" si="19"/>
        <v>9954.17</v>
      </c>
      <c r="M136" s="75">
        <f t="shared" si="19"/>
        <v>9954.17</v>
      </c>
    </row>
    <row r="137" spans="1:13" ht="12" customHeight="1" x14ac:dyDescent="0.2">
      <c r="A137" s="27"/>
      <c r="B137" s="46" t="s">
        <v>139</v>
      </c>
      <c r="C137" s="67"/>
      <c r="D137" s="196">
        <f t="shared" ref="D137:M137" si="20">SUM(D134:D136)</f>
        <v>46915.700000000012</v>
      </c>
      <c r="E137" s="196">
        <f t="shared" si="20"/>
        <v>45482.520000000004</v>
      </c>
      <c r="F137" s="196">
        <f t="shared" si="20"/>
        <v>17528.760000000002</v>
      </c>
      <c r="G137" s="196">
        <f t="shared" si="20"/>
        <v>9954.17</v>
      </c>
      <c r="H137" s="196">
        <f t="shared" si="20"/>
        <v>9954.17</v>
      </c>
      <c r="I137" s="196">
        <f t="shared" si="20"/>
        <v>9954.17</v>
      </c>
      <c r="J137" s="196">
        <f t="shared" si="20"/>
        <v>9954.17</v>
      </c>
      <c r="K137" s="196">
        <f t="shared" si="20"/>
        <v>9954.17</v>
      </c>
      <c r="L137" s="196">
        <f t="shared" si="20"/>
        <v>9954.17</v>
      </c>
      <c r="M137" s="200">
        <f t="shared" si="20"/>
        <v>9954.17</v>
      </c>
    </row>
    <row r="138" spans="1:13" ht="12" customHeight="1" x14ac:dyDescent="0.2">
      <c r="A138" s="201"/>
      <c r="B138" s="60"/>
      <c r="C138" s="62"/>
      <c r="D138" s="62"/>
      <c r="E138" s="62"/>
      <c r="F138" s="62"/>
      <c r="G138" s="62"/>
      <c r="H138" s="62"/>
      <c r="I138" s="62"/>
      <c r="J138" s="62"/>
      <c r="K138" s="62"/>
      <c r="L138" s="62"/>
      <c r="M138" s="76"/>
    </row>
    <row r="139" spans="1:13" ht="12" customHeight="1" x14ac:dyDescent="0.2">
      <c r="A139" s="110"/>
      <c r="B139" s="10"/>
      <c r="C139" s="10"/>
      <c r="D139" s="46"/>
      <c r="E139" s="50"/>
      <c r="F139" s="50"/>
      <c r="G139" s="50"/>
      <c r="H139" s="50"/>
      <c r="I139" s="50"/>
      <c r="J139" s="50"/>
      <c r="K139" s="50"/>
      <c r="L139" s="50"/>
      <c r="M139" s="50"/>
    </row>
    <row r="140" spans="1:13" ht="12" customHeight="1" x14ac:dyDescent="0.2">
      <c r="A140" s="110"/>
      <c r="B140" s="10"/>
      <c r="C140" s="10"/>
      <c r="D140" s="46"/>
      <c r="E140" s="50"/>
      <c r="F140" s="50"/>
      <c r="G140" s="50"/>
      <c r="H140" s="50"/>
      <c r="I140" s="50"/>
      <c r="J140" s="50"/>
      <c r="K140" s="50"/>
      <c r="L140" s="50"/>
      <c r="M140" s="50"/>
    </row>
    <row r="141" spans="1:13" ht="12" customHeight="1" x14ac:dyDescent="0.2">
      <c r="A141" s="110"/>
      <c r="B141" s="10"/>
      <c r="C141" s="10"/>
      <c r="D141" s="46"/>
      <c r="E141" s="50"/>
      <c r="F141" s="50"/>
      <c r="G141" s="50"/>
      <c r="H141" s="50"/>
      <c r="I141" s="50"/>
      <c r="J141" s="50"/>
      <c r="K141" s="50"/>
      <c r="L141" s="50"/>
      <c r="M141" s="50"/>
    </row>
    <row r="142" spans="1:13" ht="12" customHeight="1" x14ac:dyDescent="0.2">
      <c r="A142" s="110"/>
      <c r="B142" s="10"/>
      <c r="C142" s="10"/>
      <c r="D142" s="46"/>
      <c r="E142" s="50"/>
      <c r="F142" s="50"/>
      <c r="G142" s="50"/>
      <c r="H142" s="50"/>
      <c r="I142" s="50"/>
      <c r="J142" s="50"/>
      <c r="K142" s="50"/>
      <c r="L142" s="50"/>
      <c r="M142" s="50"/>
    </row>
    <row r="143" spans="1:13" ht="12" customHeight="1" x14ac:dyDescent="0.2">
      <c r="A143" s="110"/>
      <c r="B143" s="10"/>
      <c r="C143" s="10"/>
      <c r="D143" s="46"/>
      <c r="E143" s="50"/>
      <c r="F143" s="50"/>
      <c r="G143" s="50"/>
      <c r="H143" s="50"/>
      <c r="I143" s="50"/>
      <c r="J143" s="50"/>
      <c r="K143" s="50"/>
      <c r="L143" s="50"/>
      <c r="M143" s="50"/>
    </row>
    <row r="144" spans="1:13" ht="12" customHeight="1" x14ac:dyDescent="0.2">
      <c r="A144" s="110"/>
      <c r="B144" s="10"/>
      <c r="C144" s="10"/>
      <c r="D144" s="46"/>
      <c r="E144" s="50"/>
      <c r="F144" s="50"/>
      <c r="G144" s="50"/>
      <c r="H144" s="50"/>
      <c r="I144" s="50"/>
      <c r="J144" s="50"/>
      <c r="K144" s="50"/>
      <c r="L144" s="50"/>
      <c r="M144" s="50"/>
    </row>
    <row r="145" spans="1:23" ht="12" customHeight="1" x14ac:dyDescent="0.2">
      <c r="A145" s="110"/>
      <c r="B145" s="10"/>
      <c r="C145" s="10"/>
      <c r="D145" s="46"/>
      <c r="E145" s="50"/>
      <c r="F145" s="50"/>
      <c r="G145" s="50"/>
      <c r="H145" s="50"/>
      <c r="I145" s="50"/>
      <c r="J145" s="50"/>
      <c r="K145" s="50"/>
      <c r="L145" s="50"/>
      <c r="M145" s="50"/>
    </row>
    <row r="146" spans="1:23" ht="12" customHeight="1" x14ac:dyDescent="0.2">
      <c r="A146" s="110"/>
      <c r="B146" s="10"/>
      <c r="C146" s="10"/>
      <c r="D146" s="46"/>
      <c r="E146" s="50"/>
      <c r="F146" s="50"/>
      <c r="G146" s="50"/>
      <c r="H146" s="50"/>
      <c r="I146" s="50"/>
      <c r="J146" s="50"/>
      <c r="K146" s="50"/>
      <c r="L146" s="50"/>
      <c r="M146" s="50"/>
    </row>
    <row r="147" spans="1:23" ht="12" customHeight="1" thickBot="1" x14ac:dyDescent="0.25">
      <c r="A147" s="110"/>
      <c r="B147" s="10"/>
      <c r="C147" s="10"/>
      <c r="D147" s="46"/>
      <c r="E147" s="50"/>
      <c r="F147" s="50"/>
      <c r="G147" s="50"/>
      <c r="H147" s="50"/>
      <c r="I147" s="50"/>
      <c r="J147" s="50"/>
      <c r="K147" s="50"/>
      <c r="L147" s="50"/>
      <c r="M147" s="50"/>
    </row>
    <row r="148" spans="1:23" x14ac:dyDescent="0.2">
      <c r="A148" s="214"/>
      <c r="B148" s="79"/>
      <c r="C148" s="79"/>
      <c r="D148" s="79"/>
      <c r="E148" s="80"/>
      <c r="F148" s="80"/>
      <c r="G148" s="80"/>
      <c r="H148" s="80"/>
      <c r="I148" s="80"/>
      <c r="J148" s="80"/>
      <c r="K148" s="80"/>
      <c r="L148" s="80"/>
      <c r="M148" s="221"/>
    </row>
    <row r="149" spans="1:23" ht="12.75" customHeight="1" x14ac:dyDescent="0.2">
      <c r="A149" s="215" t="str">
        <f>G4 &amp; "   -   Immobilisations et Amortissements de l'exercice " &amp; TEXT(G6,"aaaa") &amp; "/" &amp;TEXT(I6,"aaaa")</f>
        <v>Société Test   -   Immobilisations et Amortissements de l'exercice 2011/2012</v>
      </c>
      <c r="B149" s="82"/>
      <c r="C149" s="82"/>
      <c r="D149" s="82"/>
      <c r="E149" s="83"/>
      <c r="F149" s="83"/>
      <c r="G149" s="83"/>
      <c r="H149" s="83"/>
      <c r="I149" s="83"/>
      <c r="J149" s="83"/>
      <c r="K149" s="83"/>
      <c r="L149" s="83"/>
      <c r="M149" s="222"/>
    </row>
    <row r="150" spans="1:23" ht="12" thickBot="1" x14ac:dyDescent="0.25">
      <c r="A150" s="216"/>
      <c r="B150" s="85"/>
      <c r="C150" s="85"/>
      <c r="D150" s="85"/>
      <c r="E150" s="85"/>
      <c r="F150" s="85"/>
      <c r="G150" s="85"/>
      <c r="H150" s="85"/>
      <c r="I150" s="85"/>
      <c r="J150" s="85"/>
      <c r="K150" s="85"/>
      <c r="L150" s="85"/>
      <c r="M150" s="223"/>
    </row>
    <row r="151" spans="1:23" x14ac:dyDescent="0.2">
      <c r="A151" s="217"/>
      <c r="B151" s="86"/>
      <c r="C151" s="228"/>
      <c r="D151" s="15"/>
      <c r="E151" s="86"/>
      <c r="F151" s="86"/>
      <c r="G151" s="15"/>
      <c r="H151" s="15"/>
      <c r="I151" s="15"/>
      <c r="J151" s="15"/>
      <c r="K151" s="15"/>
      <c r="L151" s="15"/>
      <c r="M151" s="224"/>
      <c r="N151" s="1"/>
    </row>
    <row r="152" spans="1:23" x14ac:dyDescent="0.2">
      <c r="A152" s="218" t="s">
        <v>267</v>
      </c>
      <c r="B152" s="69" t="s">
        <v>0</v>
      </c>
      <c r="C152" s="225" t="s">
        <v>265</v>
      </c>
      <c r="D152" s="43" t="s">
        <v>18</v>
      </c>
      <c r="E152" s="46"/>
      <c r="F152" s="46"/>
      <c r="G152" s="87" t="s">
        <v>3</v>
      </c>
      <c r="H152" s="87" t="s">
        <v>35</v>
      </c>
      <c r="I152" s="87" t="s">
        <v>33</v>
      </c>
      <c r="J152" s="87" t="s">
        <v>6</v>
      </c>
      <c r="K152" s="87" t="s">
        <v>5</v>
      </c>
      <c r="L152" s="87" t="s">
        <v>6</v>
      </c>
      <c r="M152" s="225" t="s">
        <v>7</v>
      </c>
    </row>
    <row r="153" spans="1:23" x14ac:dyDescent="0.2">
      <c r="A153" s="218" t="s">
        <v>268</v>
      </c>
      <c r="B153" s="69" t="s">
        <v>20</v>
      </c>
      <c r="C153" s="225" t="s">
        <v>266</v>
      </c>
      <c r="D153" s="87" t="s">
        <v>1</v>
      </c>
      <c r="E153" s="69" t="s">
        <v>37</v>
      </c>
      <c r="F153" s="69" t="s">
        <v>2</v>
      </c>
      <c r="G153" s="87" t="s">
        <v>4</v>
      </c>
      <c r="H153" s="87" t="s">
        <v>19</v>
      </c>
      <c r="I153" s="87" t="s">
        <v>34</v>
      </c>
      <c r="J153" s="89">
        <f>G6</f>
        <v>40725</v>
      </c>
      <c r="K153" s="87" t="s">
        <v>44</v>
      </c>
      <c r="L153" s="89">
        <f>I8</f>
        <v>41090</v>
      </c>
      <c r="M153" s="225" t="s">
        <v>4</v>
      </c>
    </row>
    <row r="154" spans="1:23" ht="12" thickBot="1" x14ac:dyDescent="0.25">
      <c r="A154" s="219"/>
      <c r="B154" s="90"/>
      <c r="C154" s="92"/>
      <c r="D154" s="91"/>
      <c r="E154" s="90"/>
      <c r="F154" s="90"/>
      <c r="G154" s="91"/>
      <c r="H154" s="91"/>
      <c r="I154" s="91"/>
      <c r="J154" s="91"/>
      <c r="K154" s="92"/>
      <c r="L154" s="91"/>
      <c r="M154" s="92"/>
    </row>
    <row r="155" spans="1:23" x14ac:dyDescent="0.2">
      <c r="A155" s="101"/>
      <c r="M155" s="14"/>
    </row>
    <row r="156" spans="1:23" ht="24.95" customHeight="1" x14ac:dyDescent="0.2">
      <c r="A156" s="208" t="s">
        <v>77</v>
      </c>
      <c r="B156" s="209"/>
      <c r="C156" s="209"/>
      <c r="D156" s="209"/>
      <c r="E156" s="210"/>
      <c r="F156" s="211"/>
      <c r="G156" s="211"/>
      <c r="H156" s="211"/>
      <c r="I156" s="211"/>
      <c r="J156" s="211"/>
      <c r="K156" s="211"/>
      <c r="L156" s="211"/>
      <c r="M156" s="226"/>
      <c r="N156" s="220" t="str">
        <f>A156 &amp; "   -   Dotations prévisionnelles"</f>
        <v>205000 LOGICIELS   -   Dotations prévisionnelles</v>
      </c>
      <c r="O156" s="212"/>
      <c r="P156" s="212"/>
      <c r="Q156" s="212"/>
      <c r="R156" s="212"/>
      <c r="S156" s="212"/>
      <c r="T156" s="212"/>
      <c r="U156" s="212"/>
      <c r="V156" s="212"/>
      <c r="W156" s="213"/>
    </row>
    <row r="157" spans="1:23" x14ac:dyDescent="0.2">
      <c r="A157" s="107">
        <v>1</v>
      </c>
      <c r="B157" s="1" t="s">
        <v>76</v>
      </c>
      <c r="C157" s="1"/>
      <c r="D157" s="77">
        <v>35703</v>
      </c>
      <c r="E157" s="77">
        <v>35703</v>
      </c>
      <c r="F157" s="77"/>
      <c r="G157" s="8">
        <v>567.58000000000004</v>
      </c>
      <c r="H157" s="1" t="s">
        <v>8</v>
      </c>
      <c r="I157" s="78">
        <v>3</v>
      </c>
      <c r="J157" s="8">
        <v>567.58000000000004</v>
      </c>
      <c r="K157" s="8">
        <f t="shared" ref="K157:K171" si="21">ROUND(Dot_ex(D157,E157,F157,G157,H157,I157,J157,$G$6,$I$6,$I$8),2)</f>
        <v>0</v>
      </c>
      <c r="L157" s="8">
        <f t="shared" ref="L157:L171" si="22">J157+K157</f>
        <v>567.58000000000004</v>
      </c>
      <c r="M157" s="57">
        <f t="shared" ref="M157:M171" si="23">G157-L157</f>
        <v>0</v>
      </c>
      <c r="N157" s="41">
        <f t="shared" ref="N157:N172" si="24">ROUND(Dot_ex($D157,$E157,$F157,$G157,$H157,$I157,$L157,D$115,D$117,D$117),2)</f>
        <v>0</v>
      </c>
      <c r="O157" s="41">
        <f>ROUND(Dot_ex($D157,$E157,$F157,$G157,$H157,$I157,$L157+SUM($N157:N157),E$115,E$117,E$117),2)</f>
        <v>0</v>
      </c>
      <c r="P157" s="41">
        <f>ROUND(Dot_ex($D157,$E157,$F157,$G157,$H157,$I157,$L157+SUM($N157:O157),F$115,F$117,F$117),2)</f>
        <v>0</v>
      </c>
      <c r="Q157" s="41">
        <f>ROUND(Dot_ex($D157,$E157,$F157,$G157,$H157,$I157,$L157+SUM($N157:P157),G$115,G$117,G$117),2)</f>
        <v>0</v>
      </c>
      <c r="R157" s="57">
        <f>ROUND(Dot_ex($D157,$E157,$F157,$G157,$H157,$I157,$L157+SUM($N157:Q157),H$115,H$117,H$117),2)</f>
        <v>0</v>
      </c>
      <c r="S157" s="57">
        <f>ROUND(Dot_ex($D157,$E157,$F157,$G157,$H157,$I157,$L157+SUM($N157:R157),I$115,I$117,I$117),2)</f>
        <v>0</v>
      </c>
      <c r="T157" s="57">
        <f>ROUND(Dot_ex($D157,$E157,$F157,$G157,$H157,$I157,$L157+SUM($N157:S157),J$115,J$117,J$117),2)</f>
        <v>0</v>
      </c>
      <c r="U157" s="57">
        <f>ROUND(Dot_ex($D157,$E157,$F157,$G157,$H157,$I157,$L157+SUM($N157:T157),K$115,K$117,K$117),2)</f>
        <v>0</v>
      </c>
      <c r="V157" s="57">
        <f>ROUND(Dot_ex($D157,$E157,$F157,$G157,$H157,$I157,$L157+SUM($N157:U157),L$115,L$117,L$117),2)</f>
        <v>0</v>
      </c>
      <c r="W157" s="57">
        <f>ROUND(Dot_ex($D157,$E157,$F157,$G157,$H157,$I157,$L157+SUM($N157:V157),M$115,M$117,M$117),2)</f>
        <v>0</v>
      </c>
    </row>
    <row r="158" spans="1:23" x14ac:dyDescent="0.2">
      <c r="A158" s="107">
        <f t="shared" ref="A158:A178" ca="1" si="25">IF(ISNUMBER(A157),A157+1,OFFSET(A158,-Nbre_Ligne_Entre_Compte,0,1,1)+1)</f>
        <v>2</v>
      </c>
      <c r="B158" s="1" t="s">
        <v>75</v>
      </c>
      <c r="C158" s="1"/>
      <c r="D158" s="77">
        <v>35719</v>
      </c>
      <c r="E158" s="77">
        <v>35719</v>
      </c>
      <c r="F158" s="77"/>
      <c r="G158" s="8">
        <v>87.22</v>
      </c>
      <c r="H158" s="1" t="s">
        <v>8</v>
      </c>
      <c r="I158" s="78">
        <v>3</v>
      </c>
      <c r="J158" s="8">
        <v>87.22</v>
      </c>
      <c r="K158" s="8">
        <f t="shared" si="21"/>
        <v>0</v>
      </c>
      <c r="L158" s="8">
        <f t="shared" si="22"/>
        <v>87.22</v>
      </c>
      <c r="M158" s="57">
        <f t="shared" si="23"/>
        <v>0</v>
      </c>
      <c r="N158" s="41">
        <f t="shared" si="24"/>
        <v>0</v>
      </c>
      <c r="O158" s="41">
        <f>ROUND(Dot_ex($D158,$E158,$F158,$G158,$H158,$I158,$L158+SUM($N158:N158),E$115,E$117,E$117),2)</f>
        <v>0</v>
      </c>
      <c r="P158" s="41">
        <f>ROUND(Dot_ex($D158,$E158,$F158,$G158,$H158,$I158,$L158+SUM($N158:O158),F$115,F$117,F$117),2)</f>
        <v>0</v>
      </c>
      <c r="Q158" s="41">
        <f>ROUND(Dot_ex($D158,$E158,$F158,$G158,$H158,$I158,$L158+SUM($N158:P158),G$115,G$117,G$117),2)</f>
        <v>0</v>
      </c>
      <c r="R158" s="57">
        <f>ROUND(Dot_ex($D158,$E158,$F158,$G158,$H158,$I158,$L158+SUM($N158:Q158),H$115,H$117,H$117),2)</f>
        <v>0</v>
      </c>
      <c r="S158" s="57">
        <f>ROUND(Dot_ex($D158,$E158,$F158,$G158,$H158,$I158,$L158+SUM($N158:R158),I$115,I$117,I$117),2)</f>
        <v>0</v>
      </c>
      <c r="T158" s="57">
        <f>ROUND(Dot_ex($D158,$E158,$F158,$G158,$H158,$I158,$L158+SUM($N158:S158),J$115,J$117,J$117),2)</f>
        <v>0</v>
      </c>
      <c r="U158" s="57">
        <f>ROUND(Dot_ex($D158,$E158,$F158,$G158,$H158,$I158,$L158+SUM($N158:T158),K$115,K$117,K$117),2)</f>
        <v>0</v>
      </c>
      <c r="V158" s="57">
        <f>ROUND(Dot_ex($D158,$E158,$F158,$G158,$H158,$I158,$L158+SUM($N158:U158),L$115,L$117,L$117),2)</f>
        <v>0</v>
      </c>
      <c r="W158" s="57">
        <f>ROUND(Dot_ex($D158,$E158,$F158,$G158,$H158,$I158,$L158+SUM($N158:V158),M$115,M$117,M$117),2)</f>
        <v>0</v>
      </c>
    </row>
    <row r="159" spans="1:23" x14ac:dyDescent="0.2">
      <c r="A159" s="107">
        <f t="shared" ca="1" si="25"/>
        <v>3</v>
      </c>
      <c r="B159" s="1" t="s">
        <v>76</v>
      </c>
      <c r="C159" s="1"/>
      <c r="D159" s="77">
        <v>35719</v>
      </c>
      <c r="E159" s="77">
        <v>35719</v>
      </c>
      <c r="F159" s="77">
        <v>40982</v>
      </c>
      <c r="G159" s="8">
        <v>567.58000000000004</v>
      </c>
      <c r="H159" s="1" t="s">
        <v>8</v>
      </c>
      <c r="I159" s="78">
        <v>3</v>
      </c>
      <c r="J159" s="8">
        <v>567.58000000000004</v>
      </c>
      <c r="K159" s="8">
        <f t="shared" si="21"/>
        <v>0</v>
      </c>
      <c r="L159" s="8">
        <f t="shared" si="22"/>
        <v>567.58000000000004</v>
      </c>
      <c r="M159" s="57">
        <f t="shared" si="23"/>
        <v>0</v>
      </c>
      <c r="N159" s="41">
        <f t="shared" si="24"/>
        <v>0</v>
      </c>
      <c r="O159" s="41">
        <f>ROUND(Dot_ex($D159,$E159,$F159,$G159,$H159,$I159,$L159+SUM($N159:N159),E$115,E$117,E$117),2)</f>
        <v>0</v>
      </c>
      <c r="P159" s="41">
        <f>ROUND(Dot_ex($D159,$E159,$F159,$G159,$H159,$I159,$L159+SUM($N159:O159),F$115,F$117,F$117),2)</f>
        <v>0</v>
      </c>
      <c r="Q159" s="41">
        <f>ROUND(Dot_ex($D159,$E159,$F159,$G159,$H159,$I159,$L159+SUM($N159:P159),G$115,G$117,G$117),2)</f>
        <v>0</v>
      </c>
      <c r="R159" s="57">
        <f>ROUND(Dot_ex($D159,$E159,$F159,$G159,$H159,$I159,$L159+SUM($N159:Q159),H$115,H$117,H$117),2)</f>
        <v>0</v>
      </c>
      <c r="S159" s="57">
        <f>ROUND(Dot_ex($D159,$E159,$F159,$G159,$H159,$I159,$L159+SUM($N159:R159),I$115,I$117,I$117),2)</f>
        <v>0</v>
      </c>
      <c r="T159" s="57">
        <f>ROUND(Dot_ex($D159,$E159,$F159,$G159,$H159,$I159,$L159+SUM($N159:S159),J$115,J$117,J$117),2)</f>
        <v>0</v>
      </c>
      <c r="U159" s="57">
        <f>ROUND(Dot_ex($D159,$E159,$F159,$G159,$H159,$I159,$L159+SUM($N159:T159),K$115,K$117,K$117),2)</f>
        <v>0</v>
      </c>
      <c r="V159" s="57">
        <f>ROUND(Dot_ex($D159,$E159,$F159,$G159,$H159,$I159,$L159+SUM($N159:U159),L$115,L$117,L$117),2)</f>
        <v>0</v>
      </c>
      <c r="W159" s="57">
        <f>ROUND(Dot_ex($D159,$E159,$F159,$G159,$H159,$I159,$L159+SUM($N159:V159),M$115,M$117,M$117),2)</f>
        <v>0</v>
      </c>
    </row>
    <row r="160" spans="1:23" x14ac:dyDescent="0.2">
      <c r="A160" s="107">
        <f t="shared" ca="1" si="25"/>
        <v>4</v>
      </c>
      <c r="B160" s="1" t="s">
        <v>140</v>
      </c>
      <c r="C160" s="1"/>
      <c r="D160" s="77">
        <v>36372</v>
      </c>
      <c r="E160" s="77">
        <v>36372</v>
      </c>
      <c r="F160" s="77"/>
      <c r="G160" s="8">
        <v>2744.08</v>
      </c>
      <c r="H160" s="1" t="s">
        <v>8</v>
      </c>
      <c r="I160" s="78">
        <v>3</v>
      </c>
      <c r="J160" s="8">
        <v>2744.08</v>
      </c>
      <c r="K160" s="8">
        <f t="shared" si="21"/>
        <v>0</v>
      </c>
      <c r="L160" s="8">
        <f t="shared" si="22"/>
        <v>2744.08</v>
      </c>
      <c r="M160" s="57">
        <f t="shared" si="23"/>
        <v>0</v>
      </c>
      <c r="N160" s="41">
        <f t="shared" si="24"/>
        <v>0</v>
      </c>
      <c r="O160" s="41">
        <f>ROUND(Dot_ex($D160,$E160,$F160,$G160,$H160,$I160,$L160+SUM($N160:N160),E$115,E$117,E$117),2)</f>
        <v>0</v>
      </c>
      <c r="P160" s="41">
        <f>ROUND(Dot_ex($D160,$E160,$F160,$G160,$H160,$I160,$L160+SUM($N160:O160),F$115,F$117,F$117),2)</f>
        <v>0</v>
      </c>
      <c r="Q160" s="41">
        <f>ROUND(Dot_ex($D160,$E160,$F160,$G160,$H160,$I160,$L160+SUM($N160:P160),G$115,G$117,G$117),2)</f>
        <v>0</v>
      </c>
      <c r="R160" s="57">
        <f>ROUND(Dot_ex($D160,$E160,$F160,$G160,$H160,$I160,$L160+SUM($N160:Q160),H$115,H$117,H$117),2)</f>
        <v>0</v>
      </c>
      <c r="S160" s="57">
        <f>ROUND(Dot_ex($D160,$E160,$F160,$G160,$H160,$I160,$L160+SUM($N160:R160),I$115,I$117,I$117),2)</f>
        <v>0</v>
      </c>
      <c r="T160" s="57">
        <f>ROUND(Dot_ex($D160,$E160,$F160,$G160,$H160,$I160,$L160+SUM($N160:S160),J$115,J$117,J$117),2)</f>
        <v>0</v>
      </c>
      <c r="U160" s="57">
        <f>ROUND(Dot_ex($D160,$E160,$F160,$G160,$H160,$I160,$L160+SUM($N160:T160),K$115,K$117,K$117),2)</f>
        <v>0</v>
      </c>
      <c r="V160" s="57">
        <f>ROUND(Dot_ex($D160,$E160,$F160,$G160,$H160,$I160,$L160+SUM($N160:U160),L$115,L$117,L$117),2)</f>
        <v>0</v>
      </c>
      <c r="W160" s="57">
        <f>ROUND(Dot_ex($D160,$E160,$F160,$G160,$H160,$I160,$L160+SUM($N160:V160),M$115,M$117,M$117),2)</f>
        <v>0</v>
      </c>
    </row>
    <row r="161" spans="1:23" x14ac:dyDescent="0.2">
      <c r="A161" s="107">
        <f t="shared" ca="1" si="25"/>
        <v>5</v>
      </c>
      <c r="B161" s="1" t="s">
        <v>141</v>
      </c>
      <c r="C161" s="1"/>
      <c r="D161" s="77">
        <v>36372</v>
      </c>
      <c r="E161" s="77">
        <v>36372</v>
      </c>
      <c r="F161" s="77"/>
      <c r="G161" s="8">
        <v>1676.94</v>
      </c>
      <c r="H161" s="1" t="s">
        <v>8</v>
      </c>
      <c r="I161" s="78">
        <v>3</v>
      </c>
      <c r="J161" s="8">
        <v>1676.94</v>
      </c>
      <c r="K161" s="8">
        <f t="shared" si="21"/>
        <v>0</v>
      </c>
      <c r="L161" s="8">
        <f t="shared" si="22"/>
        <v>1676.94</v>
      </c>
      <c r="M161" s="57">
        <f t="shared" si="23"/>
        <v>0</v>
      </c>
      <c r="N161" s="41">
        <f t="shared" si="24"/>
        <v>0</v>
      </c>
      <c r="O161" s="41">
        <f>ROUND(Dot_ex($D161,$E161,$F161,$G161,$H161,$I161,$L161+SUM($N161:N161),E$115,E$117,E$117),2)</f>
        <v>0</v>
      </c>
      <c r="P161" s="41">
        <f>ROUND(Dot_ex($D161,$E161,$F161,$G161,$H161,$I161,$L161+SUM($N161:O161),F$115,F$117,F$117),2)</f>
        <v>0</v>
      </c>
      <c r="Q161" s="41">
        <f>ROUND(Dot_ex($D161,$E161,$F161,$G161,$H161,$I161,$L161+SUM($N161:P161),G$115,G$117,G$117),2)</f>
        <v>0</v>
      </c>
      <c r="R161" s="57">
        <f>ROUND(Dot_ex($D161,$E161,$F161,$G161,$H161,$I161,$L161+SUM($N161:Q161),H$115,H$117,H$117),2)</f>
        <v>0</v>
      </c>
      <c r="S161" s="57">
        <f>ROUND(Dot_ex($D161,$E161,$F161,$G161,$H161,$I161,$L161+SUM($N161:R161),I$115,I$117,I$117),2)</f>
        <v>0</v>
      </c>
      <c r="T161" s="57">
        <f>ROUND(Dot_ex($D161,$E161,$F161,$G161,$H161,$I161,$L161+SUM($N161:S161),J$115,J$117,J$117),2)</f>
        <v>0</v>
      </c>
      <c r="U161" s="57">
        <f>ROUND(Dot_ex($D161,$E161,$F161,$G161,$H161,$I161,$L161+SUM($N161:T161),K$115,K$117,K$117),2)</f>
        <v>0</v>
      </c>
      <c r="V161" s="57">
        <f>ROUND(Dot_ex($D161,$E161,$F161,$G161,$H161,$I161,$L161+SUM($N161:U161),L$115,L$117,L$117),2)</f>
        <v>0</v>
      </c>
      <c r="W161" s="57">
        <f>ROUND(Dot_ex($D161,$E161,$F161,$G161,$H161,$I161,$L161+SUM($N161:V161),M$115,M$117,M$117),2)</f>
        <v>0</v>
      </c>
    </row>
    <row r="162" spans="1:23" x14ac:dyDescent="0.2">
      <c r="A162" s="107">
        <f t="shared" ca="1" si="25"/>
        <v>6</v>
      </c>
      <c r="B162" s="1" t="s">
        <v>142</v>
      </c>
      <c r="C162" s="1"/>
      <c r="D162" s="77">
        <v>36372</v>
      </c>
      <c r="E162" s="77">
        <v>36372</v>
      </c>
      <c r="F162" s="77"/>
      <c r="G162" s="8">
        <v>1448.27</v>
      </c>
      <c r="H162" s="1" t="s">
        <v>8</v>
      </c>
      <c r="I162" s="78">
        <v>3</v>
      </c>
      <c r="J162" s="8">
        <v>1448.27</v>
      </c>
      <c r="K162" s="8">
        <f t="shared" si="21"/>
        <v>0</v>
      </c>
      <c r="L162" s="8">
        <f t="shared" si="22"/>
        <v>1448.27</v>
      </c>
      <c r="M162" s="57">
        <f t="shared" si="23"/>
        <v>0</v>
      </c>
      <c r="N162" s="41">
        <f t="shared" si="24"/>
        <v>0</v>
      </c>
      <c r="O162" s="41">
        <f>ROUND(Dot_ex($D162,$E162,$F162,$G162,$H162,$I162,$L162+SUM($N162:N162),E$115,E$117,E$117),2)</f>
        <v>0</v>
      </c>
      <c r="P162" s="41">
        <f>ROUND(Dot_ex($D162,$E162,$F162,$G162,$H162,$I162,$L162+SUM($N162:O162),F$115,F$117,F$117),2)</f>
        <v>0</v>
      </c>
      <c r="Q162" s="41">
        <f>ROUND(Dot_ex($D162,$E162,$F162,$G162,$H162,$I162,$L162+SUM($N162:P162),G$115,G$117,G$117),2)</f>
        <v>0</v>
      </c>
      <c r="R162" s="57">
        <f>ROUND(Dot_ex($D162,$E162,$F162,$G162,$H162,$I162,$L162+SUM($N162:Q162),H$115,H$117,H$117),2)</f>
        <v>0</v>
      </c>
      <c r="S162" s="57">
        <f>ROUND(Dot_ex($D162,$E162,$F162,$G162,$H162,$I162,$L162+SUM($N162:R162),I$115,I$117,I$117),2)</f>
        <v>0</v>
      </c>
      <c r="T162" s="57">
        <f>ROUND(Dot_ex($D162,$E162,$F162,$G162,$H162,$I162,$L162+SUM($N162:S162),J$115,J$117,J$117),2)</f>
        <v>0</v>
      </c>
      <c r="U162" s="57">
        <f>ROUND(Dot_ex($D162,$E162,$F162,$G162,$H162,$I162,$L162+SUM($N162:T162),K$115,K$117,K$117),2)</f>
        <v>0</v>
      </c>
      <c r="V162" s="57">
        <f>ROUND(Dot_ex($D162,$E162,$F162,$G162,$H162,$I162,$L162+SUM($N162:U162),L$115,L$117,L$117),2)</f>
        <v>0</v>
      </c>
      <c r="W162" s="57">
        <f>ROUND(Dot_ex($D162,$E162,$F162,$G162,$H162,$I162,$L162+SUM($N162:V162),M$115,M$117,M$117),2)</f>
        <v>0</v>
      </c>
    </row>
    <row r="163" spans="1:23" x14ac:dyDescent="0.2">
      <c r="A163" s="107">
        <f t="shared" ca="1" si="25"/>
        <v>7</v>
      </c>
      <c r="B163" s="1" t="s">
        <v>143</v>
      </c>
      <c r="C163" s="1"/>
      <c r="D163" s="77">
        <v>36372</v>
      </c>
      <c r="E163" s="77">
        <v>36372</v>
      </c>
      <c r="F163" s="77">
        <v>40982</v>
      </c>
      <c r="G163" s="8">
        <v>533.57000000000005</v>
      </c>
      <c r="H163" s="1" t="s">
        <v>8</v>
      </c>
      <c r="I163" s="78">
        <v>3</v>
      </c>
      <c r="J163" s="8">
        <v>533.57000000000005</v>
      </c>
      <c r="K163" s="8">
        <f t="shared" si="21"/>
        <v>0</v>
      </c>
      <c r="L163" s="8">
        <f t="shared" si="22"/>
        <v>533.57000000000005</v>
      </c>
      <c r="M163" s="57">
        <f t="shared" si="23"/>
        <v>0</v>
      </c>
      <c r="N163" s="41">
        <f t="shared" si="24"/>
        <v>0</v>
      </c>
      <c r="O163" s="41">
        <f>ROUND(Dot_ex($D163,$E163,$F163,$G163,$H163,$I163,$L163+SUM($N163:N163),E$115,E$117,E$117),2)</f>
        <v>0</v>
      </c>
      <c r="P163" s="41">
        <f>ROUND(Dot_ex($D163,$E163,$F163,$G163,$H163,$I163,$L163+SUM($N163:O163),F$115,F$117,F$117),2)</f>
        <v>0</v>
      </c>
      <c r="Q163" s="41">
        <f>ROUND(Dot_ex($D163,$E163,$F163,$G163,$H163,$I163,$L163+SUM($N163:P163),G$115,G$117,G$117),2)</f>
        <v>0</v>
      </c>
      <c r="R163" s="57">
        <f>ROUND(Dot_ex($D163,$E163,$F163,$G163,$H163,$I163,$L163+SUM($N163:Q163),H$115,H$117,H$117),2)</f>
        <v>0</v>
      </c>
      <c r="S163" s="57">
        <f>ROUND(Dot_ex($D163,$E163,$F163,$G163,$H163,$I163,$L163+SUM($N163:R163),I$115,I$117,I$117),2)</f>
        <v>0</v>
      </c>
      <c r="T163" s="57">
        <f>ROUND(Dot_ex($D163,$E163,$F163,$G163,$H163,$I163,$L163+SUM($N163:S163),J$115,J$117,J$117),2)</f>
        <v>0</v>
      </c>
      <c r="U163" s="57">
        <f>ROUND(Dot_ex($D163,$E163,$F163,$G163,$H163,$I163,$L163+SUM($N163:T163),K$115,K$117,K$117),2)</f>
        <v>0</v>
      </c>
      <c r="V163" s="57">
        <f>ROUND(Dot_ex($D163,$E163,$F163,$G163,$H163,$I163,$L163+SUM($N163:U163),L$115,L$117,L$117),2)</f>
        <v>0</v>
      </c>
      <c r="W163" s="57">
        <f>ROUND(Dot_ex($D163,$E163,$F163,$G163,$H163,$I163,$L163+SUM($N163:V163),M$115,M$117,M$117),2)</f>
        <v>0</v>
      </c>
    </row>
    <row r="164" spans="1:23" x14ac:dyDescent="0.2">
      <c r="A164" s="107">
        <f t="shared" ca="1" si="25"/>
        <v>8</v>
      </c>
      <c r="B164" s="1" t="s">
        <v>144</v>
      </c>
      <c r="C164" s="1"/>
      <c r="D164" s="77">
        <v>36372</v>
      </c>
      <c r="E164" s="77">
        <v>36372</v>
      </c>
      <c r="F164" s="77">
        <v>40982</v>
      </c>
      <c r="G164" s="8">
        <v>750.05</v>
      </c>
      <c r="H164" s="1" t="s">
        <v>8</v>
      </c>
      <c r="I164" s="78">
        <v>3</v>
      </c>
      <c r="J164" s="8">
        <v>750.05</v>
      </c>
      <c r="K164" s="8">
        <f t="shared" si="21"/>
        <v>0</v>
      </c>
      <c r="L164" s="8">
        <f t="shared" si="22"/>
        <v>750.05</v>
      </c>
      <c r="M164" s="57">
        <f t="shared" si="23"/>
        <v>0</v>
      </c>
      <c r="N164" s="41">
        <f t="shared" si="24"/>
        <v>0</v>
      </c>
      <c r="O164" s="41">
        <f>ROUND(Dot_ex($D164,$E164,$F164,$G164,$H164,$I164,$L164+SUM($N164:N164),E$115,E$117,E$117),2)</f>
        <v>0</v>
      </c>
      <c r="P164" s="41">
        <f>ROUND(Dot_ex($D164,$E164,$F164,$G164,$H164,$I164,$L164+SUM($N164:O164),F$115,F$117,F$117),2)</f>
        <v>0</v>
      </c>
      <c r="Q164" s="41">
        <f>ROUND(Dot_ex($D164,$E164,$F164,$G164,$H164,$I164,$L164+SUM($N164:P164),G$115,G$117,G$117),2)</f>
        <v>0</v>
      </c>
      <c r="R164" s="57">
        <f>ROUND(Dot_ex($D164,$E164,$F164,$G164,$H164,$I164,$L164+SUM($N164:Q164),H$115,H$117,H$117),2)</f>
        <v>0</v>
      </c>
      <c r="S164" s="57">
        <f>ROUND(Dot_ex($D164,$E164,$F164,$G164,$H164,$I164,$L164+SUM($N164:R164),I$115,I$117,I$117),2)</f>
        <v>0</v>
      </c>
      <c r="T164" s="57">
        <f>ROUND(Dot_ex($D164,$E164,$F164,$G164,$H164,$I164,$L164+SUM($N164:S164),J$115,J$117,J$117),2)</f>
        <v>0</v>
      </c>
      <c r="U164" s="57">
        <f>ROUND(Dot_ex($D164,$E164,$F164,$G164,$H164,$I164,$L164+SUM($N164:T164),K$115,K$117,K$117),2)</f>
        <v>0</v>
      </c>
      <c r="V164" s="57">
        <f>ROUND(Dot_ex($D164,$E164,$F164,$G164,$H164,$I164,$L164+SUM($N164:U164),L$115,L$117,L$117),2)</f>
        <v>0</v>
      </c>
      <c r="W164" s="57">
        <f>ROUND(Dot_ex($D164,$E164,$F164,$G164,$H164,$I164,$L164+SUM($N164:V164),M$115,M$117,M$117),2)</f>
        <v>0</v>
      </c>
    </row>
    <row r="165" spans="1:23" x14ac:dyDescent="0.2">
      <c r="A165" s="107">
        <f t="shared" ca="1" si="25"/>
        <v>9</v>
      </c>
      <c r="B165" s="1" t="s">
        <v>175</v>
      </c>
      <c r="C165" s="1"/>
      <c r="D165" s="77">
        <v>37252</v>
      </c>
      <c r="E165" s="77">
        <v>37252</v>
      </c>
      <c r="F165" s="77">
        <v>40982</v>
      </c>
      <c r="G165" s="8">
        <v>764.53</v>
      </c>
      <c r="H165" s="1" t="s">
        <v>8</v>
      </c>
      <c r="I165" s="78">
        <v>3</v>
      </c>
      <c r="J165" s="8">
        <v>764.53</v>
      </c>
      <c r="K165" s="8">
        <f t="shared" si="21"/>
        <v>0</v>
      </c>
      <c r="L165" s="8">
        <f t="shared" si="22"/>
        <v>764.53</v>
      </c>
      <c r="M165" s="57">
        <f t="shared" si="23"/>
        <v>0</v>
      </c>
      <c r="N165" s="41">
        <f t="shared" si="24"/>
        <v>0</v>
      </c>
      <c r="O165" s="41">
        <f>ROUND(Dot_ex($D165,$E165,$F165,$G165,$H165,$I165,$L165+SUM($N165:N165),E$115,E$117,E$117),2)</f>
        <v>0</v>
      </c>
      <c r="P165" s="41">
        <f>ROUND(Dot_ex($D165,$E165,$F165,$G165,$H165,$I165,$L165+SUM($N165:O165),F$115,F$117,F$117),2)</f>
        <v>0</v>
      </c>
      <c r="Q165" s="41">
        <f>ROUND(Dot_ex($D165,$E165,$F165,$G165,$H165,$I165,$L165+SUM($N165:P165),G$115,G$117,G$117),2)</f>
        <v>0</v>
      </c>
      <c r="R165" s="57">
        <f>ROUND(Dot_ex($D165,$E165,$F165,$G165,$H165,$I165,$L165+SUM($N165:Q165),H$115,H$117,H$117),2)</f>
        <v>0</v>
      </c>
      <c r="S165" s="57">
        <f>ROUND(Dot_ex($D165,$E165,$F165,$G165,$H165,$I165,$L165+SUM($N165:R165),I$115,I$117,I$117),2)</f>
        <v>0</v>
      </c>
      <c r="T165" s="57">
        <f>ROUND(Dot_ex($D165,$E165,$F165,$G165,$H165,$I165,$L165+SUM($N165:S165),J$115,J$117,J$117),2)</f>
        <v>0</v>
      </c>
      <c r="U165" s="57">
        <f>ROUND(Dot_ex($D165,$E165,$F165,$G165,$H165,$I165,$L165+SUM($N165:T165),K$115,K$117,K$117),2)</f>
        <v>0</v>
      </c>
      <c r="V165" s="57">
        <f>ROUND(Dot_ex($D165,$E165,$F165,$G165,$H165,$I165,$L165+SUM($N165:U165),L$115,L$117,L$117),2)</f>
        <v>0</v>
      </c>
      <c r="W165" s="57">
        <f>ROUND(Dot_ex($D165,$E165,$F165,$G165,$H165,$I165,$L165+SUM($N165:V165),M$115,M$117,M$117),2)</f>
        <v>0</v>
      </c>
    </row>
    <row r="166" spans="1:23" x14ac:dyDescent="0.2">
      <c r="A166" s="107">
        <f t="shared" ca="1" si="25"/>
        <v>10</v>
      </c>
      <c r="B166" s="1" t="s">
        <v>176</v>
      </c>
      <c r="C166" s="1"/>
      <c r="D166" s="77">
        <v>37252</v>
      </c>
      <c r="E166" s="77">
        <v>37252</v>
      </c>
      <c r="F166" s="77">
        <v>40982</v>
      </c>
      <c r="G166" s="8">
        <v>937.56</v>
      </c>
      <c r="H166" s="1" t="s">
        <v>8</v>
      </c>
      <c r="I166" s="78">
        <v>3</v>
      </c>
      <c r="J166" s="8">
        <v>937.56</v>
      </c>
      <c r="K166" s="8">
        <f t="shared" si="21"/>
        <v>0</v>
      </c>
      <c r="L166" s="8">
        <f t="shared" si="22"/>
        <v>937.56</v>
      </c>
      <c r="M166" s="57">
        <f t="shared" si="23"/>
        <v>0</v>
      </c>
      <c r="N166" s="41">
        <f t="shared" si="24"/>
        <v>0</v>
      </c>
      <c r="O166" s="41">
        <f>ROUND(Dot_ex($D166,$E166,$F166,$G166,$H166,$I166,$L166+SUM($N166:N166),E$115,E$117,E$117),2)</f>
        <v>0</v>
      </c>
      <c r="P166" s="41">
        <f>ROUND(Dot_ex($D166,$E166,$F166,$G166,$H166,$I166,$L166+SUM($N166:O166),F$115,F$117,F$117),2)</f>
        <v>0</v>
      </c>
      <c r="Q166" s="41">
        <f>ROUND(Dot_ex($D166,$E166,$F166,$G166,$H166,$I166,$L166+SUM($N166:P166),G$115,G$117,G$117),2)</f>
        <v>0</v>
      </c>
      <c r="R166" s="57">
        <f>ROUND(Dot_ex($D166,$E166,$F166,$G166,$H166,$I166,$L166+SUM($N166:Q166),H$115,H$117,H$117),2)</f>
        <v>0</v>
      </c>
      <c r="S166" s="57">
        <f>ROUND(Dot_ex($D166,$E166,$F166,$G166,$H166,$I166,$L166+SUM($N166:R166),I$115,I$117,I$117),2)</f>
        <v>0</v>
      </c>
      <c r="T166" s="57">
        <f>ROUND(Dot_ex($D166,$E166,$F166,$G166,$H166,$I166,$L166+SUM($N166:S166),J$115,J$117,J$117),2)</f>
        <v>0</v>
      </c>
      <c r="U166" s="57">
        <f>ROUND(Dot_ex($D166,$E166,$F166,$G166,$H166,$I166,$L166+SUM($N166:T166),K$115,K$117,K$117),2)</f>
        <v>0</v>
      </c>
      <c r="V166" s="57">
        <f>ROUND(Dot_ex($D166,$E166,$F166,$G166,$H166,$I166,$L166+SUM($N166:U166),L$115,L$117,L$117),2)</f>
        <v>0</v>
      </c>
      <c r="W166" s="57">
        <f>ROUND(Dot_ex($D166,$E166,$F166,$G166,$H166,$I166,$L166+SUM($N166:V166),M$115,M$117,M$117),2)</f>
        <v>0</v>
      </c>
    </row>
    <row r="167" spans="1:23" x14ac:dyDescent="0.2">
      <c r="A167" s="107">
        <f t="shared" ca="1" si="25"/>
        <v>11</v>
      </c>
      <c r="B167" s="1" t="s">
        <v>178</v>
      </c>
      <c r="C167" s="1"/>
      <c r="D167" s="77">
        <v>37252</v>
      </c>
      <c r="E167" s="77">
        <v>37252</v>
      </c>
      <c r="F167" s="77">
        <v>40982</v>
      </c>
      <c r="G167" s="8">
        <v>113.43</v>
      </c>
      <c r="H167" s="1" t="s">
        <v>8</v>
      </c>
      <c r="I167" s="78">
        <v>3</v>
      </c>
      <c r="J167" s="8">
        <v>113.43</v>
      </c>
      <c r="K167" s="8">
        <f t="shared" si="21"/>
        <v>0</v>
      </c>
      <c r="L167" s="8">
        <f t="shared" si="22"/>
        <v>113.43</v>
      </c>
      <c r="M167" s="57">
        <f t="shared" si="23"/>
        <v>0</v>
      </c>
      <c r="N167" s="41">
        <f t="shared" si="24"/>
        <v>0</v>
      </c>
      <c r="O167" s="41">
        <f>ROUND(Dot_ex($D167,$E167,$F167,$G167,$H167,$I167,$L167+SUM($N167:N167),E$115,E$117,E$117),2)</f>
        <v>0</v>
      </c>
      <c r="P167" s="41">
        <f>ROUND(Dot_ex($D167,$E167,$F167,$G167,$H167,$I167,$L167+SUM($N167:O167),F$115,F$117,F$117),2)</f>
        <v>0</v>
      </c>
      <c r="Q167" s="41">
        <f>ROUND(Dot_ex($D167,$E167,$F167,$G167,$H167,$I167,$L167+SUM($N167:P167),G$115,G$117,G$117),2)</f>
        <v>0</v>
      </c>
      <c r="R167" s="57">
        <f>ROUND(Dot_ex($D167,$E167,$F167,$G167,$H167,$I167,$L167+SUM($N167:Q167),H$115,H$117,H$117),2)</f>
        <v>0</v>
      </c>
      <c r="S167" s="57">
        <f>ROUND(Dot_ex($D167,$E167,$F167,$G167,$H167,$I167,$L167+SUM($N167:R167),I$115,I$117,I$117),2)</f>
        <v>0</v>
      </c>
      <c r="T167" s="57">
        <f>ROUND(Dot_ex($D167,$E167,$F167,$G167,$H167,$I167,$L167+SUM($N167:S167),J$115,J$117,J$117),2)</f>
        <v>0</v>
      </c>
      <c r="U167" s="57">
        <f>ROUND(Dot_ex($D167,$E167,$F167,$G167,$H167,$I167,$L167+SUM($N167:T167),K$115,K$117,K$117),2)</f>
        <v>0</v>
      </c>
      <c r="V167" s="57">
        <f>ROUND(Dot_ex($D167,$E167,$F167,$G167,$H167,$I167,$L167+SUM($N167:U167),L$115,L$117,L$117),2)</f>
        <v>0</v>
      </c>
      <c r="W167" s="57">
        <f>ROUND(Dot_ex($D167,$E167,$F167,$G167,$H167,$I167,$L167+SUM($N167:V167),M$115,M$117,M$117),2)</f>
        <v>0</v>
      </c>
    </row>
    <row r="168" spans="1:23" x14ac:dyDescent="0.2">
      <c r="A168" s="107">
        <f t="shared" ca="1" si="25"/>
        <v>12</v>
      </c>
      <c r="B168" s="1" t="s">
        <v>177</v>
      </c>
      <c r="C168" s="1"/>
      <c r="D168" s="77">
        <v>37252</v>
      </c>
      <c r="E168" s="77">
        <v>37252</v>
      </c>
      <c r="F168" s="77">
        <v>40982</v>
      </c>
      <c r="G168" s="8">
        <v>25.92</v>
      </c>
      <c r="H168" s="1" t="s">
        <v>8</v>
      </c>
      <c r="I168" s="78">
        <v>3</v>
      </c>
      <c r="J168" s="8">
        <v>25.92</v>
      </c>
      <c r="K168" s="8">
        <f t="shared" si="21"/>
        <v>0</v>
      </c>
      <c r="L168" s="8">
        <f t="shared" si="22"/>
        <v>25.92</v>
      </c>
      <c r="M168" s="57">
        <f t="shared" si="23"/>
        <v>0</v>
      </c>
      <c r="N168" s="41">
        <f t="shared" si="24"/>
        <v>0</v>
      </c>
      <c r="O168" s="41">
        <f>ROUND(Dot_ex($D168,$E168,$F168,$G168,$H168,$I168,$L168+SUM($N168:N168),E$115,E$117,E$117),2)</f>
        <v>0</v>
      </c>
      <c r="P168" s="41">
        <f>ROUND(Dot_ex($D168,$E168,$F168,$G168,$H168,$I168,$L168+SUM($N168:O168),F$115,F$117,F$117),2)</f>
        <v>0</v>
      </c>
      <c r="Q168" s="41">
        <f>ROUND(Dot_ex($D168,$E168,$F168,$G168,$H168,$I168,$L168+SUM($N168:P168),G$115,G$117,G$117),2)</f>
        <v>0</v>
      </c>
      <c r="R168" s="57">
        <f>ROUND(Dot_ex($D168,$E168,$F168,$G168,$H168,$I168,$L168+SUM($N168:Q168),H$115,H$117,H$117),2)</f>
        <v>0</v>
      </c>
      <c r="S168" s="57">
        <f>ROUND(Dot_ex($D168,$E168,$F168,$G168,$H168,$I168,$L168+SUM($N168:R168),I$115,I$117,I$117),2)</f>
        <v>0</v>
      </c>
      <c r="T168" s="57">
        <f>ROUND(Dot_ex($D168,$E168,$F168,$G168,$H168,$I168,$L168+SUM($N168:S168),J$115,J$117,J$117),2)</f>
        <v>0</v>
      </c>
      <c r="U168" s="57">
        <f>ROUND(Dot_ex($D168,$E168,$F168,$G168,$H168,$I168,$L168+SUM($N168:T168),K$115,K$117,K$117),2)</f>
        <v>0</v>
      </c>
      <c r="V168" s="57">
        <f>ROUND(Dot_ex($D168,$E168,$F168,$G168,$H168,$I168,$L168+SUM($N168:U168),L$115,L$117,L$117),2)</f>
        <v>0</v>
      </c>
      <c r="W168" s="57">
        <f>ROUND(Dot_ex($D168,$E168,$F168,$G168,$H168,$I168,$L168+SUM($N168:V168),M$115,M$117,M$117),2)</f>
        <v>0</v>
      </c>
    </row>
    <row r="169" spans="1:23" x14ac:dyDescent="0.2">
      <c r="A169" s="107">
        <f t="shared" ca="1" si="25"/>
        <v>13</v>
      </c>
      <c r="B169" s="1" t="s">
        <v>179</v>
      </c>
      <c r="C169" s="1"/>
      <c r="D169" s="77">
        <v>37414</v>
      </c>
      <c r="E169" s="77">
        <v>37414</v>
      </c>
      <c r="F169" s="77"/>
      <c r="G169" s="8">
        <v>5000</v>
      </c>
      <c r="H169" s="1" t="s">
        <v>8</v>
      </c>
      <c r="I169" s="78">
        <v>3</v>
      </c>
      <c r="J169" s="8">
        <v>5000</v>
      </c>
      <c r="K169" s="8">
        <f t="shared" si="21"/>
        <v>0</v>
      </c>
      <c r="L169" s="8">
        <f t="shared" si="22"/>
        <v>5000</v>
      </c>
      <c r="M169" s="57">
        <f t="shared" si="23"/>
        <v>0</v>
      </c>
      <c r="N169" s="41">
        <f t="shared" si="24"/>
        <v>0</v>
      </c>
      <c r="O169" s="41">
        <f>ROUND(Dot_ex($D169,$E169,$F169,$G169,$H169,$I169,$L169+SUM($N169:N169),E$115,E$117,E$117),2)</f>
        <v>0</v>
      </c>
      <c r="P169" s="41">
        <f>ROUND(Dot_ex($D169,$E169,$F169,$G169,$H169,$I169,$L169+SUM($N169:O169),F$115,F$117,F$117),2)</f>
        <v>0</v>
      </c>
      <c r="Q169" s="41">
        <f>ROUND(Dot_ex($D169,$E169,$F169,$G169,$H169,$I169,$L169+SUM($N169:P169),G$115,G$117,G$117),2)</f>
        <v>0</v>
      </c>
      <c r="R169" s="57">
        <f>ROUND(Dot_ex($D169,$E169,$F169,$G169,$H169,$I169,$L169+SUM($N169:Q169),H$115,H$117,H$117),2)</f>
        <v>0</v>
      </c>
      <c r="S169" s="57">
        <f>ROUND(Dot_ex($D169,$E169,$F169,$G169,$H169,$I169,$L169+SUM($N169:R169),I$115,I$117,I$117),2)</f>
        <v>0</v>
      </c>
      <c r="T169" s="57">
        <f>ROUND(Dot_ex($D169,$E169,$F169,$G169,$H169,$I169,$L169+SUM($N169:S169),J$115,J$117,J$117),2)</f>
        <v>0</v>
      </c>
      <c r="U169" s="57">
        <f>ROUND(Dot_ex($D169,$E169,$F169,$G169,$H169,$I169,$L169+SUM($N169:T169),K$115,K$117,K$117),2)</f>
        <v>0</v>
      </c>
      <c r="V169" s="57">
        <f>ROUND(Dot_ex($D169,$E169,$F169,$G169,$H169,$I169,$L169+SUM($N169:U169),L$115,L$117,L$117),2)</f>
        <v>0</v>
      </c>
      <c r="W169" s="57">
        <f>ROUND(Dot_ex($D169,$E169,$F169,$G169,$H169,$I169,$L169+SUM($N169:V169),M$115,M$117,M$117),2)</f>
        <v>0</v>
      </c>
    </row>
    <row r="170" spans="1:23" x14ac:dyDescent="0.2">
      <c r="A170" s="107">
        <f t="shared" ca="1" si="25"/>
        <v>14</v>
      </c>
      <c r="B170" s="1" t="s">
        <v>257</v>
      </c>
      <c r="C170" s="1" t="s">
        <v>265</v>
      </c>
      <c r="D170" s="77">
        <v>38783</v>
      </c>
      <c r="E170" s="77">
        <v>38783</v>
      </c>
      <c r="F170" s="77">
        <v>40982</v>
      </c>
      <c r="G170" s="8">
        <v>1004.44</v>
      </c>
      <c r="H170" s="1" t="s">
        <v>8</v>
      </c>
      <c r="I170" s="78">
        <v>3</v>
      </c>
      <c r="J170" s="8">
        <v>1004.44</v>
      </c>
      <c r="K170" s="8">
        <f t="shared" si="21"/>
        <v>0</v>
      </c>
      <c r="L170" s="8">
        <f t="shared" si="22"/>
        <v>1004.44</v>
      </c>
      <c r="M170" s="57">
        <f t="shared" si="23"/>
        <v>0</v>
      </c>
      <c r="N170" s="41">
        <f t="shared" si="24"/>
        <v>0</v>
      </c>
      <c r="O170" s="41">
        <f>ROUND(Dot_ex($D170,$E170,$F170,$G170,$H170,$I170,$L170+SUM($N170:N170),E$115,E$117,E$117),2)</f>
        <v>0</v>
      </c>
      <c r="P170" s="41">
        <f>ROUND(Dot_ex($D170,$E170,$F170,$G170,$H170,$I170,$L170+SUM($N170:O170),F$115,F$117,F$117),2)</f>
        <v>0</v>
      </c>
      <c r="Q170" s="41">
        <f>ROUND(Dot_ex($D170,$E170,$F170,$G170,$H170,$I170,$L170+SUM($N170:P170),G$115,G$117,G$117),2)</f>
        <v>0</v>
      </c>
      <c r="R170" s="57">
        <f>ROUND(Dot_ex($D170,$E170,$F170,$G170,$H170,$I170,$L170+SUM($N170:Q170),H$115,H$117,H$117),2)</f>
        <v>0</v>
      </c>
      <c r="S170" s="57">
        <f>ROUND(Dot_ex($D170,$E170,$F170,$G170,$H170,$I170,$L170+SUM($N170:R170),I$115,I$117,I$117),2)</f>
        <v>0</v>
      </c>
      <c r="T170" s="57">
        <f>ROUND(Dot_ex($D170,$E170,$F170,$G170,$H170,$I170,$L170+SUM($N170:S170),J$115,J$117,J$117),2)</f>
        <v>0</v>
      </c>
      <c r="U170" s="57">
        <f>ROUND(Dot_ex($D170,$E170,$F170,$G170,$H170,$I170,$L170+SUM($N170:T170),K$115,K$117,K$117),2)</f>
        <v>0</v>
      </c>
      <c r="V170" s="57">
        <f>ROUND(Dot_ex($D170,$E170,$F170,$G170,$H170,$I170,$L170+SUM($N170:U170),L$115,L$117,L$117),2)</f>
        <v>0</v>
      </c>
      <c r="W170" s="57">
        <f>ROUND(Dot_ex($D170,$E170,$F170,$G170,$H170,$I170,$L170+SUM($N170:V170),M$115,M$117,M$117),2)</f>
        <v>0</v>
      </c>
    </row>
    <row r="171" spans="1:23" x14ac:dyDescent="0.2">
      <c r="A171" s="107">
        <f t="shared" ca="1" si="25"/>
        <v>15</v>
      </c>
      <c r="B171" s="1" t="s">
        <v>263</v>
      </c>
      <c r="C171" s="1" t="s">
        <v>265</v>
      </c>
      <c r="D171" s="77">
        <v>38898</v>
      </c>
      <c r="E171" s="77">
        <v>38898</v>
      </c>
      <c r="F171" s="77"/>
      <c r="G171" s="8">
        <v>5750</v>
      </c>
      <c r="H171" s="1" t="s">
        <v>8</v>
      </c>
      <c r="I171" s="78">
        <v>3</v>
      </c>
      <c r="J171" s="8">
        <v>5750</v>
      </c>
      <c r="K171" s="8">
        <f t="shared" si="21"/>
        <v>0</v>
      </c>
      <c r="L171" s="8">
        <f t="shared" si="22"/>
        <v>5750</v>
      </c>
      <c r="M171" s="57">
        <f t="shared" si="23"/>
        <v>0</v>
      </c>
      <c r="N171" s="41">
        <f t="shared" si="24"/>
        <v>0</v>
      </c>
      <c r="O171" s="41">
        <f>ROUND(Dot_ex($D171,$E171,$F171,$G171,$H171,$I171,$L171+SUM($N171:N171),E$115,E$117,E$117),2)</f>
        <v>0</v>
      </c>
      <c r="P171" s="41">
        <f>ROUND(Dot_ex($D171,$E171,$F171,$G171,$H171,$I171,$L171+SUM($N171:O171),F$115,F$117,F$117),2)</f>
        <v>0</v>
      </c>
      <c r="Q171" s="41">
        <f>ROUND(Dot_ex($D171,$E171,$F171,$G171,$H171,$I171,$L171+SUM($N171:P171),G$115,G$117,G$117),2)</f>
        <v>0</v>
      </c>
      <c r="R171" s="57">
        <f>ROUND(Dot_ex($D171,$E171,$F171,$G171,$H171,$I171,$L171+SUM($N171:Q171),H$115,H$117,H$117),2)</f>
        <v>0</v>
      </c>
      <c r="S171" s="57">
        <f>ROUND(Dot_ex($D171,$E171,$F171,$G171,$H171,$I171,$L171+SUM($N171:R171),I$115,I$117,I$117),2)</f>
        <v>0</v>
      </c>
      <c r="T171" s="57">
        <f>ROUND(Dot_ex($D171,$E171,$F171,$G171,$H171,$I171,$L171+SUM($N171:S171),J$115,J$117,J$117),2)</f>
        <v>0</v>
      </c>
      <c r="U171" s="57">
        <f>ROUND(Dot_ex($D171,$E171,$F171,$G171,$H171,$I171,$L171+SUM($N171:T171),K$115,K$117,K$117),2)</f>
        <v>0</v>
      </c>
      <c r="V171" s="57">
        <f>ROUND(Dot_ex($D171,$E171,$F171,$G171,$H171,$I171,$L171+SUM($N171:U171),L$115,L$117,L$117),2)</f>
        <v>0</v>
      </c>
      <c r="W171" s="57">
        <f>ROUND(Dot_ex($D171,$E171,$F171,$G171,$H171,$I171,$L171+SUM($N171:V171),M$115,M$117,M$117),2)</f>
        <v>0</v>
      </c>
    </row>
    <row r="172" spans="1:23" x14ac:dyDescent="0.2">
      <c r="A172" s="107">
        <f t="shared" ca="1" si="25"/>
        <v>16</v>
      </c>
      <c r="B172" s="206" t="s">
        <v>274</v>
      </c>
      <c r="C172" s="1" t="s">
        <v>265</v>
      </c>
      <c r="D172" s="77">
        <v>38899</v>
      </c>
      <c r="E172" s="77">
        <v>38899</v>
      </c>
      <c r="F172" s="77"/>
      <c r="G172" s="8">
        <v>1200</v>
      </c>
      <c r="H172" s="1" t="s">
        <v>8</v>
      </c>
      <c r="I172" s="78">
        <v>3</v>
      </c>
      <c r="J172" s="8">
        <v>1200</v>
      </c>
      <c r="K172" s="8">
        <f>ROUND(Dot_ex(D172,E172,F172,G172,H172,I172,J172,$G$6,$I$6,$I$8),2)</f>
        <v>0</v>
      </c>
      <c r="L172" s="8">
        <f>J172+K172</f>
        <v>1200</v>
      </c>
      <c r="M172" s="57">
        <f>G172-L172</f>
        <v>0</v>
      </c>
      <c r="N172" s="41">
        <f t="shared" si="24"/>
        <v>0</v>
      </c>
      <c r="O172" s="41">
        <f>ROUND(Dot_ex($D172,$E172,$F172,$G172,$H172,$I172,$L172+SUM($N172:N172),E$115,E$117,E$117),2)</f>
        <v>0</v>
      </c>
      <c r="P172" s="41">
        <f>ROUND(Dot_ex($D172,$E172,$F172,$G172,$H172,$I172,$L172+SUM($N172:O172),F$115,F$117,F$117),2)</f>
        <v>0</v>
      </c>
      <c r="Q172" s="41">
        <f>ROUND(Dot_ex($D172,$E172,$F172,$G172,$H172,$I172,$L172+SUM($N172:P172),G$115,G$117,G$117),2)</f>
        <v>0</v>
      </c>
      <c r="R172" s="57">
        <f>ROUND(Dot_ex($D172,$E172,$F172,$G172,$H172,$I172,$L172+SUM($N172:Q172),H$115,H$117,H$117),2)</f>
        <v>0</v>
      </c>
      <c r="S172" s="57">
        <f>ROUND(Dot_ex($D172,$E172,$F172,$G172,$H172,$I172,$L172+SUM($N172:R172),I$115,I$117,I$117),2)</f>
        <v>0</v>
      </c>
      <c r="T172" s="57">
        <f>ROUND(Dot_ex($D172,$E172,$F172,$G172,$H172,$I172,$L172+SUM($N172:S172),J$115,J$117,J$117),2)</f>
        <v>0</v>
      </c>
      <c r="U172" s="57">
        <f>ROUND(Dot_ex($D172,$E172,$F172,$G172,$H172,$I172,$L172+SUM($N172:T172),K$115,K$117,K$117),2)</f>
        <v>0</v>
      </c>
      <c r="V172" s="57">
        <f>ROUND(Dot_ex($D172,$E172,$F172,$G172,$H172,$I172,$L172+SUM($N172:U172),L$115,L$117,L$117),2)</f>
        <v>0</v>
      </c>
      <c r="W172" s="57">
        <f>ROUND(Dot_ex($D172,$E172,$F172,$G172,$H172,$I172,$L172+SUM($N172:V172),M$115,M$117,M$117),2)</f>
        <v>0</v>
      </c>
    </row>
    <row r="173" spans="1:23" x14ac:dyDescent="0.2">
      <c r="A173" s="107">
        <f t="shared" ca="1" si="25"/>
        <v>17</v>
      </c>
      <c r="B173" s="1" t="s">
        <v>278</v>
      </c>
      <c r="C173" s="1" t="s">
        <v>265</v>
      </c>
      <c r="D173" s="77">
        <v>39976</v>
      </c>
      <c r="E173" s="77">
        <v>39976</v>
      </c>
      <c r="F173" s="77"/>
      <c r="G173" s="8">
        <v>750</v>
      </c>
      <c r="H173" s="1" t="s">
        <v>8</v>
      </c>
      <c r="I173" s="78">
        <v>3</v>
      </c>
      <c r="J173" s="8">
        <v>513.01</v>
      </c>
      <c r="K173" s="8">
        <f>ROUND(Dot_ex(D173,E173,F173,G173,H173,I173,J173,$G$6,$I$6,$I$8),2)</f>
        <v>236.99</v>
      </c>
      <c r="L173" s="8">
        <f>J173+K173</f>
        <v>750</v>
      </c>
      <c r="M173" s="57">
        <f>G173-L173</f>
        <v>0</v>
      </c>
      <c r="N173" s="41">
        <f>ROUND(Dot_ex($D173,$E173,$F173,$G173,$H173,$I173,$L173,D$115,D$117,D$117),2)</f>
        <v>0</v>
      </c>
      <c r="O173" s="41">
        <f>ROUND(Dot_ex($D173,$E173,$F173,$G173,$H173,$I173,$L173+SUM($N173:N173),E$115,E$117,E$117),2)</f>
        <v>0</v>
      </c>
      <c r="P173" s="41">
        <f>ROUND(Dot_ex($D173,$E173,$F173,$G173,$H173,$I173,$L173+SUM($N173:O173),F$115,F$117,F$117),2)</f>
        <v>0</v>
      </c>
      <c r="Q173" s="41">
        <f>ROUND(Dot_ex($D173,$E173,$F173,$G173,$H173,$I173,$L173+SUM($N173:P173),G$115,G$117,G$117),2)</f>
        <v>0</v>
      </c>
      <c r="R173" s="57">
        <f>ROUND(Dot_ex($D173,$E173,$F173,$G173,$H173,$I173,$L173+SUM($N173:Q173),H$115,H$117,H$117),2)</f>
        <v>0</v>
      </c>
      <c r="S173" s="57">
        <f>ROUND(Dot_ex($D173,$E173,$F173,$G173,$H173,$I173,$L173+SUM($N173:R173),I$115,I$117,I$117),2)</f>
        <v>0</v>
      </c>
      <c r="T173" s="57">
        <f>ROUND(Dot_ex($D173,$E173,$F173,$G173,$H173,$I173,$L173+SUM($N173:S173),J$115,J$117,J$117),2)</f>
        <v>0</v>
      </c>
      <c r="U173" s="57">
        <f>ROUND(Dot_ex($D173,$E173,$F173,$G173,$H173,$I173,$L173+SUM($N173:T173),K$115,K$117,K$117),2)</f>
        <v>0</v>
      </c>
      <c r="V173" s="57">
        <f>ROUND(Dot_ex($D173,$E173,$F173,$G173,$H173,$I173,$L173+SUM($N173:U173),L$115,L$117,L$117),2)</f>
        <v>0</v>
      </c>
      <c r="W173" s="57">
        <f>ROUND(Dot_ex($D173,$E173,$F173,$G173,$H173,$I173,$L173+SUM($N173:V173),M$115,M$117,M$117),2)</f>
        <v>0</v>
      </c>
    </row>
    <row r="174" spans="1:23" x14ac:dyDescent="0.2">
      <c r="A174" s="107">
        <f t="shared" ca="1" si="25"/>
        <v>18</v>
      </c>
      <c r="B174" s="1" t="s">
        <v>283</v>
      </c>
      <c r="C174" s="1" t="s">
        <v>265</v>
      </c>
      <c r="D174" s="77">
        <v>40207</v>
      </c>
      <c r="E174" s="77">
        <v>40207</v>
      </c>
      <c r="F174" s="77"/>
      <c r="G174" s="8">
        <v>250</v>
      </c>
      <c r="H174" s="1" t="s">
        <v>8</v>
      </c>
      <c r="I174" s="78">
        <v>3</v>
      </c>
      <c r="J174" s="8">
        <v>118.26</v>
      </c>
      <c r="K174" s="8">
        <f>ROUND(Dot_ex(D174,E174,F174,G174,H174,I174,J174,$G$6,$I$6,$I$8),2)</f>
        <v>83.33</v>
      </c>
      <c r="L174" s="8">
        <f>J174+K174</f>
        <v>201.59</v>
      </c>
      <c r="M174" s="57">
        <f>G174-L174</f>
        <v>48.41</v>
      </c>
      <c r="N174" s="41">
        <f>ROUND(Dot_ex($D174,$E174,$F174,$G174,$H174,$I174,$L174,D$115,D$117,D$117),2)</f>
        <v>48.41</v>
      </c>
      <c r="O174" s="41">
        <f>ROUND(Dot_ex($D174,$E174,$F174,$G174,$H174,$I174,$L174+SUM($N174:N174),E$115,E$117,E$117),2)</f>
        <v>0</v>
      </c>
      <c r="P174" s="41">
        <f>ROUND(Dot_ex($D174,$E174,$F174,$G174,$H174,$I174,$L174+SUM($N174:O174),F$115,F$117,F$117),2)</f>
        <v>0</v>
      </c>
      <c r="Q174" s="41">
        <f>ROUND(Dot_ex($D174,$E174,$F174,$G174,$H174,$I174,$L174+SUM($N174:P174),G$115,G$117,G$117),2)</f>
        <v>0</v>
      </c>
      <c r="R174" s="57">
        <f>ROUND(Dot_ex($D174,$E174,$F174,$G174,$H174,$I174,$L174+SUM($N174:Q174),H$115,H$117,H$117),2)</f>
        <v>0</v>
      </c>
      <c r="S174" s="57">
        <f>ROUND(Dot_ex($D174,$E174,$F174,$G174,$H174,$I174,$L174+SUM($N174:R174),I$115,I$117,I$117),2)</f>
        <v>0</v>
      </c>
      <c r="T174" s="57">
        <f>ROUND(Dot_ex($D174,$E174,$F174,$G174,$H174,$I174,$L174+SUM($N174:S174),J$115,J$117,J$117),2)</f>
        <v>0</v>
      </c>
      <c r="U174" s="57">
        <f>ROUND(Dot_ex($D174,$E174,$F174,$G174,$H174,$I174,$L174+SUM($N174:T174),K$115,K$117,K$117),2)</f>
        <v>0</v>
      </c>
      <c r="V174" s="57">
        <f>ROUND(Dot_ex($D174,$E174,$F174,$G174,$H174,$I174,$L174+SUM($N174:U174),L$115,L$117,L$117),2)</f>
        <v>0</v>
      </c>
      <c r="W174" s="57">
        <f>ROUND(Dot_ex($D174,$E174,$F174,$G174,$H174,$I174,$L174+SUM($N174:V174),M$115,M$117,M$117),2)</f>
        <v>0</v>
      </c>
    </row>
    <row r="175" spans="1:23" x14ac:dyDescent="0.2">
      <c r="A175" s="107">
        <f t="shared" ca="1" si="25"/>
        <v>19</v>
      </c>
      <c r="B175" s="1" t="s">
        <v>288</v>
      </c>
      <c r="C175" s="1" t="s">
        <v>265</v>
      </c>
      <c r="D175" s="77">
        <v>40694</v>
      </c>
      <c r="E175" s="77">
        <v>40694</v>
      </c>
      <c r="F175" s="77"/>
      <c r="G175" s="8">
        <v>351</v>
      </c>
      <c r="H175" s="1" t="s">
        <v>8</v>
      </c>
      <c r="I175" s="78">
        <v>3</v>
      </c>
      <c r="J175" s="8">
        <v>9.94</v>
      </c>
      <c r="K175" s="8">
        <f>ROUND(Dot_ex(D175,E175,F175,G175,H175,I175,J175,$G$6,$I$6,$I$8),2)</f>
        <v>117</v>
      </c>
      <c r="L175" s="8">
        <f>J175+K175</f>
        <v>126.94</v>
      </c>
      <c r="M175" s="57">
        <f>G175-L175</f>
        <v>224.06</v>
      </c>
      <c r="N175" s="41">
        <f>ROUND(Dot_ex($D175,$E175,$F175,$G175,$H175,$I175,$L175,D$115,D$117,D$117),2)</f>
        <v>117</v>
      </c>
      <c r="O175" s="41">
        <f>ROUND(Dot_ex($D175,$E175,$F175,$G175,$H175,$I175,$L175+SUM($N175:N175),E$115,E$117,E$117),2)</f>
        <v>107.06</v>
      </c>
      <c r="P175" s="41">
        <f>ROUND(Dot_ex($D175,$E175,$F175,$G175,$H175,$I175,$L175+SUM($N175:O175),F$115,F$117,F$117),2)</f>
        <v>0</v>
      </c>
      <c r="Q175" s="41">
        <f>ROUND(Dot_ex($D175,$E175,$F175,$G175,$H175,$I175,$L175+SUM($N175:P175),G$115,G$117,G$117),2)</f>
        <v>0</v>
      </c>
      <c r="R175" s="57">
        <f>ROUND(Dot_ex($D175,$E175,$F175,$G175,$H175,$I175,$L175+SUM($N175:Q175),H$115,H$117,H$117),2)</f>
        <v>0</v>
      </c>
      <c r="S175" s="57">
        <f>ROUND(Dot_ex($D175,$E175,$F175,$G175,$H175,$I175,$L175+SUM($N175:R175),I$115,I$117,I$117),2)</f>
        <v>0</v>
      </c>
      <c r="T175" s="57">
        <f>ROUND(Dot_ex($D175,$E175,$F175,$G175,$H175,$I175,$L175+SUM($N175:S175),J$115,J$117,J$117),2)</f>
        <v>0</v>
      </c>
      <c r="U175" s="57">
        <f>ROUND(Dot_ex($D175,$E175,$F175,$G175,$H175,$I175,$L175+SUM($N175:T175),K$115,K$117,K$117),2)</f>
        <v>0</v>
      </c>
      <c r="V175" s="57">
        <f>ROUND(Dot_ex($D175,$E175,$F175,$G175,$H175,$I175,$L175+SUM($N175:U175),L$115,L$117,L$117),2)</f>
        <v>0</v>
      </c>
      <c r="W175" s="57">
        <f>ROUND(Dot_ex($D175,$E175,$F175,$G175,$H175,$I175,$L175+SUM($N175:V175),M$115,M$117,M$117),2)</f>
        <v>0</v>
      </c>
    </row>
    <row r="176" spans="1:23" x14ac:dyDescent="0.2">
      <c r="A176" s="107">
        <f t="shared" ca="1" si="25"/>
        <v>20</v>
      </c>
      <c r="B176" s="1" t="s">
        <v>302</v>
      </c>
      <c r="C176" s="1" t="s">
        <v>265</v>
      </c>
      <c r="D176" s="77">
        <v>40992</v>
      </c>
      <c r="E176" s="77">
        <v>40992</v>
      </c>
      <c r="F176" s="77"/>
      <c r="G176" s="8">
        <v>2148</v>
      </c>
      <c r="H176" s="1" t="s">
        <v>8</v>
      </c>
      <c r="I176" s="78">
        <v>3</v>
      </c>
      <c r="J176" s="8"/>
      <c r="K176" s="8">
        <f t="shared" ref="K176:K178" si="26">ROUND(Dot_ex(D176,E176,F176,G176,H176,I176,J176,$G$6,$I$6,$I$8),2)</f>
        <v>193.67</v>
      </c>
      <c r="L176" s="8">
        <f t="shared" ref="L176:L178" si="27">J176+K176</f>
        <v>193.67</v>
      </c>
      <c r="M176" s="57">
        <f t="shared" ref="M176:M178" si="28">G176-L176</f>
        <v>1954.33</v>
      </c>
      <c r="N176" s="41">
        <f t="shared" ref="N176:N178" si="29">ROUND(Dot_ex($D176,$E176,$F176,$G176,$H176,$I176,$L176,D$115,D$117,D$117),2)</f>
        <v>716</v>
      </c>
      <c r="O176" s="41">
        <f>ROUND(Dot_ex($D176,$E176,$F176,$G176,$H176,$I176,$L176+SUM($N176:N176),E$115,E$117,E$117),2)</f>
        <v>716</v>
      </c>
      <c r="P176" s="41">
        <f>ROUND(Dot_ex($D176,$E176,$F176,$G176,$H176,$I176,$L176+SUM($N176:O176),F$115,F$117,F$117),2)</f>
        <v>522.33000000000004</v>
      </c>
      <c r="Q176" s="41">
        <f>ROUND(Dot_ex($D176,$E176,$F176,$G176,$H176,$I176,$L176+SUM($N176:P176),G$115,G$117,G$117),2)</f>
        <v>0</v>
      </c>
      <c r="R176" s="57">
        <f>ROUND(Dot_ex($D176,$E176,$F176,$G176,$H176,$I176,$L176+SUM($N176:Q176),H$115,H$117,H$117),2)</f>
        <v>0</v>
      </c>
      <c r="S176" s="57">
        <f>ROUND(Dot_ex($D176,$E176,$F176,$G176,$H176,$I176,$L176+SUM($N176:R176),I$115,I$117,I$117),2)</f>
        <v>0</v>
      </c>
      <c r="T176" s="57">
        <f>ROUND(Dot_ex($D176,$E176,$F176,$G176,$H176,$I176,$L176+SUM($N176:S176),J$115,J$117,J$117),2)</f>
        <v>0</v>
      </c>
      <c r="U176" s="57">
        <f>ROUND(Dot_ex($D176,$E176,$F176,$G176,$H176,$I176,$L176+SUM($N176:T176),K$115,K$117,K$117),2)</f>
        <v>0</v>
      </c>
      <c r="V176" s="57">
        <f>ROUND(Dot_ex($D176,$E176,$F176,$G176,$H176,$I176,$L176+SUM($N176:U176),L$115,L$117,L$117),2)</f>
        <v>0</v>
      </c>
      <c r="W176" s="57">
        <f>ROUND(Dot_ex($D176,$E176,$F176,$G176,$H176,$I176,$L176+SUM($N176:V176),M$115,M$117,M$117),2)</f>
        <v>0</v>
      </c>
    </row>
    <row r="177" spans="1:23" x14ac:dyDescent="0.2">
      <c r="A177" s="107">
        <f t="shared" ca="1" si="25"/>
        <v>21</v>
      </c>
      <c r="B177" s="1" t="s">
        <v>303</v>
      </c>
      <c r="C177" s="1" t="s">
        <v>265</v>
      </c>
      <c r="D177" s="77">
        <v>40992</v>
      </c>
      <c r="E177" s="77">
        <v>40992</v>
      </c>
      <c r="F177" s="77"/>
      <c r="G177" s="8">
        <v>178</v>
      </c>
      <c r="H177" s="1" t="s">
        <v>8</v>
      </c>
      <c r="I177" s="78">
        <v>3</v>
      </c>
      <c r="J177" s="8"/>
      <c r="K177" s="8">
        <f t="shared" si="26"/>
        <v>16.05</v>
      </c>
      <c r="L177" s="8">
        <f t="shared" si="27"/>
        <v>16.05</v>
      </c>
      <c r="M177" s="57">
        <f t="shared" si="28"/>
        <v>161.94999999999999</v>
      </c>
      <c r="N177" s="41">
        <f t="shared" si="29"/>
        <v>59.33</v>
      </c>
      <c r="O177" s="41">
        <f>ROUND(Dot_ex($D177,$E177,$F177,$G177,$H177,$I177,$L177+SUM($N177:N177),E$115,E$117,E$117),2)</f>
        <v>59.33</v>
      </c>
      <c r="P177" s="41">
        <f>ROUND(Dot_ex($D177,$E177,$F177,$G177,$H177,$I177,$L177+SUM($N177:O177),F$115,F$117,F$117),2)</f>
        <v>43.29</v>
      </c>
      <c r="Q177" s="41">
        <f>ROUND(Dot_ex($D177,$E177,$F177,$G177,$H177,$I177,$L177+SUM($N177:P177),G$115,G$117,G$117),2)</f>
        <v>0</v>
      </c>
      <c r="R177" s="57">
        <f>ROUND(Dot_ex($D177,$E177,$F177,$G177,$H177,$I177,$L177+SUM($N177:Q177),H$115,H$117,H$117),2)</f>
        <v>0</v>
      </c>
      <c r="S177" s="57">
        <f>ROUND(Dot_ex($D177,$E177,$F177,$G177,$H177,$I177,$L177+SUM($N177:R177),I$115,I$117,I$117),2)</f>
        <v>0</v>
      </c>
      <c r="T177" s="57">
        <f>ROUND(Dot_ex($D177,$E177,$F177,$G177,$H177,$I177,$L177+SUM($N177:S177),J$115,J$117,J$117),2)</f>
        <v>0</v>
      </c>
      <c r="U177" s="57">
        <f>ROUND(Dot_ex($D177,$E177,$F177,$G177,$H177,$I177,$L177+SUM($N177:T177),K$115,K$117,K$117),2)</f>
        <v>0</v>
      </c>
      <c r="V177" s="57">
        <f>ROUND(Dot_ex($D177,$E177,$F177,$G177,$H177,$I177,$L177+SUM($N177:U177),L$115,L$117,L$117),2)</f>
        <v>0</v>
      </c>
      <c r="W177" s="57">
        <f>ROUND(Dot_ex($D177,$E177,$F177,$G177,$H177,$I177,$L177+SUM($N177:V177),M$115,M$117,M$117),2)</f>
        <v>0</v>
      </c>
    </row>
    <row r="178" spans="1:23" x14ac:dyDescent="0.2">
      <c r="A178" s="107">
        <f t="shared" ca="1" si="25"/>
        <v>22</v>
      </c>
      <c r="B178" s="1" t="s">
        <v>304</v>
      </c>
      <c r="C178" s="1" t="s">
        <v>265</v>
      </c>
      <c r="D178" s="77">
        <v>41029</v>
      </c>
      <c r="E178" s="77">
        <v>41029</v>
      </c>
      <c r="F178" s="77"/>
      <c r="G178" s="8">
        <v>948</v>
      </c>
      <c r="H178" s="1" t="s">
        <v>8</v>
      </c>
      <c r="I178" s="78">
        <v>3</v>
      </c>
      <c r="J178" s="8"/>
      <c r="K178" s="8">
        <f t="shared" si="26"/>
        <v>53.53</v>
      </c>
      <c r="L178" s="8">
        <f t="shared" si="27"/>
        <v>53.53</v>
      </c>
      <c r="M178" s="57">
        <f t="shared" si="28"/>
        <v>894.47</v>
      </c>
      <c r="N178" s="41">
        <f t="shared" si="29"/>
        <v>316</v>
      </c>
      <c r="O178" s="41">
        <f>ROUND(Dot_ex($D178,$E178,$F178,$G178,$H178,$I178,$L178+SUM($N178:N178),E$115,E$117,E$117),2)</f>
        <v>316</v>
      </c>
      <c r="P178" s="41">
        <f>ROUND(Dot_ex($D178,$E178,$F178,$G178,$H178,$I178,$L178+SUM($N178:O178),F$115,F$117,F$117),2)</f>
        <v>262.47000000000003</v>
      </c>
      <c r="Q178" s="41">
        <f>ROUND(Dot_ex($D178,$E178,$F178,$G178,$H178,$I178,$L178+SUM($N178:P178),G$115,G$117,G$117),2)</f>
        <v>0</v>
      </c>
      <c r="R178" s="57">
        <f>ROUND(Dot_ex($D178,$E178,$F178,$G178,$H178,$I178,$L178+SUM($N178:Q178),H$115,H$117,H$117),2)</f>
        <v>0</v>
      </c>
      <c r="S178" s="57">
        <f>ROUND(Dot_ex($D178,$E178,$F178,$G178,$H178,$I178,$L178+SUM($N178:R178),I$115,I$117,I$117),2)</f>
        <v>0</v>
      </c>
      <c r="T178" s="57">
        <f>ROUND(Dot_ex($D178,$E178,$F178,$G178,$H178,$I178,$L178+SUM($N178:S178),J$115,J$117,J$117),2)</f>
        <v>0</v>
      </c>
      <c r="U178" s="57">
        <f>ROUND(Dot_ex($D178,$E178,$F178,$G178,$H178,$I178,$L178+SUM($N178:T178),K$115,K$117,K$117),2)</f>
        <v>0</v>
      </c>
      <c r="V178" s="57">
        <f>ROUND(Dot_ex($D178,$E178,$F178,$G178,$H178,$I178,$L178+SUM($N178:U178),L$115,L$117,L$117),2)</f>
        <v>0</v>
      </c>
      <c r="W178" s="57">
        <f>ROUND(Dot_ex($D178,$E178,$F178,$G178,$H178,$I178,$L178+SUM($N178:V178),M$115,M$117,M$117),2)</f>
        <v>0</v>
      </c>
    </row>
    <row r="179" spans="1:23" x14ac:dyDescent="0.2">
      <c r="A179" s="101"/>
      <c r="H179" s="1"/>
      <c r="I179" s="1"/>
      <c r="J179" s="8"/>
      <c r="K179" s="8"/>
      <c r="M179" s="14"/>
      <c r="N179" s="13"/>
      <c r="O179" s="13"/>
      <c r="P179" s="13"/>
      <c r="Q179" s="13"/>
      <c r="R179" s="14"/>
      <c r="S179" s="14"/>
      <c r="T179" s="14"/>
      <c r="U179" s="14"/>
      <c r="V179" s="14"/>
      <c r="W179" s="14"/>
    </row>
    <row r="180" spans="1:23" x14ac:dyDescent="0.2">
      <c r="A180" s="101"/>
      <c r="E180" s="94" t="s">
        <v>14</v>
      </c>
      <c r="F180" s="95"/>
      <c r="G180" s="96">
        <f>SUM(G157:G179)</f>
        <v>27796.17</v>
      </c>
      <c r="H180" s="94"/>
      <c r="I180" s="97"/>
      <c r="J180" s="96">
        <f t="shared" ref="J180:R180" si="30">SUM(J157:J179)</f>
        <v>23812.379999999994</v>
      </c>
      <c r="K180" s="96">
        <f t="shared" si="30"/>
        <v>700.56999999999994</v>
      </c>
      <c r="L180" s="96">
        <f t="shared" si="30"/>
        <v>24512.949999999993</v>
      </c>
      <c r="M180" s="203">
        <f t="shared" si="30"/>
        <v>3283.2200000000003</v>
      </c>
      <c r="N180" s="202">
        <f t="shared" si="30"/>
        <v>1256.74</v>
      </c>
      <c r="O180" s="202">
        <f t="shared" si="30"/>
        <v>1198.3899999999999</v>
      </c>
      <c r="P180" s="202">
        <f t="shared" si="30"/>
        <v>828.09</v>
      </c>
      <c r="Q180" s="202">
        <f t="shared" si="30"/>
        <v>0</v>
      </c>
      <c r="R180" s="203">
        <f t="shared" si="30"/>
        <v>0</v>
      </c>
      <c r="S180" s="203">
        <f>SUM(S157:S179)</f>
        <v>0</v>
      </c>
      <c r="T180" s="203">
        <f>SUM(T157:T179)</f>
        <v>0</v>
      </c>
      <c r="U180" s="203">
        <f>SUM(U157:U179)</f>
        <v>0</v>
      </c>
      <c r="V180" s="203">
        <f>SUM(V157:V179)</f>
        <v>0</v>
      </c>
      <c r="W180" s="203">
        <f>SUM(W157:W179)</f>
        <v>0</v>
      </c>
    </row>
    <row r="181" spans="1:23" x14ac:dyDescent="0.2">
      <c r="A181" s="101"/>
      <c r="E181" s="94"/>
      <c r="F181" s="95"/>
      <c r="G181" s="96"/>
      <c r="H181" s="94"/>
      <c r="I181" s="97"/>
      <c r="J181" s="96"/>
      <c r="K181" s="96"/>
      <c r="L181" s="96"/>
      <c r="M181" s="203"/>
      <c r="N181" s="13"/>
      <c r="O181" s="13"/>
      <c r="P181" s="13"/>
      <c r="Q181" s="13"/>
      <c r="R181" s="14"/>
      <c r="S181" s="14"/>
      <c r="T181" s="14"/>
      <c r="U181" s="14"/>
      <c r="V181" s="14"/>
      <c r="W181" s="14"/>
    </row>
    <row r="182" spans="1:23" x14ac:dyDescent="0.2">
      <c r="A182" s="101"/>
      <c r="E182" s="1" t="s">
        <v>23</v>
      </c>
      <c r="G182" s="8">
        <f>SUMIF($D157:$D179,"&lt;"&amp;TEXT($G$6,"jj/mm/aa"),G$157:G$179)</f>
        <v>24522.17</v>
      </c>
      <c r="H182" s="1"/>
      <c r="I182" s="78"/>
      <c r="J182" s="8">
        <f>SUMIF($D157:$D179,"&lt;"&amp;TEXT($G$6,"jj/mm/aa"),J$157:J$179)</f>
        <v>23812.379999999994</v>
      </c>
      <c r="K182" s="8">
        <f>SUMIF($D157:$D179,"&lt;"&amp;TEXT($G$6,"jj/mm/aa"),K$157:K$179)</f>
        <v>437.32</v>
      </c>
      <c r="L182" s="8">
        <f>SUMIF($D157:$D179,"&lt;"&amp;TEXT($G$6,"jj/mm/aa"),L$157:L$179)</f>
        <v>24249.699999999997</v>
      </c>
      <c r="M182" s="57">
        <f>SUMIF($D157:$D179,"&lt;"&amp;TEXT($G$6,"jj/mm/aa"),M$157:M$179)</f>
        <v>272.47000000000003</v>
      </c>
      <c r="N182" s="13"/>
      <c r="O182" s="13"/>
      <c r="P182" s="13"/>
      <c r="Q182" s="13"/>
      <c r="R182" s="14"/>
      <c r="S182" s="14"/>
      <c r="T182" s="14"/>
      <c r="U182" s="14"/>
      <c r="V182" s="14"/>
      <c r="W182" s="14"/>
    </row>
    <row r="183" spans="1:23" x14ac:dyDescent="0.2">
      <c r="A183" s="101"/>
      <c r="E183" s="1" t="s">
        <v>38</v>
      </c>
      <c r="G183" s="8">
        <f>SUMIF($D157:$D179,"&gt;="&amp;TEXT($G$6,"jj/mm/aa"),G$157:G$179)</f>
        <v>3274</v>
      </c>
      <c r="J183" s="8">
        <f>SUMIF($D157:$D179,"&gt;="&amp;TEXT($G$6,"jj/mm/aa"),J$157:J$179)</f>
        <v>0</v>
      </c>
      <c r="K183" s="8">
        <f>SUMIF($D157:$D179,"&gt;="&amp;TEXT($G$6,"jj/mm/aa"),K$157:K$179)</f>
        <v>263.25</v>
      </c>
      <c r="L183" s="8">
        <f>SUMIF($D157:$D179,"&gt;="&amp;TEXT($G$6,"jj/mm/aa"),L$157:L$179)</f>
        <v>263.25</v>
      </c>
      <c r="M183" s="57">
        <f>SUMIF($D157:$D179,"&gt;="&amp;TEXT($G$6,"jj/mm/aa"),M$157:M$179)</f>
        <v>3010.75</v>
      </c>
      <c r="N183" s="13"/>
      <c r="O183" s="13"/>
      <c r="P183" s="13"/>
      <c r="Q183" s="13"/>
      <c r="R183" s="14"/>
      <c r="S183" s="14"/>
      <c r="T183" s="14"/>
      <c r="U183" s="14"/>
      <c r="V183" s="14"/>
      <c r="W183" s="14"/>
    </row>
    <row r="184" spans="1:23" x14ac:dyDescent="0.2">
      <c r="A184" s="101"/>
      <c r="E184" s="1" t="s">
        <v>39</v>
      </c>
      <c r="G184" s="8">
        <f>SUMIF($F157:$F179,"&gt;="&amp;TEXT($G$6,"jj/mm/aa"),G$157:G$179)</f>
        <v>4697.08</v>
      </c>
      <c r="J184" s="8">
        <f>SUMIF($F157:$F179,"&gt;="&amp;TEXT($G$6,"jj/mm/aa"),J$157:J$179)</f>
        <v>4697.08</v>
      </c>
      <c r="K184" s="8">
        <f>SUMIF($F157:$F179,"&gt;="&amp;TEXT($G$6,"jj/mm/aa"),K$157:K$179)</f>
        <v>0</v>
      </c>
      <c r="L184" s="8">
        <f>SUMIF($F157:$F179,"&gt;="&amp;TEXT($G$6,"jj/mm/aa"),L$157:L$179)</f>
        <v>4697.08</v>
      </c>
      <c r="M184" s="57">
        <f>SUMIF($F157:$F179,"&gt;="&amp;TEXT($G$6,"jj/mm/aa"),M$157:M$179)</f>
        <v>0</v>
      </c>
      <c r="N184" s="13"/>
      <c r="O184" s="13"/>
      <c r="P184" s="13"/>
      <c r="Q184" s="13"/>
      <c r="R184" s="14"/>
      <c r="S184" s="14"/>
      <c r="T184" s="14"/>
      <c r="U184" s="14"/>
      <c r="V184" s="14"/>
      <c r="W184" s="14"/>
    </row>
    <row r="185" spans="1:23" x14ac:dyDescent="0.2">
      <c r="A185" s="101"/>
      <c r="E185" s="1" t="s">
        <v>15</v>
      </c>
      <c r="G185" s="8">
        <f>G182+G183-G184</f>
        <v>23099.089999999997</v>
      </c>
      <c r="J185" s="8">
        <f>J182+J183-J184</f>
        <v>19115.299999999996</v>
      </c>
      <c r="K185" s="8">
        <f>K182+K183-K184</f>
        <v>700.56999999999994</v>
      </c>
      <c r="L185" s="8">
        <f>L182+L183-L184</f>
        <v>19815.869999999995</v>
      </c>
      <c r="M185" s="57">
        <f>M182+M183-M184</f>
        <v>3283.2200000000003</v>
      </c>
      <c r="N185" s="13"/>
      <c r="O185" s="13"/>
      <c r="P185" s="13"/>
      <c r="Q185" s="13"/>
      <c r="R185" s="14"/>
      <c r="S185" s="14"/>
      <c r="T185" s="14"/>
      <c r="U185" s="14"/>
      <c r="V185" s="14"/>
      <c r="W185" s="14"/>
    </row>
    <row r="186" spans="1:23" x14ac:dyDescent="0.2">
      <c r="A186" s="101"/>
      <c r="E186" s="1"/>
      <c r="G186" s="8"/>
      <c r="J186" s="8"/>
      <c r="K186" s="8"/>
      <c r="L186" s="8"/>
      <c r="M186" s="57"/>
      <c r="N186" s="13"/>
      <c r="O186" s="13"/>
      <c r="P186" s="13"/>
      <c r="Q186" s="13"/>
      <c r="R186" s="14"/>
      <c r="S186" s="14"/>
      <c r="T186" s="14"/>
      <c r="U186" s="14"/>
      <c r="V186" s="14"/>
      <c r="W186" s="14"/>
    </row>
    <row r="187" spans="1:23" x14ac:dyDescent="0.2">
      <c r="A187" s="101"/>
      <c r="M187" s="14"/>
      <c r="N187" s="13"/>
      <c r="O187" s="13"/>
      <c r="P187" s="13"/>
      <c r="Q187" s="13"/>
      <c r="R187" s="14"/>
      <c r="S187" s="14"/>
      <c r="T187" s="14"/>
      <c r="U187" s="14"/>
      <c r="V187" s="14"/>
      <c r="W187" s="14"/>
    </row>
    <row r="188" spans="1:23" ht="24.95" customHeight="1" x14ac:dyDescent="0.2">
      <c r="A188" s="208" t="s">
        <v>170</v>
      </c>
      <c r="B188" s="209"/>
      <c r="C188" s="209"/>
      <c r="D188" s="209"/>
      <c r="E188" s="210"/>
      <c r="F188" s="211"/>
      <c r="G188" s="211"/>
      <c r="H188" s="211"/>
      <c r="I188" s="211"/>
      <c r="J188" s="211"/>
      <c r="K188" s="211"/>
      <c r="L188" s="211"/>
      <c r="M188" s="226"/>
      <c r="N188" s="220" t="str">
        <f>A188 &amp; "   -   Dotations prévisionnelles"</f>
        <v>211500 TERRAINS BATIS   -   Dotations prévisionnelles</v>
      </c>
      <c r="O188" s="212"/>
      <c r="P188" s="212"/>
      <c r="Q188" s="212"/>
      <c r="R188" s="212"/>
      <c r="S188" s="212"/>
      <c r="T188" s="212"/>
      <c r="U188" s="212"/>
      <c r="V188" s="212"/>
      <c r="W188" s="213"/>
    </row>
    <row r="189" spans="1:23" x14ac:dyDescent="0.2">
      <c r="A189" s="107">
        <f ca="1">IF(ISNUMBER(A188),A188+1,OFFSET(A189,-Nbre_Ligne_Entre_Compte,0,1,1)+1)</f>
        <v>23</v>
      </c>
      <c r="B189" s="1" t="s">
        <v>171</v>
      </c>
      <c r="C189" s="1"/>
      <c r="D189" s="77">
        <v>36714</v>
      </c>
      <c r="E189" s="77">
        <v>36714</v>
      </c>
      <c r="F189" s="77"/>
      <c r="G189" s="8">
        <v>39485.82</v>
      </c>
      <c r="H189" s="1" t="s">
        <v>16</v>
      </c>
      <c r="I189" s="78"/>
      <c r="J189" s="8"/>
      <c r="K189" s="8">
        <f>ROUND(Dot_ex(D189,E189,F189,G189,H189,I189,J189,$G$6,$I$6,$I$8),2)</f>
        <v>0</v>
      </c>
      <c r="L189" s="8">
        <f>J189+K189</f>
        <v>0</v>
      </c>
      <c r="M189" s="57">
        <f>G189-L189</f>
        <v>39485.82</v>
      </c>
      <c r="N189" s="13"/>
      <c r="O189" s="13"/>
      <c r="P189" s="13"/>
      <c r="Q189" s="13"/>
      <c r="R189" s="14"/>
      <c r="S189" s="14"/>
      <c r="T189" s="14"/>
      <c r="U189" s="14"/>
      <c r="V189" s="14"/>
      <c r="W189" s="14"/>
    </row>
    <row r="190" spans="1:23" x14ac:dyDescent="0.2">
      <c r="A190" s="101"/>
      <c r="H190" s="1"/>
      <c r="I190" s="1"/>
      <c r="J190" s="8"/>
      <c r="K190" s="8"/>
      <c r="M190" s="14"/>
      <c r="N190" s="13"/>
      <c r="O190" s="13"/>
      <c r="P190" s="13"/>
      <c r="Q190" s="13"/>
      <c r="R190" s="14"/>
      <c r="S190" s="14"/>
      <c r="T190" s="14"/>
      <c r="U190" s="14"/>
      <c r="V190" s="14"/>
      <c r="W190" s="14"/>
    </row>
    <row r="191" spans="1:23" x14ac:dyDescent="0.2">
      <c r="A191" s="101"/>
      <c r="E191" s="94" t="s">
        <v>14</v>
      </c>
      <c r="F191" s="95"/>
      <c r="G191" s="96">
        <f>SUM(G189:G190)</f>
        <v>39485.82</v>
      </c>
      <c r="H191" s="94"/>
      <c r="I191" s="97"/>
      <c r="J191" s="96">
        <f>SUM(J189:J190)</f>
        <v>0</v>
      </c>
      <c r="K191" s="96">
        <f>SUM(K189:K190)</f>
        <v>0</v>
      </c>
      <c r="L191" s="96">
        <f>SUM(L189:L190)</f>
        <v>0</v>
      </c>
      <c r="M191" s="203">
        <f>SUM(M189:M190)</f>
        <v>39485.82</v>
      </c>
      <c r="N191" s="13"/>
      <c r="O191" s="13"/>
      <c r="P191" s="13"/>
      <c r="Q191" s="13"/>
      <c r="R191" s="14"/>
      <c r="S191" s="14"/>
      <c r="T191" s="14"/>
      <c r="U191" s="14"/>
      <c r="V191" s="14"/>
      <c r="W191" s="14"/>
    </row>
    <row r="192" spans="1:23" x14ac:dyDescent="0.2">
      <c r="A192" s="101"/>
      <c r="E192" s="94"/>
      <c r="F192" s="95"/>
      <c r="G192" s="96"/>
      <c r="H192" s="94"/>
      <c r="I192" s="97"/>
      <c r="J192" s="96"/>
      <c r="K192" s="96"/>
      <c r="L192" s="96"/>
      <c r="M192" s="203"/>
      <c r="N192" s="13"/>
      <c r="O192" s="13"/>
      <c r="P192" s="13"/>
      <c r="Q192" s="13"/>
      <c r="R192" s="14"/>
      <c r="S192" s="14"/>
      <c r="T192" s="14"/>
      <c r="U192" s="14"/>
      <c r="V192" s="14"/>
      <c r="W192" s="14"/>
    </row>
    <row r="193" spans="1:23" x14ac:dyDescent="0.2">
      <c r="A193" s="101"/>
      <c r="E193" s="1" t="s">
        <v>23</v>
      </c>
      <c r="G193" s="8">
        <f>SUMIF($D189:$D190,"&lt;"&amp;TEXT($G$6,"jj/mm/aa"),G$189:G$190)</f>
        <v>39485.82</v>
      </c>
      <c r="H193" s="1"/>
      <c r="I193" s="78"/>
      <c r="J193" s="8">
        <f>SUMIF($D189:$D190,"&lt;"&amp;TEXT($G$6,"jj/mm/aa"),J$189:J$190)</f>
        <v>0</v>
      </c>
      <c r="K193" s="8">
        <f>SUMIF($D189:$D190,"&lt;"&amp;TEXT($G$6,"jj/mm/aa"),K$189:K$190)</f>
        <v>0</v>
      </c>
      <c r="L193" s="8">
        <f>SUMIF($D189:$D190,"&lt;"&amp;TEXT($G$6,"jj/mm/aa"),L$189:L$190)</f>
        <v>0</v>
      </c>
      <c r="M193" s="57">
        <f>SUMIF($D189:$D190,"&lt;"&amp;TEXT($G$6,"jj/mm/aa"),M$189:M$190)</f>
        <v>39485.82</v>
      </c>
      <c r="N193" s="13"/>
      <c r="O193" s="13"/>
      <c r="P193" s="13"/>
      <c r="Q193" s="13"/>
      <c r="R193" s="14"/>
      <c r="S193" s="14"/>
      <c r="T193" s="14"/>
      <c r="U193" s="14"/>
      <c r="V193" s="14"/>
      <c r="W193" s="14"/>
    </row>
    <row r="194" spans="1:23" x14ac:dyDescent="0.2">
      <c r="A194" s="101"/>
      <c r="E194" s="1" t="s">
        <v>38</v>
      </c>
      <c r="G194" s="8">
        <f>SUMIF($D189:$D190,"&gt;="&amp;TEXT($G$6,"jj/mm/aa"),G$189:G$190)</f>
        <v>0</v>
      </c>
      <c r="J194" s="8">
        <f>SUMIF($D189:$D190,"&gt;="&amp;TEXT($G$6,"jj/mm/aa"),J$189:J$190)</f>
        <v>0</v>
      </c>
      <c r="K194" s="8">
        <f>SUMIF($D189:$D190,"&gt;="&amp;TEXT($G$6,"jj/mm/aa"),K$189:K$190)</f>
        <v>0</v>
      </c>
      <c r="L194" s="8">
        <f>SUMIF($D189:$D190,"&gt;="&amp;TEXT($G$6,"jj/mm/aa"),L$189:L$190)</f>
        <v>0</v>
      </c>
      <c r="M194" s="57">
        <f>SUMIF($D189:$D190,"&gt;="&amp;TEXT($G$6,"jj/mm/aa"),M$189:M$190)</f>
        <v>0</v>
      </c>
      <c r="N194" s="13"/>
      <c r="O194" s="13"/>
      <c r="P194" s="13"/>
      <c r="Q194" s="13"/>
      <c r="R194" s="14"/>
      <c r="S194" s="14"/>
      <c r="T194" s="14"/>
      <c r="U194" s="14"/>
      <c r="V194" s="14"/>
      <c r="W194" s="14"/>
    </row>
    <row r="195" spans="1:23" x14ac:dyDescent="0.2">
      <c r="A195" s="101"/>
      <c r="E195" s="1" t="s">
        <v>39</v>
      </c>
      <c r="G195" s="8">
        <f>SUMIF($F189:$F190,"&gt;="&amp;TEXT($G$6,"jj/mm/aa"),G$189:G$190)</f>
        <v>0</v>
      </c>
      <c r="J195" s="8">
        <f>SUMIF($F189:$F190,"&gt;="&amp;TEXT($G$6,"jj/mm/aa"),J$189:J$190)</f>
        <v>0</v>
      </c>
      <c r="K195" s="8">
        <f>SUMIF($F189:$F190,"&gt;="&amp;TEXT($G$6,"jj/mm/aa"),K$189:K$190)</f>
        <v>0</v>
      </c>
      <c r="L195" s="8">
        <f>SUMIF($F189:$F190,"&gt;="&amp;TEXT($G$6,"jj/mm/aa"),L$189:L$190)</f>
        <v>0</v>
      </c>
      <c r="M195" s="57">
        <f>SUMIF($F189:$F190,"&gt;="&amp;TEXT($G$6,"jj/mm/aa"),M$189:M$190)</f>
        <v>0</v>
      </c>
      <c r="N195" s="13"/>
      <c r="O195" s="13"/>
      <c r="P195" s="13"/>
      <c r="Q195" s="13"/>
      <c r="R195" s="14"/>
      <c r="S195" s="14"/>
      <c r="T195" s="14"/>
      <c r="U195" s="14"/>
      <c r="V195" s="14"/>
      <c r="W195" s="14"/>
    </row>
    <row r="196" spans="1:23" x14ac:dyDescent="0.2">
      <c r="A196" s="101"/>
      <c r="E196" s="1" t="s">
        <v>15</v>
      </c>
      <c r="G196" s="8">
        <f>G193+G194-G195</f>
        <v>39485.82</v>
      </c>
      <c r="J196" s="8">
        <f>J193+J194-J195</f>
        <v>0</v>
      </c>
      <c r="K196" s="8">
        <f>K193+K194-K195</f>
        <v>0</v>
      </c>
      <c r="L196" s="8">
        <f>L193+L194-L195</f>
        <v>0</v>
      </c>
      <c r="M196" s="57">
        <f>M193+M194-M195</f>
        <v>39485.82</v>
      </c>
      <c r="N196" s="13"/>
      <c r="O196" s="13"/>
      <c r="P196" s="13"/>
      <c r="Q196" s="13"/>
      <c r="R196" s="14"/>
      <c r="S196" s="14"/>
      <c r="T196" s="14"/>
      <c r="U196" s="14"/>
      <c r="V196" s="14"/>
      <c r="W196" s="14"/>
    </row>
    <row r="197" spans="1:23" x14ac:dyDescent="0.2">
      <c r="A197" s="101"/>
      <c r="M197" s="14"/>
      <c r="N197" s="13"/>
      <c r="O197" s="13"/>
      <c r="P197" s="13"/>
      <c r="Q197" s="13"/>
      <c r="R197" s="14"/>
      <c r="S197" s="14"/>
      <c r="T197" s="14"/>
      <c r="U197" s="14"/>
      <c r="V197" s="14"/>
      <c r="W197" s="14"/>
    </row>
    <row r="198" spans="1:23" x14ac:dyDescent="0.2">
      <c r="A198" s="101"/>
      <c r="M198" s="14"/>
      <c r="N198" s="13"/>
      <c r="O198" s="13"/>
      <c r="P198" s="13"/>
      <c r="Q198" s="13"/>
      <c r="R198" s="14"/>
      <c r="S198" s="14"/>
      <c r="T198" s="14"/>
      <c r="U198" s="14"/>
      <c r="V198" s="14"/>
      <c r="W198" s="14"/>
    </row>
    <row r="199" spans="1:23" ht="24.95" customHeight="1" x14ac:dyDescent="0.2">
      <c r="A199" s="208" t="s">
        <v>201</v>
      </c>
      <c r="B199" s="209"/>
      <c r="C199" s="209"/>
      <c r="D199" s="209"/>
      <c r="E199" s="210"/>
      <c r="F199" s="211"/>
      <c r="G199" s="211"/>
      <c r="H199" s="211"/>
      <c r="I199" s="211"/>
      <c r="J199" s="211"/>
      <c r="K199" s="211"/>
      <c r="L199" s="211"/>
      <c r="M199" s="226"/>
      <c r="N199" s="220" t="str">
        <f>A199 &amp; "   -   Dotations prévisionnelles"</f>
        <v>212000 AGENCEMENTS ET AMENAGEMENTS DE TERRAINS   -   Dotations prévisionnelles</v>
      </c>
      <c r="O199" s="212"/>
      <c r="P199" s="212"/>
      <c r="Q199" s="212"/>
      <c r="R199" s="213"/>
      <c r="S199" s="212"/>
      <c r="T199" s="212"/>
      <c r="U199" s="212"/>
      <c r="V199" s="212"/>
      <c r="W199" s="213"/>
    </row>
    <row r="200" spans="1:23" x14ac:dyDescent="0.2">
      <c r="A200" s="107">
        <f t="shared" ref="A200:A206" ca="1" si="31">IF(ISNUMBER(A199),A199+1,OFFSET(A200,-Nbre_Ligne_Entre_Compte,0,1,1)+1)</f>
        <v>24</v>
      </c>
      <c r="B200" s="1" t="s">
        <v>204</v>
      </c>
      <c r="C200" s="1" t="s">
        <v>265</v>
      </c>
      <c r="D200" s="77">
        <v>37348</v>
      </c>
      <c r="E200" s="77">
        <v>37348</v>
      </c>
      <c r="F200" s="77"/>
      <c r="G200" s="8">
        <v>6333.63</v>
      </c>
      <c r="H200" s="1" t="s">
        <v>8</v>
      </c>
      <c r="I200" s="78">
        <v>10</v>
      </c>
      <c r="J200" s="8">
        <v>5856.41</v>
      </c>
      <c r="K200" s="8">
        <f t="shared" ref="K200:K206" si="32">ROUND(Dot_ex(D200,E200,F200,G200,H200,I200,J200,$G$6,$I$6,$I$8),2)</f>
        <v>477.22</v>
      </c>
      <c r="L200" s="8">
        <f t="shared" ref="L200:L206" si="33">J200+K200</f>
        <v>6333.63</v>
      </c>
      <c r="M200" s="57">
        <f t="shared" ref="M200:M206" si="34">G200-L200</f>
        <v>0</v>
      </c>
      <c r="N200" s="41">
        <f t="shared" ref="N200:N206" si="35">ROUND(Dot_ex($D200,$E200,$F200,$G200,$H200,$I200,$L200,D$115,D$117,D$117),2)</f>
        <v>0</v>
      </c>
      <c r="O200" s="41">
        <f>ROUND(Dot_ex($D200,$E200,$F200,$G200,$H200,$I200,$L200+SUM($N200:N200),E$115,E$117,E$117),2)</f>
        <v>0</v>
      </c>
      <c r="P200" s="41">
        <f>ROUND(Dot_ex($D200,$E200,$F200,$G200,$H200,$I200,$L200+SUM($N200:O200),F$115,F$117,F$117),2)</f>
        <v>0</v>
      </c>
      <c r="Q200" s="41">
        <f>ROUND(Dot_ex($D200,$E200,$F200,$G200,$H200,$I200,$L200+SUM($N200:P200),G$115,G$117,G$117),2)</f>
        <v>0</v>
      </c>
      <c r="R200" s="57">
        <f>ROUND(Dot_ex($D200,$E200,$F200,$G200,$H200,$I200,$L200+SUM($N200:Q200),H$115,H$117,H$117),2)</f>
        <v>0</v>
      </c>
      <c r="S200" s="57">
        <f>ROUND(Dot_ex($D200,$E200,$F200,$G200,$H200,$I200,$L200+SUM($N200:R200),I$115,I$117,I$117),2)</f>
        <v>0</v>
      </c>
      <c r="T200" s="57">
        <f>ROUND(Dot_ex($D200,$E200,$F200,$G200,$H200,$I200,$L200+SUM($N200:S200),J$115,J$117,J$117),2)</f>
        <v>0</v>
      </c>
      <c r="U200" s="57">
        <f>ROUND(Dot_ex($D200,$E200,$F200,$G200,$H200,$I200,$L200+SUM($N200:T200),K$115,K$117,K$117),2)</f>
        <v>0</v>
      </c>
      <c r="V200" s="57">
        <f>ROUND(Dot_ex($D200,$E200,$F200,$G200,$H200,$I200,$L200+SUM($N200:U200),L$115,L$117,L$117),2)</f>
        <v>0</v>
      </c>
      <c r="W200" s="57">
        <f>ROUND(Dot_ex($D200,$E200,$F200,$G200,$H200,$I200,$L200+SUM($N200:V200),M$115,M$117,M$117),2)</f>
        <v>0</v>
      </c>
    </row>
    <row r="201" spans="1:23" x14ac:dyDescent="0.2">
      <c r="A201" s="107">
        <f t="shared" ca="1" si="31"/>
        <v>25</v>
      </c>
      <c r="B201" s="1" t="s">
        <v>211</v>
      </c>
      <c r="C201" s="1" t="s">
        <v>265</v>
      </c>
      <c r="D201" s="77">
        <v>37360</v>
      </c>
      <c r="E201" s="77">
        <v>37390</v>
      </c>
      <c r="F201" s="77"/>
      <c r="G201" s="8">
        <v>3723.78</v>
      </c>
      <c r="H201" s="1" t="s">
        <v>8</v>
      </c>
      <c r="I201" s="78">
        <v>10</v>
      </c>
      <c r="J201" s="8">
        <v>3400.39</v>
      </c>
      <c r="K201" s="8">
        <f t="shared" si="32"/>
        <v>323.39</v>
      </c>
      <c r="L201" s="8">
        <f t="shared" si="33"/>
        <v>3723.7799999999997</v>
      </c>
      <c r="M201" s="57">
        <f t="shared" si="34"/>
        <v>0</v>
      </c>
      <c r="N201" s="41">
        <f t="shared" si="35"/>
        <v>0</v>
      </c>
      <c r="O201" s="41">
        <f>ROUND(Dot_ex($D201,$E201,$F201,$G201,$H201,$I201,$L201+SUM($N201:N201),E$115,E$117,E$117),2)</f>
        <v>0</v>
      </c>
      <c r="P201" s="41">
        <f>ROUND(Dot_ex($D201,$E201,$F201,$G201,$H201,$I201,$L201+SUM($N201:O201),F$115,F$117,F$117),2)</f>
        <v>0</v>
      </c>
      <c r="Q201" s="41">
        <f>ROUND(Dot_ex($D201,$E201,$F201,$G201,$H201,$I201,$L201+SUM($N201:P201),G$115,G$117,G$117),2)</f>
        <v>0</v>
      </c>
      <c r="R201" s="57">
        <f>ROUND(Dot_ex($D201,$E201,$F201,$G201,$H201,$I201,$L201+SUM($N201:Q201),H$115,H$117,H$117),2)</f>
        <v>0</v>
      </c>
      <c r="S201" s="57">
        <f>ROUND(Dot_ex($D201,$E201,$F201,$G201,$H201,$I201,$L201+SUM($N201:R201),I$115,I$117,I$117),2)</f>
        <v>0</v>
      </c>
      <c r="T201" s="57">
        <f>ROUND(Dot_ex($D201,$E201,$F201,$G201,$H201,$I201,$L201+SUM($N201:S201),J$115,J$117,J$117),2)</f>
        <v>0</v>
      </c>
      <c r="U201" s="57">
        <f>ROUND(Dot_ex($D201,$E201,$F201,$G201,$H201,$I201,$L201+SUM($N201:T201),K$115,K$117,K$117),2)</f>
        <v>0</v>
      </c>
      <c r="V201" s="57">
        <f>ROUND(Dot_ex($D201,$E201,$F201,$G201,$H201,$I201,$L201+SUM($N201:U201),L$115,L$117,L$117),2)</f>
        <v>0</v>
      </c>
      <c r="W201" s="57">
        <f>ROUND(Dot_ex($D201,$E201,$F201,$G201,$H201,$I201,$L201+SUM($N201:V201),M$115,M$117,M$117),2)</f>
        <v>0</v>
      </c>
    </row>
    <row r="202" spans="1:23" x14ac:dyDescent="0.2">
      <c r="A202" s="107">
        <f t="shared" ca="1" si="31"/>
        <v>26</v>
      </c>
      <c r="B202" s="1" t="s">
        <v>209</v>
      </c>
      <c r="C202" s="1" t="s">
        <v>265</v>
      </c>
      <c r="D202" s="77">
        <v>37390</v>
      </c>
      <c r="E202" s="77">
        <v>37390</v>
      </c>
      <c r="F202" s="77"/>
      <c r="G202" s="8">
        <v>682.75</v>
      </c>
      <c r="H202" s="1" t="s">
        <v>8</v>
      </c>
      <c r="I202" s="78">
        <v>10</v>
      </c>
      <c r="J202" s="8">
        <v>623.5</v>
      </c>
      <c r="K202" s="8">
        <f t="shared" si="32"/>
        <v>59.25</v>
      </c>
      <c r="L202" s="8">
        <f t="shared" si="33"/>
        <v>682.75</v>
      </c>
      <c r="M202" s="57">
        <f t="shared" si="34"/>
        <v>0</v>
      </c>
      <c r="N202" s="41">
        <f t="shared" si="35"/>
        <v>0</v>
      </c>
      <c r="O202" s="41">
        <f>ROUND(Dot_ex($D202,$E202,$F202,$G202,$H202,$I202,$L202+SUM($N202:N202),E$115,E$117,E$117),2)</f>
        <v>0</v>
      </c>
      <c r="P202" s="41">
        <f>ROUND(Dot_ex($D202,$E202,$F202,$G202,$H202,$I202,$L202+SUM($N202:O202),F$115,F$117,F$117),2)</f>
        <v>0</v>
      </c>
      <c r="Q202" s="41">
        <f>ROUND(Dot_ex($D202,$E202,$F202,$G202,$H202,$I202,$L202+SUM($N202:P202),G$115,G$117,G$117),2)</f>
        <v>0</v>
      </c>
      <c r="R202" s="57">
        <f>ROUND(Dot_ex($D202,$E202,$F202,$G202,$H202,$I202,$L202+SUM($N202:Q202),H$115,H$117,H$117),2)</f>
        <v>0</v>
      </c>
      <c r="S202" s="57">
        <f>ROUND(Dot_ex($D202,$E202,$F202,$G202,$H202,$I202,$L202+SUM($N202:R202),I$115,I$117,I$117),2)</f>
        <v>0</v>
      </c>
      <c r="T202" s="57">
        <f>ROUND(Dot_ex($D202,$E202,$F202,$G202,$H202,$I202,$L202+SUM($N202:S202),J$115,J$117,J$117),2)</f>
        <v>0</v>
      </c>
      <c r="U202" s="57">
        <f>ROUND(Dot_ex($D202,$E202,$F202,$G202,$H202,$I202,$L202+SUM($N202:T202),K$115,K$117,K$117),2)</f>
        <v>0</v>
      </c>
      <c r="V202" s="57">
        <f>ROUND(Dot_ex($D202,$E202,$F202,$G202,$H202,$I202,$L202+SUM($N202:U202),L$115,L$117,L$117),2)</f>
        <v>0</v>
      </c>
      <c r="W202" s="57">
        <f>ROUND(Dot_ex($D202,$E202,$F202,$G202,$H202,$I202,$L202+SUM($N202:V202),M$115,M$117,M$117),2)</f>
        <v>0</v>
      </c>
    </row>
    <row r="203" spans="1:23" x14ac:dyDescent="0.2">
      <c r="A203" s="107">
        <f t="shared" ca="1" si="31"/>
        <v>27</v>
      </c>
      <c r="B203" s="1" t="s">
        <v>205</v>
      </c>
      <c r="C203" s="1" t="s">
        <v>265</v>
      </c>
      <c r="D203" s="77">
        <v>37403</v>
      </c>
      <c r="E203" s="77">
        <v>37403</v>
      </c>
      <c r="F203" s="77"/>
      <c r="G203" s="8">
        <v>2792.7</v>
      </c>
      <c r="H203" s="1" t="s">
        <v>8</v>
      </c>
      <c r="I203" s="78">
        <v>10</v>
      </c>
      <c r="J203" s="8">
        <v>2540.21</v>
      </c>
      <c r="K203" s="8">
        <f t="shared" si="32"/>
        <v>252.49</v>
      </c>
      <c r="L203" s="8">
        <f t="shared" si="33"/>
        <v>2792.7</v>
      </c>
      <c r="M203" s="57">
        <f t="shared" si="34"/>
        <v>0</v>
      </c>
      <c r="N203" s="41">
        <f t="shared" si="35"/>
        <v>0</v>
      </c>
      <c r="O203" s="41">
        <f>ROUND(Dot_ex($D203,$E203,$F203,$G203,$H203,$I203,$L203+SUM($N203:N203),E$115,E$117,E$117),2)</f>
        <v>0</v>
      </c>
      <c r="P203" s="41">
        <f>ROUND(Dot_ex($D203,$E203,$F203,$G203,$H203,$I203,$L203+SUM($N203:O203),F$115,F$117,F$117),2)</f>
        <v>0</v>
      </c>
      <c r="Q203" s="41">
        <f>ROUND(Dot_ex($D203,$E203,$F203,$G203,$H203,$I203,$L203+SUM($N203:P203),G$115,G$117,G$117),2)</f>
        <v>0</v>
      </c>
      <c r="R203" s="57">
        <f>ROUND(Dot_ex($D203,$E203,$F203,$G203,$H203,$I203,$L203+SUM($N203:Q203),H$115,H$117,H$117),2)</f>
        <v>0</v>
      </c>
      <c r="S203" s="57">
        <f>ROUND(Dot_ex($D203,$E203,$F203,$G203,$H203,$I203,$L203+SUM($N203:R203),I$115,I$117,I$117),2)</f>
        <v>0</v>
      </c>
      <c r="T203" s="57">
        <f>ROUND(Dot_ex($D203,$E203,$F203,$G203,$H203,$I203,$L203+SUM($N203:S203),J$115,J$117,J$117),2)</f>
        <v>0</v>
      </c>
      <c r="U203" s="57">
        <f>ROUND(Dot_ex($D203,$E203,$F203,$G203,$H203,$I203,$L203+SUM($N203:T203),K$115,K$117,K$117),2)</f>
        <v>0</v>
      </c>
      <c r="V203" s="57">
        <f>ROUND(Dot_ex($D203,$E203,$F203,$G203,$H203,$I203,$L203+SUM($N203:U203),L$115,L$117,L$117),2)</f>
        <v>0</v>
      </c>
      <c r="W203" s="57">
        <f>ROUND(Dot_ex($D203,$E203,$F203,$G203,$H203,$I203,$L203+SUM($N203:V203),M$115,M$117,M$117),2)</f>
        <v>0</v>
      </c>
    </row>
    <row r="204" spans="1:23" x14ac:dyDescent="0.2">
      <c r="A204" s="107">
        <f t="shared" ca="1" si="31"/>
        <v>28</v>
      </c>
      <c r="B204" s="1" t="s">
        <v>207</v>
      </c>
      <c r="C204" s="1" t="s">
        <v>265</v>
      </c>
      <c r="D204" s="77">
        <v>37406</v>
      </c>
      <c r="E204" s="77">
        <v>37406</v>
      </c>
      <c r="F204" s="77"/>
      <c r="G204" s="8">
        <v>922.3</v>
      </c>
      <c r="H204" s="1" t="s">
        <v>8</v>
      </c>
      <c r="I204" s="78">
        <v>10</v>
      </c>
      <c r="J204" s="8">
        <v>838.16</v>
      </c>
      <c r="K204" s="8">
        <f t="shared" si="32"/>
        <v>84.14</v>
      </c>
      <c r="L204" s="8">
        <f t="shared" si="33"/>
        <v>922.3</v>
      </c>
      <c r="M204" s="57">
        <f t="shared" si="34"/>
        <v>0</v>
      </c>
      <c r="N204" s="41">
        <f t="shared" si="35"/>
        <v>0</v>
      </c>
      <c r="O204" s="41">
        <f>ROUND(Dot_ex($D204,$E204,$F204,$G204,$H204,$I204,$L204+SUM($N204:N204),E$115,E$117,E$117),2)</f>
        <v>0</v>
      </c>
      <c r="P204" s="41">
        <f>ROUND(Dot_ex($D204,$E204,$F204,$G204,$H204,$I204,$L204+SUM($N204:O204),F$115,F$117,F$117),2)</f>
        <v>0</v>
      </c>
      <c r="Q204" s="41">
        <f>ROUND(Dot_ex($D204,$E204,$F204,$G204,$H204,$I204,$L204+SUM($N204:P204),G$115,G$117,G$117),2)</f>
        <v>0</v>
      </c>
      <c r="R204" s="57">
        <f>ROUND(Dot_ex($D204,$E204,$F204,$G204,$H204,$I204,$L204+SUM($N204:Q204),H$115,H$117,H$117),2)</f>
        <v>0</v>
      </c>
      <c r="S204" s="57">
        <f>ROUND(Dot_ex($D204,$E204,$F204,$G204,$H204,$I204,$L204+SUM($N204:R204),I$115,I$117,I$117),2)</f>
        <v>0</v>
      </c>
      <c r="T204" s="57">
        <f>ROUND(Dot_ex($D204,$E204,$F204,$G204,$H204,$I204,$L204+SUM($N204:S204),J$115,J$117,J$117),2)</f>
        <v>0</v>
      </c>
      <c r="U204" s="57">
        <f>ROUND(Dot_ex($D204,$E204,$F204,$G204,$H204,$I204,$L204+SUM($N204:T204),K$115,K$117,K$117),2)</f>
        <v>0</v>
      </c>
      <c r="V204" s="57">
        <f>ROUND(Dot_ex($D204,$E204,$F204,$G204,$H204,$I204,$L204+SUM($N204:U204),L$115,L$117,L$117),2)</f>
        <v>0</v>
      </c>
      <c r="W204" s="57">
        <f>ROUND(Dot_ex($D204,$E204,$F204,$G204,$H204,$I204,$L204+SUM($N204:V204),M$115,M$117,M$117),2)</f>
        <v>0</v>
      </c>
    </row>
    <row r="205" spans="1:23" x14ac:dyDescent="0.2">
      <c r="A205" s="107">
        <f t="shared" ca="1" si="31"/>
        <v>29</v>
      </c>
      <c r="B205" s="1" t="s">
        <v>208</v>
      </c>
      <c r="C205" s="1" t="s">
        <v>265</v>
      </c>
      <c r="D205" s="77">
        <v>37406</v>
      </c>
      <c r="E205" s="77">
        <v>37406</v>
      </c>
      <c r="F205" s="77"/>
      <c r="G205" s="8">
        <v>790.42</v>
      </c>
      <c r="H205" s="1" t="s">
        <v>8</v>
      </c>
      <c r="I205" s="78">
        <v>10</v>
      </c>
      <c r="J205" s="8">
        <v>718.29</v>
      </c>
      <c r="K205" s="8">
        <f t="shared" si="32"/>
        <v>72.13</v>
      </c>
      <c r="L205" s="8">
        <f t="shared" si="33"/>
        <v>790.42</v>
      </c>
      <c r="M205" s="57">
        <f t="shared" si="34"/>
        <v>0</v>
      </c>
      <c r="N205" s="41">
        <f t="shared" si="35"/>
        <v>0</v>
      </c>
      <c r="O205" s="41">
        <f>ROUND(Dot_ex($D205,$E205,$F205,$G205,$H205,$I205,$L205+SUM($N205:N205),E$115,E$117,E$117),2)</f>
        <v>0</v>
      </c>
      <c r="P205" s="41">
        <f>ROUND(Dot_ex($D205,$E205,$F205,$G205,$H205,$I205,$L205+SUM($N205:O205),F$115,F$117,F$117),2)</f>
        <v>0</v>
      </c>
      <c r="Q205" s="41">
        <f>ROUND(Dot_ex($D205,$E205,$F205,$G205,$H205,$I205,$L205+SUM($N205:P205),G$115,G$117,G$117),2)</f>
        <v>0</v>
      </c>
      <c r="R205" s="57">
        <f>ROUND(Dot_ex($D205,$E205,$F205,$G205,$H205,$I205,$L205+SUM($N205:Q205),H$115,H$117,H$117),2)</f>
        <v>0</v>
      </c>
      <c r="S205" s="57">
        <f>ROUND(Dot_ex($D205,$E205,$F205,$G205,$H205,$I205,$L205+SUM($N205:R205),I$115,I$117,I$117),2)</f>
        <v>0</v>
      </c>
      <c r="T205" s="57">
        <f>ROUND(Dot_ex($D205,$E205,$F205,$G205,$H205,$I205,$L205+SUM($N205:S205),J$115,J$117,J$117),2)</f>
        <v>0</v>
      </c>
      <c r="U205" s="57">
        <f>ROUND(Dot_ex($D205,$E205,$F205,$G205,$H205,$I205,$L205+SUM($N205:T205),K$115,K$117,K$117),2)</f>
        <v>0</v>
      </c>
      <c r="V205" s="57">
        <f>ROUND(Dot_ex($D205,$E205,$F205,$G205,$H205,$I205,$L205+SUM($N205:U205),L$115,L$117,L$117),2)</f>
        <v>0</v>
      </c>
      <c r="W205" s="57">
        <f>ROUND(Dot_ex($D205,$E205,$F205,$G205,$H205,$I205,$L205+SUM($N205:V205),M$115,M$117,M$117),2)</f>
        <v>0</v>
      </c>
    </row>
    <row r="206" spans="1:23" x14ac:dyDescent="0.2">
      <c r="A206" s="107">
        <f t="shared" ca="1" si="31"/>
        <v>30</v>
      </c>
      <c r="B206" s="1" t="s">
        <v>206</v>
      </c>
      <c r="C206" s="1" t="s">
        <v>265</v>
      </c>
      <c r="D206" s="77">
        <v>37427</v>
      </c>
      <c r="E206" s="77">
        <v>37427</v>
      </c>
      <c r="F206" s="77"/>
      <c r="G206" s="8">
        <v>247.38</v>
      </c>
      <c r="H206" s="1" t="s">
        <v>8</v>
      </c>
      <c r="I206" s="78">
        <v>10</v>
      </c>
      <c r="J206" s="8">
        <v>223.41</v>
      </c>
      <c r="K206" s="8">
        <f t="shared" si="32"/>
        <v>23.97</v>
      </c>
      <c r="L206" s="8">
        <f t="shared" si="33"/>
        <v>247.38</v>
      </c>
      <c r="M206" s="57">
        <f t="shared" si="34"/>
        <v>0</v>
      </c>
      <c r="N206" s="41">
        <f t="shared" si="35"/>
        <v>0</v>
      </c>
      <c r="O206" s="41">
        <f>ROUND(Dot_ex($D206,$E206,$F206,$G206,$H206,$I206,$L206+SUM($N206:N206),E$115,E$117,E$117),2)</f>
        <v>0</v>
      </c>
      <c r="P206" s="41">
        <f>ROUND(Dot_ex($D206,$E206,$F206,$G206,$H206,$I206,$L206+SUM($N206:O206),F$115,F$117,F$117),2)</f>
        <v>0</v>
      </c>
      <c r="Q206" s="41">
        <f>ROUND(Dot_ex($D206,$E206,$F206,$G206,$H206,$I206,$L206+SUM($N206:P206),G$115,G$117,G$117),2)</f>
        <v>0</v>
      </c>
      <c r="R206" s="57">
        <f>ROUND(Dot_ex($D206,$E206,$F206,$G206,$H206,$I206,$L206+SUM($N206:Q206),H$115,H$117,H$117),2)</f>
        <v>0</v>
      </c>
      <c r="S206" s="57">
        <f>ROUND(Dot_ex($D206,$E206,$F206,$G206,$H206,$I206,$L206+SUM($N206:R206),I$115,I$117,I$117),2)</f>
        <v>0</v>
      </c>
      <c r="T206" s="57">
        <f>ROUND(Dot_ex($D206,$E206,$F206,$G206,$H206,$I206,$L206+SUM($N206:S206),J$115,J$117,J$117),2)</f>
        <v>0</v>
      </c>
      <c r="U206" s="57">
        <f>ROUND(Dot_ex($D206,$E206,$F206,$G206,$H206,$I206,$L206+SUM($N206:T206),K$115,K$117,K$117),2)</f>
        <v>0</v>
      </c>
      <c r="V206" s="57">
        <f>ROUND(Dot_ex($D206,$E206,$F206,$G206,$H206,$I206,$L206+SUM($N206:U206),L$115,L$117,L$117),2)</f>
        <v>0</v>
      </c>
      <c r="W206" s="57">
        <f>ROUND(Dot_ex($D206,$E206,$F206,$G206,$H206,$I206,$L206+SUM($N206:V206),M$115,M$117,M$117),2)</f>
        <v>0</v>
      </c>
    </row>
    <row r="207" spans="1:23" x14ac:dyDescent="0.2">
      <c r="A207" s="101"/>
      <c r="H207" s="1"/>
      <c r="I207" s="1"/>
      <c r="J207" s="8"/>
      <c r="K207" s="8"/>
      <c r="M207" s="14"/>
      <c r="N207" s="41"/>
      <c r="O207" s="41"/>
      <c r="P207" s="41"/>
      <c r="Q207" s="41"/>
      <c r="R207" s="57"/>
      <c r="S207" s="57"/>
      <c r="T207" s="57"/>
      <c r="U207" s="57"/>
      <c r="V207" s="57"/>
      <c r="W207" s="57"/>
    </row>
    <row r="208" spans="1:23" x14ac:dyDescent="0.2">
      <c r="A208" s="101"/>
      <c r="E208" s="94" t="s">
        <v>14</v>
      </c>
      <c r="F208" s="95"/>
      <c r="G208" s="96">
        <f>SUM(G200:G207)</f>
        <v>15492.96</v>
      </c>
      <c r="H208" s="94"/>
      <c r="I208" s="97"/>
      <c r="J208" s="96">
        <f t="shared" ref="J208:R208" si="36">SUM(J200:J207)</f>
        <v>14200.369999999999</v>
      </c>
      <c r="K208" s="96">
        <f t="shared" si="36"/>
        <v>1292.5899999999999</v>
      </c>
      <c r="L208" s="96">
        <f t="shared" si="36"/>
        <v>15492.96</v>
      </c>
      <c r="M208" s="203">
        <f t="shared" si="36"/>
        <v>0</v>
      </c>
      <c r="N208" s="202">
        <f t="shared" si="36"/>
        <v>0</v>
      </c>
      <c r="O208" s="202">
        <f t="shared" si="36"/>
        <v>0</v>
      </c>
      <c r="P208" s="202">
        <f t="shared" si="36"/>
        <v>0</v>
      </c>
      <c r="Q208" s="202">
        <f t="shared" si="36"/>
        <v>0</v>
      </c>
      <c r="R208" s="203">
        <f t="shared" si="36"/>
        <v>0</v>
      </c>
      <c r="S208" s="203">
        <f>SUM(S200:S207)</f>
        <v>0</v>
      </c>
      <c r="T208" s="203">
        <f>SUM(T200:T207)</f>
        <v>0</v>
      </c>
      <c r="U208" s="203">
        <f>SUM(U200:U207)</f>
        <v>0</v>
      </c>
      <c r="V208" s="203">
        <f>SUM(V200:V207)</f>
        <v>0</v>
      </c>
      <c r="W208" s="203">
        <f>SUM(W200:W207)</f>
        <v>0</v>
      </c>
    </row>
    <row r="209" spans="1:23" x14ac:dyDescent="0.2">
      <c r="A209" s="101"/>
      <c r="E209" s="94"/>
      <c r="F209" s="95"/>
      <c r="G209" s="96"/>
      <c r="H209" s="94"/>
      <c r="I209" s="97"/>
      <c r="J209" s="96"/>
      <c r="K209" s="96"/>
      <c r="L209" s="96"/>
      <c r="M209" s="203"/>
      <c r="N209" s="41"/>
      <c r="O209" s="41"/>
      <c r="P209" s="41"/>
      <c r="Q209" s="41"/>
      <c r="R209" s="57"/>
      <c r="S209" s="57"/>
      <c r="T209" s="57"/>
      <c r="U209" s="57"/>
      <c r="V209" s="57"/>
      <c r="W209" s="57"/>
    </row>
    <row r="210" spans="1:23" x14ac:dyDescent="0.2">
      <c r="A210" s="101"/>
      <c r="E210" s="1" t="s">
        <v>23</v>
      </c>
      <c r="G210" s="8">
        <f>SUMIF($D200:$D207,"&lt;"&amp;TEXT($G$6,"jj/mm/aa"),G200:G207)</f>
        <v>15492.96</v>
      </c>
      <c r="H210" s="1"/>
      <c r="I210" s="78"/>
      <c r="J210" s="8">
        <v>3355.27</v>
      </c>
      <c r="K210" s="8">
        <f>SUMIF($D200:$D207,"&lt;"&amp;TEXT($G$6,"jj/mm/aa"),K200:K207)</f>
        <v>1292.5899999999999</v>
      </c>
      <c r="L210" s="8">
        <f>SUMIF($D200:$D207,"&lt;"&amp;TEXT($G$6,"jj/mm/aa"),L200:L207)</f>
        <v>15492.96</v>
      </c>
      <c r="M210" s="57">
        <f>SUMIF($D200:$D207,"&lt;"&amp;TEXT($G$6,"jj/mm/aa"),M200:M207)</f>
        <v>0</v>
      </c>
      <c r="N210" s="41"/>
      <c r="O210" s="41"/>
      <c r="P210" s="41"/>
      <c r="Q210" s="41"/>
      <c r="R210" s="57"/>
      <c r="S210" s="57"/>
      <c r="T210" s="57"/>
      <c r="U210" s="57"/>
      <c r="V210" s="57"/>
      <c r="W210" s="57"/>
    </row>
    <row r="211" spans="1:23" x14ac:dyDescent="0.2">
      <c r="A211" s="101"/>
      <c r="E211" s="1" t="s">
        <v>38</v>
      </c>
      <c r="G211" s="8">
        <f>SUMIF($D200:$D207,"&gt;="&amp;TEXT($G$6,"jj/mm/aa"),G200:G207)</f>
        <v>0</v>
      </c>
      <c r="J211" s="8">
        <f>SUMIF($D200:$D207,"&gt;="&amp;TEXT($G$6,"jj/mm/aa"),J200:J207)</f>
        <v>0</v>
      </c>
      <c r="K211" s="8">
        <f>SUMIF($D200:$D207,"&gt;="&amp;TEXT($G$6,"jj/mm/aa"),K200:K207)</f>
        <v>0</v>
      </c>
      <c r="L211" s="8">
        <f>SUMIF($D200:$D207,"&gt;="&amp;TEXT($G$6,"jj/mm/aa"),L200:L207)</f>
        <v>0</v>
      </c>
      <c r="M211" s="57">
        <f>SUMIF($D200:$D207,"&gt;="&amp;TEXT($G$6,"jj/mm/aa"),M200:M207)</f>
        <v>0</v>
      </c>
      <c r="N211" s="41"/>
      <c r="O211" s="41"/>
      <c r="P211" s="41"/>
      <c r="Q211" s="41"/>
      <c r="R211" s="57"/>
      <c r="S211" s="57"/>
      <c r="T211" s="57"/>
      <c r="U211" s="57"/>
      <c r="V211" s="57"/>
      <c r="W211" s="57"/>
    </row>
    <row r="212" spans="1:23" x14ac:dyDescent="0.2">
      <c r="A212" s="101"/>
      <c r="E212" s="1" t="s">
        <v>39</v>
      </c>
      <c r="G212" s="8">
        <f>SUMIF($F200:$F207,"&gt;="&amp;TEXT($G$6,"jj/mm/aa"),G200:G207)</f>
        <v>0</v>
      </c>
      <c r="J212" s="8">
        <f>SUMIF($F200:$F207,"&gt;="&amp;TEXT($G$6,"jj/mm/aa"),J200:J207)</f>
        <v>0</v>
      </c>
      <c r="K212" s="8">
        <f>SUMIF($F200:$F207,"&gt;="&amp;TEXT($G$6,"jj/mm/aa"),K200:K207)</f>
        <v>0</v>
      </c>
      <c r="L212" s="8">
        <f>SUMIF($F200:$F207,"&gt;="&amp;TEXT($G$6,"jj/mm/aa"),L200:L207)</f>
        <v>0</v>
      </c>
      <c r="M212" s="57">
        <f>SUMIF($F200:$F207,"&gt;="&amp;TEXT($G$6,"jj/mm/aa"),M200:M207)</f>
        <v>0</v>
      </c>
      <c r="N212" s="41"/>
      <c r="O212" s="41"/>
      <c r="P212" s="41"/>
      <c r="Q212" s="41"/>
      <c r="R212" s="57"/>
      <c r="S212" s="57"/>
      <c r="T212" s="57"/>
      <c r="U212" s="57"/>
      <c r="V212" s="57"/>
      <c r="W212" s="57"/>
    </row>
    <row r="213" spans="1:23" x14ac:dyDescent="0.2">
      <c r="A213" s="101"/>
      <c r="E213" s="1" t="s">
        <v>15</v>
      </c>
      <c r="G213" s="8">
        <f>G210+G211-G212</f>
        <v>15492.96</v>
      </c>
      <c r="J213" s="8">
        <f>J210+J211-J212</f>
        <v>3355.27</v>
      </c>
      <c r="K213" s="8">
        <f>K210+K211-K212</f>
        <v>1292.5899999999999</v>
      </c>
      <c r="L213" s="8">
        <f>L210+L211-L212</f>
        <v>15492.96</v>
      </c>
      <c r="M213" s="57">
        <f>M210+M211-M212</f>
        <v>0</v>
      </c>
      <c r="N213" s="41"/>
      <c r="O213" s="41"/>
      <c r="P213" s="41"/>
      <c r="Q213" s="41"/>
      <c r="R213" s="57"/>
      <c r="S213" s="57"/>
      <c r="T213" s="57"/>
      <c r="U213" s="57"/>
      <c r="V213" s="57"/>
      <c r="W213" s="57"/>
    </row>
    <row r="214" spans="1:23" x14ac:dyDescent="0.2">
      <c r="A214" s="101"/>
      <c r="M214" s="14"/>
      <c r="N214" s="41"/>
      <c r="O214" s="41"/>
      <c r="P214" s="41"/>
      <c r="Q214" s="41"/>
      <c r="R214" s="57"/>
      <c r="S214" s="57"/>
      <c r="T214" s="57"/>
      <c r="U214" s="57"/>
      <c r="V214" s="57"/>
      <c r="W214" s="57"/>
    </row>
    <row r="215" spans="1:23" x14ac:dyDescent="0.2">
      <c r="A215" s="101"/>
      <c r="M215" s="14"/>
      <c r="N215" s="41"/>
      <c r="O215" s="41"/>
      <c r="P215" s="41"/>
      <c r="Q215" s="41"/>
      <c r="R215" s="57"/>
      <c r="S215" s="57"/>
      <c r="T215" s="57"/>
      <c r="U215" s="57"/>
      <c r="V215" s="57"/>
      <c r="W215" s="57"/>
    </row>
    <row r="216" spans="1:23" ht="24.95" customHeight="1" x14ac:dyDescent="0.2">
      <c r="A216" s="208" t="s">
        <v>203</v>
      </c>
      <c r="B216" s="209"/>
      <c r="C216" s="209"/>
      <c r="D216" s="209"/>
      <c r="E216" s="210"/>
      <c r="F216" s="211"/>
      <c r="G216" s="211"/>
      <c r="H216" s="211"/>
      <c r="I216" s="211"/>
      <c r="J216" s="211"/>
      <c r="K216" s="211"/>
      <c r="L216" s="211"/>
      <c r="M216" s="226"/>
      <c r="N216" s="220" t="str">
        <f>A216 &amp; "   -   Dotations prévisionnelles"</f>
        <v>213100 ENSEMBLES IMMOBILIERS   -   Dotations prévisionnelles</v>
      </c>
      <c r="O216" s="212"/>
      <c r="P216" s="212"/>
      <c r="Q216" s="212"/>
      <c r="R216" s="213"/>
      <c r="S216" s="212"/>
      <c r="T216" s="212"/>
      <c r="U216" s="212"/>
      <c r="V216" s="212"/>
      <c r="W216" s="213"/>
    </row>
    <row r="217" spans="1:23" x14ac:dyDescent="0.2">
      <c r="A217" s="107">
        <f ca="1">IF(ISNUMBER(A216),A216+1,OFFSET(A217,-Nbre_Ligne_Entre_Compte,0,1,1)+1)</f>
        <v>31</v>
      </c>
      <c r="B217" s="1" t="s">
        <v>210</v>
      </c>
      <c r="C217" s="1" t="s">
        <v>265</v>
      </c>
      <c r="D217" s="77">
        <v>37327</v>
      </c>
      <c r="E217" s="77">
        <v>37327</v>
      </c>
      <c r="F217" s="77"/>
      <c r="G217" s="8">
        <v>248854.25</v>
      </c>
      <c r="H217" s="1" t="s">
        <v>8</v>
      </c>
      <c r="I217" s="78">
        <v>25</v>
      </c>
      <c r="J217" s="8">
        <v>92614.69</v>
      </c>
      <c r="K217" s="8">
        <f>ROUND(Dot_ex(D217,E217,F217,G217,H217,I217,J217,$G$6,$I$6,$I$8),2)</f>
        <v>9954.17</v>
      </c>
      <c r="L217" s="8">
        <f>J217+K217</f>
        <v>102568.86</v>
      </c>
      <c r="M217" s="57">
        <f>G217-L217</f>
        <v>146285.39000000001</v>
      </c>
      <c r="N217" s="41">
        <f>ROUND(Dot_ex($D217,$E217,$F217,$G217,$H217,$I217,$L217,D$115,D$117,D$117),2)</f>
        <v>9954.17</v>
      </c>
      <c r="O217" s="41">
        <f>ROUND(Dot_ex($D217,$E217,$F217,$G217,$H217,$I217,$L217+SUM($N217:N217),E$115,E$117,E$117),2)</f>
        <v>9954.17</v>
      </c>
      <c r="P217" s="41">
        <f>ROUND(Dot_ex($D217,$E217,$F217,$G217,$H217,$I217,$L217+SUM($N217:O217),F$115,F$117,F$117),2)</f>
        <v>9954.17</v>
      </c>
      <c r="Q217" s="41">
        <f>ROUND(Dot_ex($D217,$E217,$F217,$G217,$H217,$I217,$L217+SUM($N217:P217),G$115,G$117,G$117),2)</f>
        <v>9954.17</v>
      </c>
      <c r="R217" s="57">
        <f>ROUND(Dot_ex($D217,$E217,$F217,$G217,$H217,$I217,$L217+SUM($N217:Q217),H$115,H$117,H$117),2)</f>
        <v>9954.17</v>
      </c>
      <c r="S217" s="57">
        <f>ROUND(Dot_ex($D217,$E217,$F217,$G217,$H217,$I217,$L217+SUM($N217:R217),I$115,I$117,I$117),2)</f>
        <v>9954.17</v>
      </c>
      <c r="T217" s="57">
        <f>ROUND(Dot_ex($D217,$E217,$F217,$G217,$H217,$I217,$L217+SUM($N217:S217),J$115,J$117,J$117),2)</f>
        <v>9954.17</v>
      </c>
      <c r="U217" s="57">
        <f>ROUND(Dot_ex($D217,$E217,$F217,$G217,$H217,$I217,$L217+SUM($N217:T217),K$115,K$117,K$117),2)</f>
        <v>9954.17</v>
      </c>
      <c r="V217" s="57">
        <f>ROUND(Dot_ex($D217,$E217,$F217,$G217,$H217,$I217,$L217+SUM($N217:U217),L$115,L$117,L$117),2)</f>
        <v>9954.17</v>
      </c>
      <c r="W217" s="57">
        <f>ROUND(Dot_ex($D217,$E217,$F217,$G217,$H217,$I217,$L217+SUM($N217:V217),M$115,M$117,M$117),2)</f>
        <v>9954.17</v>
      </c>
    </row>
    <row r="218" spans="1:23" x14ac:dyDescent="0.2">
      <c r="A218" s="101"/>
      <c r="H218" s="1"/>
      <c r="I218" s="1"/>
      <c r="J218" s="8"/>
      <c r="K218" s="8"/>
      <c r="M218" s="14"/>
      <c r="N218" s="41"/>
      <c r="O218" s="41"/>
      <c r="P218" s="41"/>
      <c r="Q218" s="41"/>
      <c r="R218" s="57"/>
      <c r="S218" s="57"/>
      <c r="T218" s="57"/>
      <c r="U218" s="57"/>
      <c r="V218" s="57"/>
      <c r="W218" s="57"/>
    </row>
    <row r="219" spans="1:23" x14ac:dyDescent="0.2">
      <c r="A219" s="101"/>
      <c r="E219" s="94" t="s">
        <v>14</v>
      </c>
      <c r="F219" s="95"/>
      <c r="G219" s="96">
        <f>SUM(G217:G218)</f>
        <v>248854.25</v>
      </c>
      <c r="H219" s="94"/>
      <c r="I219" s="97"/>
      <c r="J219" s="96">
        <f t="shared" ref="J219:R219" si="37">SUM(J217:J218)</f>
        <v>92614.69</v>
      </c>
      <c r="K219" s="96">
        <f t="shared" si="37"/>
        <v>9954.17</v>
      </c>
      <c r="L219" s="96">
        <f t="shared" si="37"/>
        <v>102568.86</v>
      </c>
      <c r="M219" s="203">
        <f t="shared" si="37"/>
        <v>146285.39000000001</v>
      </c>
      <c r="N219" s="202">
        <f t="shared" si="37"/>
        <v>9954.17</v>
      </c>
      <c r="O219" s="202">
        <f t="shared" si="37"/>
        <v>9954.17</v>
      </c>
      <c r="P219" s="202">
        <f t="shared" si="37"/>
        <v>9954.17</v>
      </c>
      <c r="Q219" s="202">
        <f t="shared" si="37"/>
        <v>9954.17</v>
      </c>
      <c r="R219" s="203">
        <f t="shared" si="37"/>
        <v>9954.17</v>
      </c>
      <c r="S219" s="203">
        <f>SUM(S217:S218)</f>
        <v>9954.17</v>
      </c>
      <c r="T219" s="203">
        <f>SUM(T217:T218)</f>
        <v>9954.17</v>
      </c>
      <c r="U219" s="203">
        <f>SUM(U217:U218)</f>
        <v>9954.17</v>
      </c>
      <c r="V219" s="203">
        <f>SUM(V217:V218)</f>
        <v>9954.17</v>
      </c>
      <c r="W219" s="203">
        <f>SUM(W217:W218)</f>
        <v>9954.17</v>
      </c>
    </row>
    <row r="220" spans="1:23" x14ac:dyDescent="0.2">
      <c r="A220" s="101"/>
      <c r="E220" s="94"/>
      <c r="F220" s="95"/>
      <c r="G220" s="96"/>
      <c r="H220" s="94"/>
      <c r="I220" s="97"/>
      <c r="J220" s="96"/>
      <c r="K220" s="96"/>
      <c r="L220" s="96"/>
      <c r="M220" s="203"/>
      <c r="N220" s="41"/>
      <c r="O220" s="41"/>
      <c r="P220" s="41"/>
      <c r="Q220" s="41"/>
      <c r="R220" s="57"/>
      <c r="S220" s="57"/>
      <c r="T220" s="57"/>
      <c r="U220" s="57"/>
      <c r="V220" s="57"/>
      <c r="W220" s="57"/>
    </row>
    <row r="221" spans="1:23" x14ac:dyDescent="0.2">
      <c r="A221" s="101"/>
      <c r="E221" s="1" t="s">
        <v>23</v>
      </c>
      <c r="G221" s="8">
        <f>SUMIF($D217:$D218,"&lt;"&amp;TEXT($G$6,"jj/mm/aa"),G$217:G$218)</f>
        <v>248854.25</v>
      </c>
      <c r="H221" s="1"/>
      <c r="I221" s="78"/>
      <c r="J221" s="8">
        <f>SUMIF($D217:$D218,"&lt;"&amp;TEXT($G$6,"jj/mm/aa"),J$217:J$218)</f>
        <v>92614.69</v>
      </c>
      <c r="K221" s="8">
        <f>SUMIF($D217:$D218,"&lt;"&amp;TEXT($G$6,"jj/mm/aa"),K$217:K$218)</f>
        <v>9954.17</v>
      </c>
      <c r="L221" s="8">
        <f>SUMIF($D217:$D218,"&lt;"&amp;TEXT($G$6,"jj/mm/aa"),L$217:L$218)</f>
        <v>102568.86</v>
      </c>
      <c r="M221" s="57">
        <f>SUMIF($D217:$D218,"&lt;"&amp;TEXT($G$6,"jj/mm/aa"),M$217:M$218)</f>
        <v>146285.39000000001</v>
      </c>
      <c r="N221" s="41"/>
      <c r="O221" s="41"/>
      <c r="P221" s="41"/>
      <c r="Q221" s="41"/>
      <c r="R221" s="57"/>
      <c r="S221" s="57"/>
      <c r="T221" s="57"/>
      <c r="U221" s="57"/>
      <c r="V221" s="57"/>
      <c r="W221" s="57"/>
    </row>
    <row r="222" spans="1:23" x14ac:dyDescent="0.2">
      <c r="A222" s="101"/>
      <c r="E222" s="1" t="s">
        <v>38</v>
      </c>
      <c r="G222" s="8">
        <f>SUMIF($D217:$D218,"&gt;="&amp;TEXT($G$6,"jj/mm/aa"),G$217:G$218)</f>
        <v>0</v>
      </c>
      <c r="J222" s="8">
        <f>SUMIF($D217:$D218,"&gt;="&amp;TEXT($G$6,"jj/mm/aa"),J$217:J$218)</f>
        <v>0</v>
      </c>
      <c r="K222" s="8">
        <f>SUMIF($D217:$D218,"&gt;="&amp;TEXT($G$6,"jj/mm/aa"),K$217:K$218)</f>
        <v>0</v>
      </c>
      <c r="L222" s="8">
        <f>SUMIF($D217:$D218,"&gt;="&amp;TEXT($G$6,"jj/mm/aa"),L$217:L$218)</f>
        <v>0</v>
      </c>
      <c r="M222" s="57">
        <f>SUMIF($D217:$D218,"&gt;="&amp;TEXT($G$6,"jj/mm/aa"),M$217:M$218)</f>
        <v>0</v>
      </c>
      <c r="N222" s="41"/>
      <c r="O222" s="41"/>
      <c r="P222" s="41"/>
      <c r="Q222" s="41"/>
      <c r="R222" s="57"/>
      <c r="S222" s="57"/>
      <c r="T222" s="57"/>
      <c r="U222" s="57"/>
      <c r="V222" s="57"/>
      <c r="W222" s="57"/>
    </row>
    <row r="223" spans="1:23" x14ac:dyDescent="0.2">
      <c r="A223" s="101"/>
      <c r="E223" s="1" t="s">
        <v>39</v>
      </c>
      <c r="G223" s="8">
        <f>SUMIF($F217:$F218,"&gt;="&amp;TEXT($G$6,"jj/mm/aa"),G$217:G$218)</f>
        <v>0</v>
      </c>
      <c r="J223" s="8">
        <f>SUMIF($F217:$F218,"&gt;="&amp;TEXT($G$6,"jj/mm/aa"),J$217:J$218)</f>
        <v>0</v>
      </c>
      <c r="K223" s="8">
        <f>SUMIF($F217:$F218,"&gt;="&amp;TEXT($G$6,"jj/mm/aa"),K$217:K$218)</f>
        <v>0</v>
      </c>
      <c r="L223" s="8">
        <f>SUMIF($F217:$F218,"&gt;="&amp;TEXT($G$6,"jj/mm/aa"),L$217:L$218)</f>
        <v>0</v>
      </c>
      <c r="M223" s="57">
        <f>SUMIF($F217:$F218,"&gt;="&amp;TEXT($G$6,"jj/mm/aa"),M$217:M$218)</f>
        <v>0</v>
      </c>
      <c r="N223" s="41"/>
      <c r="O223" s="41"/>
      <c r="P223" s="41"/>
      <c r="Q223" s="41"/>
      <c r="R223" s="57"/>
      <c r="S223" s="57"/>
      <c r="T223" s="57"/>
      <c r="U223" s="57"/>
      <c r="V223" s="57"/>
      <c r="W223" s="57"/>
    </row>
    <row r="224" spans="1:23" x14ac:dyDescent="0.2">
      <c r="A224" s="101"/>
      <c r="E224" s="1" t="s">
        <v>15</v>
      </c>
      <c r="G224" s="8">
        <f>G221+G222-G223</f>
        <v>248854.25</v>
      </c>
      <c r="J224" s="8">
        <f>J221+J222-J223</f>
        <v>92614.69</v>
      </c>
      <c r="K224" s="8">
        <f>K221+K222-K223</f>
        <v>9954.17</v>
      </c>
      <c r="L224" s="8">
        <f>L221+L222-L223</f>
        <v>102568.86</v>
      </c>
      <c r="M224" s="57">
        <f>M221+M222-M223</f>
        <v>146285.39000000001</v>
      </c>
      <c r="N224" s="41"/>
      <c r="O224" s="41"/>
      <c r="P224" s="41"/>
      <c r="Q224" s="41"/>
      <c r="R224" s="57"/>
      <c r="S224" s="57"/>
      <c r="T224" s="57"/>
      <c r="U224" s="57"/>
      <c r="V224" s="57"/>
      <c r="W224" s="57"/>
    </row>
    <row r="225" spans="1:23" x14ac:dyDescent="0.2">
      <c r="A225" s="101"/>
      <c r="E225" s="1"/>
      <c r="G225" s="8"/>
      <c r="J225" s="8"/>
      <c r="K225" s="8"/>
      <c r="L225" s="8"/>
      <c r="M225" s="57"/>
      <c r="N225" s="41"/>
      <c r="O225" s="41"/>
      <c r="P225" s="41"/>
      <c r="Q225" s="41"/>
      <c r="R225" s="57"/>
      <c r="S225" s="57"/>
      <c r="T225" s="57"/>
      <c r="U225" s="57"/>
      <c r="V225" s="57"/>
      <c r="W225" s="57"/>
    </row>
    <row r="226" spans="1:23" x14ac:dyDescent="0.2">
      <c r="A226" s="101"/>
      <c r="M226" s="14"/>
      <c r="N226" s="41"/>
      <c r="O226" s="41"/>
      <c r="P226" s="41"/>
      <c r="Q226" s="41"/>
      <c r="R226" s="57"/>
      <c r="S226" s="57"/>
      <c r="T226" s="57"/>
      <c r="U226" s="57"/>
      <c r="V226" s="57"/>
      <c r="W226" s="57"/>
    </row>
    <row r="227" spans="1:23" ht="24.95" customHeight="1" x14ac:dyDescent="0.2">
      <c r="A227" s="208" t="s">
        <v>231</v>
      </c>
      <c r="B227" s="209"/>
      <c r="C227" s="209"/>
      <c r="D227" s="209"/>
      <c r="E227" s="210"/>
      <c r="F227" s="211"/>
      <c r="G227" s="211"/>
      <c r="H227" s="211"/>
      <c r="I227" s="211"/>
      <c r="J227" s="211"/>
      <c r="K227" s="211"/>
      <c r="L227" s="211"/>
      <c r="M227" s="226"/>
      <c r="N227" s="220" t="str">
        <f>A227 &amp; "   -   Dotations prévisionnelles"</f>
        <v>213500 INSTALLATION ET AMENAGEMENTS DES CONSTRUCTIONS   -   Dotations prévisionnelles</v>
      </c>
      <c r="O227" s="212"/>
      <c r="P227" s="212"/>
      <c r="Q227" s="212"/>
      <c r="R227" s="213"/>
      <c r="S227" s="212"/>
      <c r="T227" s="212"/>
      <c r="U227" s="212"/>
      <c r="V227" s="212"/>
      <c r="W227" s="213"/>
    </row>
    <row r="228" spans="1:23" x14ac:dyDescent="0.2">
      <c r="A228" s="107">
        <f ca="1">IF(ISNUMBER(A227),A227+1,OFFSET(A228,-Nbre_Ligne_Entre_Compte,0,1,1)+1)</f>
        <v>32</v>
      </c>
      <c r="B228" s="1" t="s">
        <v>232</v>
      </c>
      <c r="C228" s="1" t="s">
        <v>265</v>
      </c>
      <c r="D228" s="77">
        <v>37753</v>
      </c>
      <c r="E228" s="77">
        <v>37753</v>
      </c>
      <c r="F228" s="77"/>
      <c r="G228" s="8">
        <v>1385.5</v>
      </c>
      <c r="H228" s="1" t="s">
        <v>8</v>
      </c>
      <c r="I228" s="78">
        <v>10</v>
      </c>
      <c r="J228" s="8">
        <v>1127.3800000000001</v>
      </c>
      <c r="K228" s="8">
        <f>ROUND(Dot_ex(D228,E228,F228,G228,H228,I228,J228,$G$6,$I$6,$I$8),2)</f>
        <v>138.55000000000001</v>
      </c>
      <c r="L228" s="8">
        <f>J228+K228</f>
        <v>1265.93</v>
      </c>
      <c r="M228" s="57">
        <f>G228-L228</f>
        <v>119.56999999999994</v>
      </c>
      <c r="N228" s="41">
        <f>ROUND(Dot_ex($D228,$E228,$F228,$G228,$H228,$I228,$L228,D$115,D$117,D$117),2)</f>
        <v>119.57</v>
      </c>
      <c r="O228" s="41">
        <f>ROUND(Dot_ex($D228,$E228,$F228,$G228,$H228,$I228,$L228+SUM($N228:N228),E$115,E$117,E$117),2)</f>
        <v>0</v>
      </c>
      <c r="P228" s="41">
        <f>ROUND(Dot_ex($D228,$E228,$F228,$G228,$H228,$I228,$L228+SUM($N228:O228),F$115,F$117,F$117),2)</f>
        <v>0</v>
      </c>
      <c r="Q228" s="41">
        <f>ROUND(Dot_ex($D228,$E228,$F228,$G228,$H228,$I228,$L228+SUM($N228:P228),G$115,G$117,G$117),2)</f>
        <v>0</v>
      </c>
      <c r="R228" s="57">
        <f>ROUND(Dot_ex($D228,$E228,$F228,$G228,$H228,$I228,$L228+SUM($N228:Q228),H$115,H$117,H$117),2)</f>
        <v>0</v>
      </c>
      <c r="S228" s="57">
        <f>ROUND(Dot_ex($D228,$E228,$F228,$G228,$H228,$I228,$L228+SUM($N228:R228),I$115,I$117,I$117),2)</f>
        <v>0</v>
      </c>
      <c r="T228" s="57">
        <f>ROUND(Dot_ex($D228,$E228,$F228,$G228,$H228,$I228,$L228+SUM($N228:S228),J$115,J$117,J$117),2)</f>
        <v>0</v>
      </c>
      <c r="U228" s="57">
        <f>ROUND(Dot_ex($D228,$E228,$F228,$G228,$H228,$I228,$L228+SUM($N228:T228),K$115,K$117,K$117),2)</f>
        <v>0</v>
      </c>
      <c r="V228" s="57">
        <f>ROUND(Dot_ex($D228,$E228,$F228,$G228,$H228,$I228,$L228+SUM($N228:U228),L$115,L$117,L$117),2)</f>
        <v>0</v>
      </c>
      <c r="W228" s="57">
        <f>ROUND(Dot_ex($D228,$E228,$F228,$G228,$H228,$I228,$L228+SUM($N228:V228),M$115,M$117,M$117),2)</f>
        <v>0</v>
      </c>
    </row>
    <row r="229" spans="1:23" x14ac:dyDescent="0.2">
      <c r="A229" s="107">
        <f ca="1">IF(ISNUMBER(A228),A228+1,OFFSET(A229,-Nbre_Ligne_Entre_Compte,0,1,1)+1)</f>
        <v>33</v>
      </c>
      <c r="B229" s="1" t="s">
        <v>236</v>
      </c>
      <c r="C229" s="1" t="s">
        <v>265</v>
      </c>
      <c r="D229" s="77">
        <v>37833</v>
      </c>
      <c r="E229" s="77">
        <v>37833</v>
      </c>
      <c r="F229" s="77"/>
      <c r="G229" s="8">
        <v>8300</v>
      </c>
      <c r="H229" s="1" t="s">
        <v>8</v>
      </c>
      <c r="I229" s="78">
        <v>5</v>
      </c>
      <c r="J229" s="8">
        <v>8300</v>
      </c>
      <c r="K229" s="8">
        <f>ROUND(Dot_ex(D229,E229,F229,G229,H229,I229,J229,$G$6,$I$6,$I$8),2)</f>
        <v>0</v>
      </c>
      <c r="L229" s="8">
        <f>J229+K229</f>
        <v>8300</v>
      </c>
      <c r="M229" s="57">
        <f>G229-L229</f>
        <v>0</v>
      </c>
      <c r="N229" s="41">
        <f>ROUND(Dot_ex($D229,$E229,$F229,$G229,$H229,$I229,$L229,D$115,D$117,D$117),2)</f>
        <v>0</v>
      </c>
      <c r="O229" s="41">
        <f>ROUND(Dot_ex($D229,$E229,$F229,$G229,$H229,$I229,$L229+SUM($N229:N229),E$115,E$117,E$117),2)</f>
        <v>0</v>
      </c>
      <c r="P229" s="41">
        <f>ROUND(Dot_ex($D229,$E229,$F229,$G229,$H229,$I229,$L229+SUM($N229:O229),F$115,F$117,F$117),2)</f>
        <v>0</v>
      </c>
      <c r="Q229" s="41">
        <f>ROUND(Dot_ex($D229,$E229,$F229,$G229,$H229,$I229,$L229+SUM($N229:P229),G$115,G$117,G$117),2)</f>
        <v>0</v>
      </c>
      <c r="R229" s="57">
        <f>ROUND(Dot_ex($D229,$E229,$F229,$G229,$H229,$I229,$L229+SUM($N229:Q229),H$115,H$117,H$117),2)</f>
        <v>0</v>
      </c>
      <c r="S229" s="57">
        <f>ROUND(Dot_ex($D229,$E229,$F229,$G229,$H229,$I229,$L229+SUM($N229:R229),I$115,I$117,I$117),2)</f>
        <v>0</v>
      </c>
      <c r="T229" s="57">
        <f>ROUND(Dot_ex($D229,$E229,$F229,$G229,$H229,$I229,$L229+SUM($N229:S229),J$115,J$117,J$117),2)</f>
        <v>0</v>
      </c>
      <c r="U229" s="57">
        <f>ROUND(Dot_ex($D229,$E229,$F229,$G229,$H229,$I229,$L229+SUM($N229:T229),K$115,K$117,K$117),2)</f>
        <v>0</v>
      </c>
      <c r="V229" s="57">
        <f>ROUND(Dot_ex($D229,$E229,$F229,$G229,$H229,$I229,$L229+SUM($N229:U229),L$115,L$117,L$117),2)</f>
        <v>0</v>
      </c>
      <c r="W229" s="57">
        <f>ROUND(Dot_ex($D229,$E229,$F229,$G229,$H229,$I229,$L229+SUM($N229:V229),M$115,M$117,M$117),2)</f>
        <v>0</v>
      </c>
    </row>
    <row r="230" spans="1:23" x14ac:dyDescent="0.2">
      <c r="A230" s="107">
        <f ca="1">IF(ISNUMBER(A229),A229+1,OFFSET(A230,-Nbre_Ligne_Entre_Compte,0,1,1)+1)</f>
        <v>34</v>
      </c>
      <c r="B230" s="1" t="s">
        <v>237</v>
      </c>
      <c r="C230" s="1" t="s">
        <v>265</v>
      </c>
      <c r="D230" s="77">
        <v>37833</v>
      </c>
      <c r="E230" s="77">
        <v>37833</v>
      </c>
      <c r="F230" s="77"/>
      <c r="G230" s="8">
        <v>1803.18</v>
      </c>
      <c r="H230" s="1" t="s">
        <v>8</v>
      </c>
      <c r="I230" s="78">
        <v>5</v>
      </c>
      <c r="J230" s="8">
        <v>1803.18</v>
      </c>
      <c r="K230" s="8">
        <f>ROUND(Dot_ex(D230,E230,F230,G230,H230,I230,J230,$G$6,$I$6,$I$8),2)</f>
        <v>0</v>
      </c>
      <c r="L230" s="8">
        <f>J230+K230</f>
        <v>1803.18</v>
      </c>
      <c r="M230" s="57">
        <f>G230-L230</f>
        <v>0</v>
      </c>
      <c r="N230" s="41">
        <f>ROUND(Dot_ex($D230,$E230,$F230,$G230,$H230,$I230,$L230,D$115,D$117,D$117),2)</f>
        <v>0</v>
      </c>
      <c r="O230" s="41">
        <f>ROUND(Dot_ex($D230,$E230,$F230,$G230,$H230,$I230,$L230+SUM($N230:N230),E$115,E$117,E$117),2)</f>
        <v>0</v>
      </c>
      <c r="P230" s="41">
        <f>ROUND(Dot_ex($D230,$E230,$F230,$G230,$H230,$I230,$L230+SUM($N230:O230),F$115,F$117,F$117),2)</f>
        <v>0</v>
      </c>
      <c r="Q230" s="41">
        <f>ROUND(Dot_ex($D230,$E230,$F230,$G230,$H230,$I230,$L230+SUM($N230:P230),G$115,G$117,G$117),2)</f>
        <v>0</v>
      </c>
      <c r="R230" s="57">
        <f>ROUND(Dot_ex($D230,$E230,$F230,$G230,$H230,$I230,$L230+SUM($N230:Q230),H$115,H$117,H$117),2)</f>
        <v>0</v>
      </c>
      <c r="S230" s="57">
        <f>ROUND(Dot_ex($D230,$E230,$F230,$G230,$H230,$I230,$L230+SUM($N230:R230),I$115,I$117,I$117),2)</f>
        <v>0</v>
      </c>
      <c r="T230" s="57">
        <f>ROUND(Dot_ex($D230,$E230,$F230,$G230,$H230,$I230,$L230+SUM($N230:S230),J$115,J$117,J$117),2)</f>
        <v>0</v>
      </c>
      <c r="U230" s="57">
        <f>ROUND(Dot_ex($D230,$E230,$F230,$G230,$H230,$I230,$L230+SUM($N230:T230),K$115,K$117,K$117),2)</f>
        <v>0</v>
      </c>
      <c r="V230" s="57">
        <f>ROUND(Dot_ex($D230,$E230,$F230,$G230,$H230,$I230,$L230+SUM($N230:U230),L$115,L$117,L$117),2)</f>
        <v>0</v>
      </c>
      <c r="W230" s="57">
        <f>ROUND(Dot_ex($D230,$E230,$F230,$G230,$H230,$I230,$L230+SUM($N230:V230),M$115,M$117,M$117),2)</f>
        <v>0</v>
      </c>
    </row>
    <row r="231" spans="1:23" x14ac:dyDescent="0.2">
      <c r="A231" s="107">
        <f ca="1">IF(ISNUMBER(A230),A230+1,OFFSET(A231,-Nbre_Ligne_Entre_Compte,0,1,1)+1)</f>
        <v>35</v>
      </c>
      <c r="B231" s="1" t="s">
        <v>238</v>
      </c>
      <c r="C231" s="1" t="s">
        <v>265</v>
      </c>
      <c r="D231" s="77">
        <v>37999</v>
      </c>
      <c r="E231" s="77">
        <v>37999</v>
      </c>
      <c r="F231" s="77"/>
      <c r="G231" s="8">
        <v>4896.5</v>
      </c>
      <c r="H231" s="1" t="s">
        <v>8</v>
      </c>
      <c r="I231" s="78">
        <v>5</v>
      </c>
      <c r="J231" s="8">
        <v>4896.5</v>
      </c>
      <c r="K231" s="8">
        <f>ROUND(Dot_ex(D231,E231,F231,G231,H231,I231,J231,$G$6,$I$6,$I$8),2)</f>
        <v>0</v>
      </c>
      <c r="L231" s="8">
        <f>J231+K231</f>
        <v>4896.5</v>
      </c>
      <c r="M231" s="57">
        <f>G231-L231</f>
        <v>0</v>
      </c>
      <c r="N231" s="41">
        <f>ROUND(Dot_ex($D231,$E231,$F231,$G231,$H231,$I231,$L231,D$115,D$117,D$117),2)</f>
        <v>0</v>
      </c>
      <c r="O231" s="41">
        <f>ROUND(Dot_ex($D231,$E231,$F231,$G231,$H231,$I231,$L231+SUM($N231:N231),E$115,E$117,E$117),2)</f>
        <v>0</v>
      </c>
      <c r="P231" s="41">
        <f>ROUND(Dot_ex($D231,$E231,$F231,$G231,$H231,$I231,$L231+SUM($N231:O231),F$115,F$117,F$117),2)</f>
        <v>0</v>
      </c>
      <c r="Q231" s="41">
        <f>ROUND(Dot_ex($D231,$E231,$F231,$G231,$H231,$I231,$L231+SUM($N231:P231),G$115,G$117,G$117),2)</f>
        <v>0</v>
      </c>
      <c r="R231" s="57">
        <f>ROUND(Dot_ex($D231,$E231,$F231,$G231,$H231,$I231,$L231+SUM($N231:Q231),H$115,H$117,H$117),2)</f>
        <v>0</v>
      </c>
      <c r="S231" s="57">
        <f>ROUND(Dot_ex($D231,$E231,$F231,$G231,$H231,$I231,$L231+SUM($N231:R231),I$115,I$117,I$117),2)</f>
        <v>0</v>
      </c>
      <c r="T231" s="57">
        <f>ROUND(Dot_ex($D231,$E231,$F231,$G231,$H231,$I231,$L231+SUM($N231:S231),J$115,J$117,J$117),2)</f>
        <v>0</v>
      </c>
      <c r="U231" s="57">
        <f>ROUND(Dot_ex($D231,$E231,$F231,$G231,$H231,$I231,$L231+SUM($N231:T231),K$115,K$117,K$117),2)</f>
        <v>0</v>
      </c>
      <c r="V231" s="57">
        <f>ROUND(Dot_ex($D231,$E231,$F231,$G231,$H231,$I231,$L231+SUM($N231:U231),L$115,L$117,L$117),2)</f>
        <v>0</v>
      </c>
      <c r="W231" s="57">
        <f>ROUND(Dot_ex($D231,$E231,$F231,$G231,$H231,$I231,$L231+SUM($N231:V231),M$115,M$117,M$117),2)</f>
        <v>0</v>
      </c>
    </row>
    <row r="232" spans="1:23" x14ac:dyDescent="0.2">
      <c r="A232" s="101"/>
      <c r="H232" s="1"/>
      <c r="I232" s="1"/>
      <c r="J232" s="8"/>
      <c r="K232" s="8"/>
      <c r="M232" s="14"/>
      <c r="N232" s="41"/>
      <c r="O232" s="41"/>
      <c r="P232" s="41"/>
      <c r="Q232" s="41"/>
      <c r="R232" s="57"/>
      <c r="S232" s="57"/>
      <c r="T232" s="57"/>
      <c r="U232" s="57"/>
      <c r="V232" s="57"/>
      <c r="W232" s="57"/>
    </row>
    <row r="233" spans="1:23" x14ac:dyDescent="0.2">
      <c r="A233" s="101"/>
      <c r="E233" s="94" t="s">
        <v>14</v>
      </c>
      <c r="F233" s="95"/>
      <c r="G233" s="96">
        <f>SUM(G228:G232)</f>
        <v>16385.18</v>
      </c>
      <c r="H233" s="94"/>
      <c r="I233" s="97"/>
      <c r="J233" s="96">
        <f t="shared" ref="J233:R233" si="38">SUM(J228:J232)</f>
        <v>16127.060000000001</v>
      </c>
      <c r="K233" s="96">
        <f t="shared" si="38"/>
        <v>138.55000000000001</v>
      </c>
      <c r="L233" s="96">
        <f t="shared" si="38"/>
        <v>16265.61</v>
      </c>
      <c r="M233" s="203">
        <f t="shared" si="38"/>
        <v>119.56999999999994</v>
      </c>
      <c r="N233" s="202">
        <f t="shared" si="38"/>
        <v>119.57</v>
      </c>
      <c r="O233" s="202">
        <f t="shared" si="38"/>
        <v>0</v>
      </c>
      <c r="P233" s="202">
        <f t="shared" si="38"/>
        <v>0</v>
      </c>
      <c r="Q233" s="202">
        <f t="shared" si="38"/>
        <v>0</v>
      </c>
      <c r="R233" s="203">
        <f t="shared" si="38"/>
        <v>0</v>
      </c>
      <c r="S233" s="203">
        <f>SUM(S228:S232)</f>
        <v>0</v>
      </c>
      <c r="T233" s="203">
        <f>SUM(T228:T232)</f>
        <v>0</v>
      </c>
      <c r="U233" s="203">
        <f>SUM(U228:U232)</f>
        <v>0</v>
      </c>
      <c r="V233" s="203">
        <f>SUM(V228:V232)</f>
        <v>0</v>
      </c>
      <c r="W233" s="203">
        <f>SUM(W228:W232)</f>
        <v>0</v>
      </c>
    </row>
    <row r="234" spans="1:23" x14ac:dyDescent="0.2">
      <c r="A234" s="101"/>
      <c r="E234" s="94"/>
      <c r="F234" s="95"/>
      <c r="G234" s="96"/>
      <c r="H234" s="94"/>
      <c r="I234" s="97"/>
      <c r="J234" s="96"/>
      <c r="K234" s="96"/>
      <c r="L234" s="96"/>
      <c r="M234" s="203"/>
      <c r="N234" s="41"/>
      <c r="O234" s="41"/>
      <c r="P234" s="41"/>
      <c r="Q234" s="41"/>
      <c r="R234" s="57"/>
      <c r="S234" s="57"/>
      <c r="T234" s="57"/>
      <c r="U234" s="57"/>
      <c r="V234" s="57"/>
      <c r="W234" s="57"/>
    </row>
    <row r="235" spans="1:23" x14ac:dyDescent="0.2">
      <c r="A235" s="101"/>
      <c r="E235" s="1" t="s">
        <v>23</v>
      </c>
      <c r="G235" s="8">
        <f>SUMIF($D228:$D232,"&lt;"&amp;TEXT($G$6,"jj/mm/aa"),G$228:G$232)</f>
        <v>16385.18</v>
      </c>
      <c r="H235" s="1"/>
      <c r="I235" s="78"/>
      <c r="J235" s="8">
        <f>SUMIF($D228:$D232,"&lt;"&amp;TEXT($G$6,"jj/mm/aa"),J$228:J$232)</f>
        <v>16127.060000000001</v>
      </c>
      <c r="K235" s="8">
        <f>SUMIF($D228:$D232,"&lt;"&amp;TEXT($G$6,"jj/mm/aa"),K$228:K$232)</f>
        <v>138.55000000000001</v>
      </c>
      <c r="L235" s="8">
        <f>SUMIF($D228:$D232,"&lt;"&amp;TEXT($G$6,"jj/mm/aa"),L$228:L$232)</f>
        <v>16265.61</v>
      </c>
      <c r="M235" s="57">
        <f>SUMIF($D228:$D232,"&lt;"&amp;TEXT($G$6,"jj/mm/aa"),M$228:M$232)</f>
        <v>119.56999999999994</v>
      </c>
      <c r="N235" s="41"/>
      <c r="O235" s="41"/>
      <c r="P235" s="41"/>
      <c r="Q235" s="41"/>
      <c r="R235" s="57"/>
      <c r="S235" s="57"/>
      <c r="T235" s="57"/>
      <c r="U235" s="57"/>
      <c r="V235" s="57"/>
      <c r="W235" s="57"/>
    </row>
    <row r="236" spans="1:23" x14ac:dyDescent="0.2">
      <c r="A236" s="101"/>
      <c r="E236" s="1" t="s">
        <v>38</v>
      </c>
      <c r="G236" s="8">
        <f>SUMIF($D228:$D232,"&gt;="&amp;TEXT($G$6,"jj/mm/aa"),G$228:G$232)</f>
        <v>0</v>
      </c>
      <c r="J236" s="8">
        <f>SUMIF($D228:$D232,"&gt;="&amp;TEXT($G$6,"jj/mm/aa"),J$228:J$232)</f>
        <v>0</v>
      </c>
      <c r="K236" s="8">
        <f>SUMIF($D228:$D232,"&gt;="&amp;TEXT($G$6,"jj/mm/aa"),K$228:K$232)</f>
        <v>0</v>
      </c>
      <c r="L236" s="8">
        <f>SUMIF($D228:$D232,"&gt;="&amp;TEXT($G$6,"jj/mm/aa"),L$228:L$232)</f>
        <v>0</v>
      </c>
      <c r="M236" s="57">
        <f>SUMIF($D228:$D232,"&gt;="&amp;TEXT($G$6,"jj/mm/aa"),M$228:M$232)</f>
        <v>0</v>
      </c>
      <c r="N236" s="41"/>
      <c r="O236" s="41"/>
      <c r="P236" s="41"/>
      <c r="Q236" s="41"/>
      <c r="R236" s="57"/>
      <c r="S236" s="57"/>
      <c r="T236" s="57"/>
      <c r="U236" s="57"/>
      <c r="V236" s="57"/>
      <c r="W236" s="57"/>
    </row>
    <row r="237" spans="1:23" x14ac:dyDescent="0.2">
      <c r="A237" s="101"/>
      <c r="E237" s="1" t="s">
        <v>39</v>
      </c>
      <c r="G237" s="8">
        <f>SUMIF($F228:$F232,"&gt;="&amp;TEXT($G$6,"jj/mm/aa"),G$228:G$232)</f>
        <v>0</v>
      </c>
      <c r="J237" s="8">
        <f>SUMIF($F228:$F232,"&gt;="&amp;TEXT($G$6,"jj/mm/aa"),J$228:J$232)</f>
        <v>0</v>
      </c>
      <c r="K237" s="8">
        <f>SUMIF($F228:$F232,"&gt;="&amp;TEXT($G$6,"jj/mm/aa"),K$228:K$232)</f>
        <v>0</v>
      </c>
      <c r="L237" s="8">
        <f>SUMIF($F228:$F232,"&gt;="&amp;TEXT($G$6,"jj/mm/aa"),L$228:L$232)</f>
        <v>0</v>
      </c>
      <c r="M237" s="57">
        <f>SUMIF($F228:$F232,"&gt;="&amp;TEXT($G$6,"jj/mm/aa"),M$228:M$232)</f>
        <v>0</v>
      </c>
      <c r="N237" s="41"/>
      <c r="O237" s="41"/>
      <c r="P237" s="41"/>
      <c r="Q237" s="41"/>
      <c r="R237" s="57"/>
      <c r="S237" s="57"/>
      <c r="T237" s="57"/>
      <c r="U237" s="57"/>
      <c r="V237" s="57"/>
      <c r="W237" s="57"/>
    </row>
    <row r="238" spans="1:23" x14ac:dyDescent="0.2">
      <c r="A238" s="101"/>
      <c r="E238" s="1" t="s">
        <v>15</v>
      </c>
      <c r="G238" s="8">
        <f>G235+G236-G237</f>
        <v>16385.18</v>
      </c>
      <c r="J238" s="8">
        <f>J235+J236-J237</f>
        <v>16127.060000000001</v>
      </c>
      <c r="K238" s="8">
        <f>K235+K236-K237</f>
        <v>138.55000000000001</v>
      </c>
      <c r="L238" s="8">
        <f>L235+L236-L237</f>
        <v>16265.61</v>
      </c>
      <c r="M238" s="57">
        <f>M235+M236-M237</f>
        <v>119.56999999999994</v>
      </c>
      <c r="N238" s="41"/>
      <c r="O238" s="41"/>
      <c r="P238" s="41"/>
      <c r="Q238" s="41"/>
      <c r="R238" s="57"/>
      <c r="S238" s="57"/>
      <c r="T238" s="57"/>
      <c r="U238" s="57"/>
      <c r="V238" s="57"/>
      <c r="W238" s="57"/>
    </row>
    <row r="239" spans="1:23" x14ac:dyDescent="0.2">
      <c r="A239" s="101"/>
      <c r="M239" s="14"/>
      <c r="N239" s="41"/>
      <c r="O239" s="41"/>
      <c r="P239" s="41"/>
      <c r="Q239" s="41"/>
      <c r="R239" s="57"/>
      <c r="S239" s="57"/>
      <c r="T239" s="57"/>
      <c r="U239" s="57"/>
      <c r="V239" s="57"/>
      <c r="W239" s="57"/>
    </row>
    <row r="240" spans="1:23" x14ac:dyDescent="0.2">
      <c r="A240" s="101"/>
      <c r="M240" s="14"/>
      <c r="N240" s="41"/>
      <c r="O240" s="41"/>
      <c r="P240" s="41"/>
      <c r="Q240" s="41"/>
      <c r="R240" s="57"/>
      <c r="S240" s="57"/>
      <c r="T240" s="57"/>
      <c r="U240" s="57"/>
      <c r="V240" s="57"/>
      <c r="W240" s="57"/>
    </row>
    <row r="241" spans="1:23" ht="24.95" customHeight="1" x14ac:dyDescent="0.2">
      <c r="A241" s="208" t="s">
        <v>78</v>
      </c>
      <c r="B241" s="209"/>
      <c r="C241" s="209"/>
      <c r="D241" s="209"/>
      <c r="E241" s="210"/>
      <c r="F241" s="211"/>
      <c r="G241" s="211"/>
      <c r="H241" s="211"/>
      <c r="I241" s="211"/>
      <c r="J241" s="211"/>
      <c r="K241" s="211"/>
      <c r="L241" s="211"/>
      <c r="M241" s="226"/>
      <c r="N241" s="220" t="str">
        <f>A241 &amp; "   -   Dotations prévisionnelles"</f>
        <v>215400 MATERIEL DE LABORATOIRE   -   Dotations prévisionnelles</v>
      </c>
      <c r="O241" s="212"/>
      <c r="P241" s="212"/>
      <c r="Q241" s="212"/>
      <c r="R241" s="213"/>
      <c r="S241" s="212"/>
      <c r="T241" s="212"/>
      <c r="U241" s="212"/>
      <c r="V241" s="212"/>
      <c r="W241" s="213"/>
    </row>
    <row r="242" spans="1:23" x14ac:dyDescent="0.2">
      <c r="A242" s="107">
        <f ca="1">IF(ISNUMBER(A241),A241+1,OFFSET(A242,-Nbre_Ligne_Entre_Compte,0,1,1)+1)</f>
        <v>36</v>
      </c>
      <c r="B242" s="1" t="s">
        <v>79</v>
      </c>
      <c r="C242" s="1"/>
      <c r="D242" s="77">
        <v>31889</v>
      </c>
      <c r="E242" s="77">
        <v>31889</v>
      </c>
      <c r="F242" s="77"/>
      <c r="G242" s="8">
        <v>638.76</v>
      </c>
      <c r="H242" s="1" t="s">
        <v>8</v>
      </c>
      <c r="I242" s="78">
        <v>7</v>
      </c>
      <c r="J242" s="8">
        <v>638.76</v>
      </c>
      <c r="K242" s="8">
        <f>ROUND(Dot_ex(D242,E242,F242,G242,H242,I242,J242,$G$6,$I$6,$I$8),2)</f>
        <v>0</v>
      </c>
      <c r="L242" s="8">
        <f>J242+K242</f>
        <v>638.76</v>
      </c>
      <c r="M242" s="57">
        <f>G242-L242</f>
        <v>0</v>
      </c>
      <c r="N242" s="41">
        <f t="shared" ref="N242:N305" si="39">ROUND(Dot_ex($D242,$E242,$F242,$G242,$H242,$I242,$L242,D$115,D$117,D$117),2)</f>
        <v>0</v>
      </c>
      <c r="O242" s="41">
        <f>ROUND(Dot_ex($D242,$E242,$F242,$G242,$H242,$I242,$L242+SUM($N242:N242),E$115,E$117,E$117),2)</f>
        <v>0</v>
      </c>
      <c r="P242" s="41">
        <f>ROUND(Dot_ex($D242,$E242,$F242,$G242,$H242,$I242,$L242+SUM($N242:O242),F$115,F$117,F$117),2)</f>
        <v>0</v>
      </c>
      <c r="Q242" s="41">
        <f>ROUND(Dot_ex($D242,$E242,$F242,$G242,$H242,$I242,$L242+SUM($N242:P242),G$115,G$117,G$117),2)</f>
        <v>0</v>
      </c>
      <c r="R242" s="57">
        <f>ROUND(Dot_ex($D242,$E242,$F242,$G242,$H242,$I242,$L242+SUM($N242:Q242),H$115,H$117,H$117),2)</f>
        <v>0</v>
      </c>
      <c r="S242" s="57">
        <f>ROUND(Dot_ex($D242,$E242,$F242,$G242,$H242,$I242,$L242+SUM($N242:R242),I$115,I$117,I$117),2)</f>
        <v>0</v>
      </c>
      <c r="T242" s="57">
        <f>ROUND(Dot_ex($D242,$E242,$F242,$G242,$H242,$I242,$L242+SUM($N242:S242),J$115,J$117,J$117),2)</f>
        <v>0</v>
      </c>
      <c r="U242" s="57">
        <f>ROUND(Dot_ex($D242,$E242,$F242,$G242,$H242,$I242,$L242+SUM($N242:T242),K$115,K$117,K$117),2)</f>
        <v>0</v>
      </c>
      <c r="V242" s="57">
        <f>ROUND(Dot_ex($D242,$E242,$F242,$G242,$H242,$I242,$L242+SUM($N242:U242),L$115,L$117,L$117),2)</f>
        <v>0</v>
      </c>
      <c r="W242" s="57">
        <f>ROUND(Dot_ex($D242,$E242,$F242,$G242,$H242,$I242,$L242+SUM($N242:V242),M$115,M$117,M$117),2)</f>
        <v>0</v>
      </c>
    </row>
    <row r="243" spans="1:23" x14ac:dyDescent="0.2">
      <c r="A243" s="107">
        <f t="shared" ref="A243:A306" ca="1" si="40">IF(ISNUMBER(A242),A242+1,OFFSET(A243,-Nbre_Ligne_Entre_Compte,0,1,1)+1)</f>
        <v>37</v>
      </c>
      <c r="B243" s="1" t="s">
        <v>80</v>
      </c>
      <c r="C243" s="1"/>
      <c r="D243" s="77">
        <v>32675</v>
      </c>
      <c r="E243" s="77">
        <v>32675</v>
      </c>
      <c r="F243" s="77"/>
      <c r="G243" s="8">
        <v>11555.64</v>
      </c>
      <c r="H243" s="1" t="s">
        <v>8</v>
      </c>
      <c r="I243" s="78">
        <v>7</v>
      </c>
      <c r="J243" s="8">
        <v>11555.64</v>
      </c>
      <c r="K243" s="8">
        <f t="shared" ref="K243:K306" si="41">ROUND(Dot_ex(D243,E243,F243,G243,H243,I243,J243,$G$6,$I$6,$I$8),2)</f>
        <v>0</v>
      </c>
      <c r="L243" s="8">
        <f t="shared" ref="L243:L306" si="42">J243+K243</f>
        <v>11555.64</v>
      </c>
      <c r="M243" s="57">
        <f t="shared" ref="M243:M306" si="43">G243-L243</f>
        <v>0</v>
      </c>
      <c r="N243" s="41">
        <f t="shared" si="39"/>
        <v>0</v>
      </c>
      <c r="O243" s="41">
        <f>ROUND(Dot_ex($D243,$E243,$F243,$G243,$H243,$I243,$L243+SUM($N243:N243),E$115,E$117,E$117),2)</f>
        <v>0</v>
      </c>
      <c r="P243" s="41">
        <f>ROUND(Dot_ex($D243,$E243,$F243,$G243,$H243,$I243,$L243+SUM($N243:O243),F$115,F$117,F$117),2)</f>
        <v>0</v>
      </c>
      <c r="Q243" s="41">
        <f>ROUND(Dot_ex($D243,$E243,$F243,$G243,$H243,$I243,$L243+SUM($N243:P243),G$115,G$117,G$117),2)</f>
        <v>0</v>
      </c>
      <c r="R243" s="57">
        <f>ROUND(Dot_ex($D243,$E243,$F243,$G243,$H243,$I243,$L243+SUM($N243:Q243),H$115,H$117,H$117),2)</f>
        <v>0</v>
      </c>
      <c r="S243" s="57">
        <f>ROUND(Dot_ex($D243,$E243,$F243,$G243,$H243,$I243,$L243+SUM($N243:R243),I$115,I$117,I$117),2)</f>
        <v>0</v>
      </c>
      <c r="T243" s="57">
        <f>ROUND(Dot_ex($D243,$E243,$F243,$G243,$H243,$I243,$L243+SUM($N243:S243),J$115,J$117,J$117),2)</f>
        <v>0</v>
      </c>
      <c r="U243" s="57">
        <f>ROUND(Dot_ex($D243,$E243,$F243,$G243,$H243,$I243,$L243+SUM($N243:T243),K$115,K$117,K$117),2)</f>
        <v>0</v>
      </c>
      <c r="V243" s="57">
        <f>ROUND(Dot_ex($D243,$E243,$F243,$G243,$H243,$I243,$L243+SUM($N243:U243),L$115,L$117,L$117),2)</f>
        <v>0</v>
      </c>
      <c r="W243" s="57">
        <f>ROUND(Dot_ex($D243,$E243,$F243,$G243,$H243,$I243,$L243+SUM($N243:V243),M$115,M$117,M$117),2)</f>
        <v>0</v>
      </c>
    </row>
    <row r="244" spans="1:23" x14ac:dyDescent="0.2">
      <c r="A244" s="107">
        <f t="shared" ca="1" si="40"/>
        <v>38</v>
      </c>
      <c r="B244" s="1" t="s">
        <v>81</v>
      </c>
      <c r="C244" s="1"/>
      <c r="D244" s="77">
        <v>32681</v>
      </c>
      <c r="E244" s="77">
        <v>32681</v>
      </c>
      <c r="F244" s="77"/>
      <c r="G244" s="8">
        <v>1337.13</v>
      </c>
      <c r="H244" s="1" t="s">
        <v>8</v>
      </c>
      <c r="I244" s="78">
        <v>7</v>
      </c>
      <c r="J244" s="8">
        <v>1337.13</v>
      </c>
      <c r="K244" s="8">
        <f t="shared" si="41"/>
        <v>0</v>
      </c>
      <c r="L244" s="8">
        <f t="shared" si="42"/>
        <v>1337.13</v>
      </c>
      <c r="M244" s="57">
        <f t="shared" si="43"/>
        <v>0</v>
      </c>
      <c r="N244" s="41">
        <f t="shared" si="39"/>
        <v>0</v>
      </c>
      <c r="O244" s="41">
        <f>ROUND(Dot_ex($D244,$E244,$F244,$G244,$H244,$I244,$L244+SUM($N244:N244),E$115,E$117,E$117),2)</f>
        <v>0</v>
      </c>
      <c r="P244" s="41">
        <f>ROUND(Dot_ex($D244,$E244,$F244,$G244,$H244,$I244,$L244+SUM($N244:O244),F$115,F$117,F$117),2)</f>
        <v>0</v>
      </c>
      <c r="Q244" s="41">
        <f>ROUND(Dot_ex($D244,$E244,$F244,$G244,$H244,$I244,$L244+SUM($N244:P244),G$115,G$117,G$117),2)</f>
        <v>0</v>
      </c>
      <c r="R244" s="57">
        <f>ROUND(Dot_ex($D244,$E244,$F244,$G244,$H244,$I244,$L244+SUM($N244:Q244),H$115,H$117,H$117),2)</f>
        <v>0</v>
      </c>
      <c r="S244" s="57">
        <f>ROUND(Dot_ex($D244,$E244,$F244,$G244,$H244,$I244,$L244+SUM($N244:R244),I$115,I$117,I$117),2)</f>
        <v>0</v>
      </c>
      <c r="T244" s="57">
        <f>ROUND(Dot_ex($D244,$E244,$F244,$G244,$H244,$I244,$L244+SUM($N244:S244),J$115,J$117,J$117),2)</f>
        <v>0</v>
      </c>
      <c r="U244" s="57">
        <f>ROUND(Dot_ex($D244,$E244,$F244,$G244,$H244,$I244,$L244+SUM($N244:T244),K$115,K$117,K$117),2)</f>
        <v>0</v>
      </c>
      <c r="V244" s="57">
        <f>ROUND(Dot_ex($D244,$E244,$F244,$G244,$H244,$I244,$L244+SUM($N244:U244),L$115,L$117,L$117),2)</f>
        <v>0</v>
      </c>
      <c r="W244" s="57">
        <f>ROUND(Dot_ex($D244,$E244,$F244,$G244,$H244,$I244,$L244+SUM($N244:V244),M$115,M$117,M$117),2)</f>
        <v>0</v>
      </c>
    </row>
    <row r="245" spans="1:23" x14ac:dyDescent="0.2">
      <c r="A245" s="107">
        <f t="shared" ca="1" si="40"/>
        <v>39</v>
      </c>
      <c r="B245" s="1" t="s">
        <v>82</v>
      </c>
      <c r="C245" s="1"/>
      <c r="D245" s="77">
        <v>32716</v>
      </c>
      <c r="E245" s="77">
        <v>32716</v>
      </c>
      <c r="F245" s="77"/>
      <c r="G245" s="8">
        <v>1012.34</v>
      </c>
      <c r="H245" s="1" t="s">
        <v>8</v>
      </c>
      <c r="I245" s="78">
        <v>5</v>
      </c>
      <c r="J245" s="8">
        <v>1012.34</v>
      </c>
      <c r="K245" s="8">
        <f t="shared" si="41"/>
        <v>0</v>
      </c>
      <c r="L245" s="8">
        <f t="shared" si="42"/>
        <v>1012.34</v>
      </c>
      <c r="M245" s="57">
        <f t="shared" si="43"/>
        <v>0</v>
      </c>
      <c r="N245" s="41">
        <f t="shared" si="39"/>
        <v>0</v>
      </c>
      <c r="O245" s="41">
        <f>ROUND(Dot_ex($D245,$E245,$F245,$G245,$H245,$I245,$L245+SUM($N245:N245),E$115,E$117,E$117),2)</f>
        <v>0</v>
      </c>
      <c r="P245" s="41">
        <f>ROUND(Dot_ex($D245,$E245,$F245,$G245,$H245,$I245,$L245+SUM($N245:O245),F$115,F$117,F$117),2)</f>
        <v>0</v>
      </c>
      <c r="Q245" s="41">
        <f>ROUND(Dot_ex($D245,$E245,$F245,$G245,$H245,$I245,$L245+SUM($N245:P245),G$115,G$117,G$117),2)</f>
        <v>0</v>
      </c>
      <c r="R245" s="57">
        <f>ROUND(Dot_ex($D245,$E245,$F245,$G245,$H245,$I245,$L245+SUM($N245:Q245),H$115,H$117,H$117),2)</f>
        <v>0</v>
      </c>
      <c r="S245" s="57">
        <f>ROUND(Dot_ex($D245,$E245,$F245,$G245,$H245,$I245,$L245+SUM($N245:R245),I$115,I$117,I$117),2)</f>
        <v>0</v>
      </c>
      <c r="T245" s="57">
        <f>ROUND(Dot_ex($D245,$E245,$F245,$G245,$H245,$I245,$L245+SUM($N245:S245),J$115,J$117,J$117),2)</f>
        <v>0</v>
      </c>
      <c r="U245" s="57">
        <f>ROUND(Dot_ex($D245,$E245,$F245,$G245,$H245,$I245,$L245+SUM($N245:T245),K$115,K$117,K$117),2)</f>
        <v>0</v>
      </c>
      <c r="V245" s="57">
        <f>ROUND(Dot_ex($D245,$E245,$F245,$G245,$H245,$I245,$L245+SUM($N245:U245),L$115,L$117,L$117),2)</f>
        <v>0</v>
      </c>
      <c r="W245" s="57">
        <f>ROUND(Dot_ex($D245,$E245,$F245,$G245,$H245,$I245,$L245+SUM($N245:V245),M$115,M$117,M$117),2)</f>
        <v>0</v>
      </c>
    </row>
    <row r="246" spans="1:23" x14ac:dyDescent="0.2">
      <c r="A246" s="107">
        <f t="shared" ca="1" si="40"/>
        <v>40</v>
      </c>
      <c r="B246" s="1" t="s">
        <v>83</v>
      </c>
      <c r="C246" s="1"/>
      <c r="D246" s="77">
        <v>32778</v>
      </c>
      <c r="E246" s="77">
        <v>32778</v>
      </c>
      <c r="F246" s="77"/>
      <c r="G246" s="8">
        <v>6564.21</v>
      </c>
      <c r="H246" s="1" t="s">
        <v>8</v>
      </c>
      <c r="I246" s="78">
        <v>5</v>
      </c>
      <c r="J246" s="8">
        <v>6564.21</v>
      </c>
      <c r="K246" s="8">
        <f t="shared" si="41"/>
        <v>0</v>
      </c>
      <c r="L246" s="8">
        <f t="shared" si="42"/>
        <v>6564.21</v>
      </c>
      <c r="M246" s="57">
        <f t="shared" si="43"/>
        <v>0</v>
      </c>
      <c r="N246" s="41">
        <f t="shared" si="39"/>
        <v>0</v>
      </c>
      <c r="O246" s="41">
        <f>ROUND(Dot_ex($D246,$E246,$F246,$G246,$H246,$I246,$L246+SUM($N246:N246),E$115,E$117,E$117),2)</f>
        <v>0</v>
      </c>
      <c r="P246" s="41">
        <f>ROUND(Dot_ex($D246,$E246,$F246,$G246,$H246,$I246,$L246+SUM($N246:O246),F$115,F$117,F$117),2)</f>
        <v>0</v>
      </c>
      <c r="Q246" s="41">
        <f>ROUND(Dot_ex($D246,$E246,$F246,$G246,$H246,$I246,$L246+SUM($N246:P246),G$115,G$117,G$117),2)</f>
        <v>0</v>
      </c>
      <c r="R246" s="57">
        <f>ROUND(Dot_ex($D246,$E246,$F246,$G246,$H246,$I246,$L246+SUM($N246:Q246),H$115,H$117,H$117),2)</f>
        <v>0</v>
      </c>
      <c r="S246" s="57">
        <f>ROUND(Dot_ex($D246,$E246,$F246,$G246,$H246,$I246,$L246+SUM($N246:R246),I$115,I$117,I$117),2)</f>
        <v>0</v>
      </c>
      <c r="T246" s="57">
        <f>ROUND(Dot_ex($D246,$E246,$F246,$G246,$H246,$I246,$L246+SUM($N246:S246),J$115,J$117,J$117),2)</f>
        <v>0</v>
      </c>
      <c r="U246" s="57">
        <f>ROUND(Dot_ex($D246,$E246,$F246,$G246,$H246,$I246,$L246+SUM($N246:T246),K$115,K$117,K$117),2)</f>
        <v>0</v>
      </c>
      <c r="V246" s="57">
        <f>ROUND(Dot_ex($D246,$E246,$F246,$G246,$H246,$I246,$L246+SUM($N246:U246),L$115,L$117,L$117),2)</f>
        <v>0</v>
      </c>
      <c r="W246" s="57">
        <f>ROUND(Dot_ex($D246,$E246,$F246,$G246,$H246,$I246,$L246+SUM($N246:V246),M$115,M$117,M$117),2)</f>
        <v>0</v>
      </c>
    </row>
    <row r="247" spans="1:23" x14ac:dyDescent="0.2">
      <c r="A247" s="107">
        <f t="shared" ca="1" si="40"/>
        <v>41</v>
      </c>
      <c r="B247" s="1" t="s">
        <v>84</v>
      </c>
      <c r="C247" s="1"/>
      <c r="D247" s="77">
        <v>32778</v>
      </c>
      <c r="E247" s="77">
        <v>32778</v>
      </c>
      <c r="F247" s="77"/>
      <c r="G247" s="8">
        <v>214.95</v>
      </c>
      <c r="H247" s="1" t="s">
        <v>8</v>
      </c>
      <c r="I247" s="78">
        <v>5</v>
      </c>
      <c r="J247" s="8">
        <v>214.95</v>
      </c>
      <c r="K247" s="8">
        <f t="shared" si="41"/>
        <v>0</v>
      </c>
      <c r="L247" s="8">
        <f t="shared" si="42"/>
        <v>214.95</v>
      </c>
      <c r="M247" s="57">
        <f t="shared" si="43"/>
        <v>0</v>
      </c>
      <c r="N247" s="41">
        <f t="shared" si="39"/>
        <v>0</v>
      </c>
      <c r="O247" s="41">
        <f>ROUND(Dot_ex($D247,$E247,$F247,$G247,$H247,$I247,$L247+SUM($N247:N247),E$115,E$117,E$117),2)</f>
        <v>0</v>
      </c>
      <c r="P247" s="41">
        <f>ROUND(Dot_ex($D247,$E247,$F247,$G247,$H247,$I247,$L247+SUM($N247:O247),F$115,F$117,F$117),2)</f>
        <v>0</v>
      </c>
      <c r="Q247" s="41">
        <f>ROUND(Dot_ex($D247,$E247,$F247,$G247,$H247,$I247,$L247+SUM($N247:P247),G$115,G$117,G$117),2)</f>
        <v>0</v>
      </c>
      <c r="R247" s="57">
        <f>ROUND(Dot_ex($D247,$E247,$F247,$G247,$H247,$I247,$L247+SUM($N247:Q247),H$115,H$117,H$117),2)</f>
        <v>0</v>
      </c>
      <c r="S247" s="57">
        <f>ROUND(Dot_ex($D247,$E247,$F247,$G247,$H247,$I247,$L247+SUM($N247:R247),I$115,I$117,I$117),2)</f>
        <v>0</v>
      </c>
      <c r="T247" s="57">
        <f>ROUND(Dot_ex($D247,$E247,$F247,$G247,$H247,$I247,$L247+SUM($N247:S247),J$115,J$117,J$117),2)</f>
        <v>0</v>
      </c>
      <c r="U247" s="57">
        <f>ROUND(Dot_ex($D247,$E247,$F247,$G247,$H247,$I247,$L247+SUM($N247:T247),K$115,K$117,K$117),2)</f>
        <v>0</v>
      </c>
      <c r="V247" s="57">
        <f>ROUND(Dot_ex($D247,$E247,$F247,$G247,$H247,$I247,$L247+SUM($N247:U247),L$115,L$117,L$117),2)</f>
        <v>0</v>
      </c>
      <c r="W247" s="57">
        <f>ROUND(Dot_ex($D247,$E247,$F247,$G247,$H247,$I247,$L247+SUM($N247:V247),M$115,M$117,M$117),2)</f>
        <v>0</v>
      </c>
    </row>
    <row r="248" spans="1:23" x14ac:dyDescent="0.2">
      <c r="A248" s="107">
        <f t="shared" ca="1" si="40"/>
        <v>42</v>
      </c>
      <c r="B248" s="1" t="s">
        <v>85</v>
      </c>
      <c r="C248" s="1"/>
      <c r="D248" s="77">
        <v>32921</v>
      </c>
      <c r="E248" s="77">
        <v>32921</v>
      </c>
      <c r="F248" s="77"/>
      <c r="G248" s="8">
        <v>301.85000000000002</v>
      </c>
      <c r="H248" s="1" t="s">
        <v>8</v>
      </c>
      <c r="I248" s="78">
        <v>5</v>
      </c>
      <c r="J248" s="8">
        <v>301.85000000000002</v>
      </c>
      <c r="K248" s="8">
        <f t="shared" si="41"/>
        <v>0</v>
      </c>
      <c r="L248" s="8">
        <f t="shared" si="42"/>
        <v>301.85000000000002</v>
      </c>
      <c r="M248" s="57">
        <f t="shared" si="43"/>
        <v>0</v>
      </c>
      <c r="N248" s="41">
        <f t="shared" si="39"/>
        <v>0</v>
      </c>
      <c r="O248" s="41">
        <f>ROUND(Dot_ex($D248,$E248,$F248,$G248,$H248,$I248,$L248+SUM($N248:N248),E$115,E$117,E$117),2)</f>
        <v>0</v>
      </c>
      <c r="P248" s="41">
        <f>ROUND(Dot_ex($D248,$E248,$F248,$G248,$H248,$I248,$L248+SUM($N248:O248),F$115,F$117,F$117),2)</f>
        <v>0</v>
      </c>
      <c r="Q248" s="41">
        <f>ROUND(Dot_ex($D248,$E248,$F248,$G248,$H248,$I248,$L248+SUM($N248:P248),G$115,G$117,G$117),2)</f>
        <v>0</v>
      </c>
      <c r="R248" s="57">
        <f>ROUND(Dot_ex($D248,$E248,$F248,$G248,$H248,$I248,$L248+SUM($N248:Q248),H$115,H$117,H$117),2)</f>
        <v>0</v>
      </c>
      <c r="S248" s="57">
        <f>ROUND(Dot_ex($D248,$E248,$F248,$G248,$H248,$I248,$L248+SUM($N248:R248),I$115,I$117,I$117),2)</f>
        <v>0</v>
      </c>
      <c r="T248" s="57">
        <f>ROUND(Dot_ex($D248,$E248,$F248,$G248,$H248,$I248,$L248+SUM($N248:S248),J$115,J$117,J$117),2)</f>
        <v>0</v>
      </c>
      <c r="U248" s="57">
        <f>ROUND(Dot_ex($D248,$E248,$F248,$G248,$H248,$I248,$L248+SUM($N248:T248),K$115,K$117,K$117),2)</f>
        <v>0</v>
      </c>
      <c r="V248" s="57">
        <f>ROUND(Dot_ex($D248,$E248,$F248,$G248,$H248,$I248,$L248+SUM($N248:U248),L$115,L$117,L$117),2)</f>
        <v>0</v>
      </c>
      <c r="W248" s="57">
        <f>ROUND(Dot_ex($D248,$E248,$F248,$G248,$H248,$I248,$L248+SUM($N248:V248),M$115,M$117,M$117),2)</f>
        <v>0</v>
      </c>
    </row>
    <row r="249" spans="1:23" x14ac:dyDescent="0.2">
      <c r="A249" s="107">
        <f t="shared" ca="1" si="40"/>
        <v>43</v>
      </c>
      <c r="B249" s="1" t="s">
        <v>86</v>
      </c>
      <c r="C249" s="1"/>
      <c r="D249" s="77">
        <v>32947</v>
      </c>
      <c r="E249" s="77">
        <v>32947</v>
      </c>
      <c r="F249" s="77"/>
      <c r="G249" s="8">
        <v>7815.95</v>
      </c>
      <c r="H249" s="1" t="s">
        <v>8</v>
      </c>
      <c r="I249" s="78">
        <v>5</v>
      </c>
      <c r="J249" s="8">
        <v>7815.95</v>
      </c>
      <c r="K249" s="8">
        <f t="shared" si="41"/>
        <v>0</v>
      </c>
      <c r="L249" s="8">
        <f t="shared" si="42"/>
        <v>7815.95</v>
      </c>
      <c r="M249" s="57">
        <f t="shared" si="43"/>
        <v>0</v>
      </c>
      <c r="N249" s="41">
        <f t="shared" si="39"/>
        <v>0</v>
      </c>
      <c r="O249" s="41">
        <f>ROUND(Dot_ex($D249,$E249,$F249,$G249,$H249,$I249,$L249+SUM($N249:N249),E$115,E$117,E$117),2)</f>
        <v>0</v>
      </c>
      <c r="P249" s="41">
        <f>ROUND(Dot_ex($D249,$E249,$F249,$G249,$H249,$I249,$L249+SUM($N249:O249),F$115,F$117,F$117),2)</f>
        <v>0</v>
      </c>
      <c r="Q249" s="41">
        <f>ROUND(Dot_ex($D249,$E249,$F249,$G249,$H249,$I249,$L249+SUM($N249:P249),G$115,G$117,G$117),2)</f>
        <v>0</v>
      </c>
      <c r="R249" s="57">
        <f>ROUND(Dot_ex($D249,$E249,$F249,$G249,$H249,$I249,$L249+SUM($N249:Q249),H$115,H$117,H$117),2)</f>
        <v>0</v>
      </c>
      <c r="S249" s="57">
        <f>ROUND(Dot_ex($D249,$E249,$F249,$G249,$H249,$I249,$L249+SUM($N249:R249),I$115,I$117,I$117),2)</f>
        <v>0</v>
      </c>
      <c r="T249" s="57">
        <f>ROUND(Dot_ex($D249,$E249,$F249,$G249,$H249,$I249,$L249+SUM($N249:S249),J$115,J$117,J$117),2)</f>
        <v>0</v>
      </c>
      <c r="U249" s="57">
        <f>ROUND(Dot_ex($D249,$E249,$F249,$G249,$H249,$I249,$L249+SUM($N249:T249),K$115,K$117,K$117),2)</f>
        <v>0</v>
      </c>
      <c r="V249" s="57">
        <f>ROUND(Dot_ex($D249,$E249,$F249,$G249,$H249,$I249,$L249+SUM($N249:U249),L$115,L$117,L$117),2)</f>
        <v>0</v>
      </c>
      <c r="W249" s="57">
        <f>ROUND(Dot_ex($D249,$E249,$F249,$G249,$H249,$I249,$L249+SUM($N249:V249),M$115,M$117,M$117),2)</f>
        <v>0</v>
      </c>
    </row>
    <row r="250" spans="1:23" x14ac:dyDescent="0.2">
      <c r="A250" s="107">
        <f t="shared" ca="1" si="40"/>
        <v>44</v>
      </c>
      <c r="B250" s="1" t="s">
        <v>87</v>
      </c>
      <c r="C250" s="1"/>
      <c r="D250" s="77">
        <v>33038</v>
      </c>
      <c r="E250" s="77">
        <v>33038</v>
      </c>
      <c r="F250" s="77"/>
      <c r="G250" s="8">
        <v>1858.06</v>
      </c>
      <c r="H250" s="1" t="s">
        <v>8</v>
      </c>
      <c r="I250" s="78">
        <v>5</v>
      </c>
      <c r="J250" s="8">
        <v>1858.06</v>
      </c>
      <c r="K250" s="8">
        <f t="shared" si="41"/>
        <v>0</v>
      </c>
      <c r="L250" s="8">
        <f t="shared" si="42"/>
        <v>1858.06</v>
      </c>
      <c r="M250" s="57">
        <f t="shared" si="43"/>
        <v>0</v>
      </c>
      <c r="N250" s="41">
        <f t="shared" si="39"/>
        <v>0</v>
      </c>
      <c r="O250" s="41">
        <f>ROUND(Dot_ex($D250,$E250,$F250,$G250,$H250,$I250,$L250+SUM($N250:N250),E$115,E$117,E$117),2)</f>
        <v>0</v>
      </c>
      <c r="P250" s="41">
        <f>ROUND(Dot_ex($D250,$E250,$F250,$G250,$H250,$I250,$L250+SUM($N250:O250),F$115,F$117,F$117),2)</f>
        <v>0</v>
      </c>
      <c r="Q250" s="41">
        <f>ROUND(Dot_ex($D250,$E250,$F250,$G250,$H250,$I250,$L250+SUM($N250:P250),G$115,G$117,G$117),2)</f>
        <v>0</v>
      </c>
      <c r="R250" s="57">
        <f>ROUND(Dot_ex($D250,$E250,$F250,$G250,$H250,$I250,$L250+SUM($N250:Q250),H$115,H$117,H$117),2)</f>
        <v>0</v>
      </c>
      <c r="S250" s="57">
        <f>ROUND(Dot_ex($D250,$E250,$F250,$G250,$H250,$I250,$L250+SUM($N250:R250),I$115,I$117,I$117),2)</f>
        <v>0</v>
      </c>
      <c r="T250" s="57">
        <f>ROUND(Dot_ex($D250,$E250,$F250,$G250,$H250,$I250,$L250+SUM($N250:S250),J$115,J$117,J$117),2)</f>
        <v>0</v>
      </c>
      <c r="U250" s="57">
        <f>ROUND(Dot_ex($D250,$E250,$F250,$G250,$H250,$I250,$L250+SUM($N250:T250),K$115,K$117,K$117),2)</f>
        <v>0</v>
      </c>
      <c r="V250" s="57">
        <f>ROUND(Dot_ex($D250,$E250,$F250,$G250,$H250,$I250,$L250+SUM($N250:U250),L$115,L$117,L$117),2)</f>
        <v>0</v>
      </c>
      <c r="W250" s="57">
        <f>ROUND(Dot_ex($D250,$E250,$F250,$G250,$H250,$I250,$L250+SUM($N250:V250),M$115,M$117,M$117),2)</f>
        <v>0</v>
      </c>
    </row>
    <row r="251" spans="1:23" x14ac:dyDescent="0.2">
      <c r="A251" s="107">
        <f t="shared" ca="1" si="40"/>
        <v>45</v>
      </c>
      <c r="B251" s="1" t="s">
        <v>88</v>
      </c>
      <c r="C251" s="1"/>
      <c r="D251" s="77">
        <v>33042</v>
      </c>
      <c r="E251" s="77">
        <v>33042</v>
      </c>
      <c r="F251" s="77"/>
      <c r="G251" s="8">
        <v>527.47</v>
      </c>
      <c r="H251" s="1" t="s">
        <v>8</v>
      </c>
      <c r="I251" s="78">
        <v>5</v>
      </c>
      <c r="J251" s="8">
        <v>527.47</v>
      </c>
      <c r="K251" s="8">
        <f t="shared" si="41"/>
        <v>0</v>
      </c>
      <c r="L251" s="8">
        <f t="shared" si="42"/>
        <v>527.47</v>
      </c>
      <c r="M251" s="57">
        <f t="shared" si="43"/>
        <v>0</v>
      </c>
      <c r="N251" s="41">
        <f t="shared" si="39"/>
        <v>0</v>
      </c>
      <c r="O251" s="41">
        <f>ROUND(Dot_ex($D251,$E251,$F251,$G251,$H251,$I251,$L251+SUM($N251:N251),E$115,E$117,E$117),2)</f>
        <v>0</v>
      </c>
      <c r="P251" s="41">
        <f>ROUND(Dot_ex($D251,$E251,$F251,$G251,$H251,$I251,$L251+SUM($N251:O251),F$115,F$117,F$117),2)</f>
        <v>0</v>
      </c>
      <c r="Q251" s="41">
        <f>ROUND(Dot_ex($D251,$E251,$F251,$G251,$H251,$I251,$L251+SUM($N251:P251),G$115,G$117,G$117),2)</f>
        <v>0</v>
      </c>
      <c r="R251" s="57">
        <f>ROUND(Dot_ex($D251,$E251,$F251,$G251,$H251,$I251,$L251+SUM($N251:Q251),H$115,H$117,H$117),2)</f>
        <v>0</v>
      </c>
      <c r="S251" s="57">
        <f>ROUND(Dot_ex($D251,$E251,$F251,$G251,$H251,$I251,$L251+SUM($N251:R251),I$115,I$117,I$117),2)</f>
        <v>0</v>
      </c>
      <c r="T251" s="57">
        <f>ROUND(Dot_ex($D251,$E251,$F251,$G251,$H251,$I251,$L251+SUM($N251:S251),J$115,J$117,J$117),2)</f>
        <v>0</v>
      </c>
      <c r="U251" s="57">
        <f>ROUND(Dot_ex($D251,$E251,$F251,$G251,$H251,$I251,$L251+SUM($N251:T251),K$115,K$117,K$117),2)</f>
        <v>0</v>
      </c>
      <c r="V251" s="57">
        <f>ROUND(Dot_ex($D251,$E251,$F251,$G251,$H251,$I251,$L251+SUM($N251:U251),L$115,L$117,L$117),2)</f>
        <v>0</v>
      </c>
      <c r="W251" s="57">
        <f>ROUND(Dot_ex($D251,$E251,$F251,$G251,$H251,$I251,$L251+SUM($N251:V251),M$115,M$117,M$117),2)</f>
        <v>0</v>
      </c>
    </row>
    <row r="252" spans="1:23" x14ac:dyDescent="0.2">
      <c r="A252" s="107">
        <f t="shared" ca="1" si="40"/>
        <v>46</v>
      </c>
      <c r="B252" s="1" t="s">
        <v>89</v>
      </c>
      <c r="C252" s="1"/>
      <c r="D252" s="77">
        <v>33135</v>
      </c>
      <c r="E252" s="77">
        <v>33135</v>
      </c>
      <c r="F252" s="77"/>
      <c r="G252" s="8">
        <v>236.14</v>
      </c>
      <c r="H252" s="1" t="s">
        <v>8</v>
      </c>
      <c r="I252" s="78">
        <v>8</v>
      </c>
      <c r="J252" s="8">
        <v>236.14</v>
      </c>
      <c r="K252" s="8">
        <f t="shared" si="41"/>
        <v>0</v>
      </c>
      <c r="L252" s="8">
        <f t="shared" si="42"/>
        <v>236.14</v>
      </c>
      <c r="M252" s="57">
        <f t="shared" si="43"/>
        <v>0</v>
      </c>
      <c r="N252" s="41">
        <f t="shared" si="39"/>
        <v>0</v>
      </c>
      <c r="O252" s="41">
        <f>ROUND(Dot_ex($D252,$E252,$F252,$G252,$H252,$I252,$L252+SUM($N252:N252),E$115,E$117,E$117),2)</f>
        <v>0</v>
      </c>
      <c r="P252" s="41">
        <f>ROUND(Dot_ex($D252,$E252,$F252,$G252,$H252,$I252,$L252+SUM($N252:O252),F$115,F$117,F$117),2)</f>
        <v>0</v>
      </c>
      <c r="Q252" s="41">
        <f>ROUND(Dot_ex($D252,$E252,$F252,$G252,$H252,$I252,$L252+SUM($N252:P252),G$115,G$117,G$117),2)</f>
        <v>0</v>
      </c>
      <c r="R252" s="57">
        <f>ROUND(Dot_ex($D252,$E252,$F252,$G252,$H252,$I252,$L252+SUM($N252:Q252),H$115,H$117,H$117),2)</f>
        <v>0</v>
      </c>
      <c r="S252" s="57">
        <f>ROUND(Dot_ex($D252,$E252,$F252,$G252,$H252,$I252,$L252+SUM($N252:R252),I$115,I$117,I$117),2)</f>
        <v>0</v>
      </c>
      <c r="T252" s="57">
        <f>ROUND(Dot_ex($D252,$E252,$F252,$G252,$H252,$I252,$L252+SUM($N252:S252),J$115,J$117,J$117),2)</f>
        <v>0</v>
      </c>
      <c r="U252" s="57">
        <f>ROUND(Dot_ex($D252,$E252,$F252,$G252,$H252,$I252,$L252+SUM($N252:T252),K$115,K$117,K$117),2)</f>
        <v>0</v>
      </c>
      <c r="V252" s="57">
        <f>ROUND(Dot_ex($D252,$E252,$F252,$G252,$H252,$I252,$L252+SUM($N252:U252),L$115,L$117,L$117),2)</f>
        <v>0</v>
      </c>
      <c r="W252" s="57">
        <f>ROUND(Dot_ex($D252,$E252,$F252,$G252,$H252,$I252,$L252+SUM($N252:V252),M$115,M$117,M$117),2)</f>
        <v>0</v>
      </c>
    </row>
    <row r="253" spans="1:23" x14ac:dyDescent="0.2">
      <c r="A253" s="107">
        <f t="shared" ca="1" si="40"/>
        <v>47</v>
      </c>
      <c r="B253" s="1" t="s">
        <v>90</v>
      </c>
      <c r="C253" s="1"/>
      <c r="D253" s="77">
        <v>33158</v>
      </c>
      <c r="E253" s="77">
        <v>33158</v>
      </c>
      <c r="F253" s="77"/>
      <c r="G253" s="8">
        <v>352.31</v>
      </c>
      <c r="H253" s="1" t="s">
        <v>8</v>
      </c>
      <c r="I253" s="78">
        <v>5</v>
      </c>
      <c r="J253" s="8">
        <v>352.31</v>
      </c>
      <c r="K253" s="8">
        <f t="shared" si="41"/>
        <v>0</v>
      </c>
      <c r="L253" s="8">
        <f t="shared" si="42"/>
        <v>352.31</v>
      </c>
      <c r="M253" s="57">
        <f t="shared" si="43"/>
        <v>0</v>
      </c>
      <c r="N253" s="41">
        <f t="shared" si="39"/>
        <v>0</v>
      </c>
      <c r="O253" s="41">
        <f>ROUND(Dot_ex($D253,$E253,$F253,$G253,$H253,$I253,$L253+SUM($N253:N253),E$115,E$117,E$117),2)</f>
        <v>0</v>
      </c>
      <c r="P253" s="41">
        <f>ROUND(Dot_ex($D253,$E253,$F253,$G253,$H253,$I253,$L253+SUM($N253:O253),F$115,F$117,F$117),2)</f>
        <v>0</v>
      </c>
      <c r="Q253" s="41">
        <f>ROUND(Dot_ex($D253,$E253,$F253,$G253,$H253,$I253,$L253+SUM($N253:P253),G$115,G$117,G$117),2)</f>
        <v>0</v>
      </c>
      <c r="R253" s="57">
        <f>ROUND(Dot_ex($D253,$E253,$F253,$G253,$H253,$I253,$L253+SUM($N253:Q253),H$115,H$117,H$117),2)</f>
        <v>0</v>
      </c>
      <c r="S253" s="57">
        <f>ROUND(Dot_ex($D253,$E253,$F253,$G253,$H253,$I253,$L253+SUM($N253:R253),I$115,I$117,I$117),2)</f>
        <v>0</v>
      </c>
      <c r="T253" s="57">
        <f>ROUND(Dot_ex($D253,$E253,$F253,$G253,$H253,$I253,$L253+SUM($N253:S253),J$115,J$117,J$117),2)</f>
        <v>0</v>
      </c>
      <c r="U253" s="57">
        <f>ROUND(Dot_ex($D253,$E253,$F253,$G253,$H253,$I253,$L253+SUM($N253:T253),K$115,K$117,K$117),2)</f>
        <v>0</v>
      </c>
      <c r="V253" s="57">
        <f>ROUND(Dot_ex($D253,$E253,$F253,$G253,$H253,$I253,$L253+SUM($N253:U253),L$115,L$117,L$117),2)</f>
        <v>0</v>
      </c>
      <c r="W253" s="57">
        <f>ROUND(Dot_ex($D253,$E253,$F253,$G253,$H253,$I253,$L253+SUM($N253:V253),M$115,M$117,M$117),2)</f>
        <v>0</v>
      </c>
    </row>
    <row r="254" spans="1:23" x14ac:dyDescent="0.2">
      <c r="A254" s="107">
        <f t="shared" ca="1" si="40"/>
        <v>48</v>
      </c>
      <c r="B254" s="1" t="s">
        <v>91</v>
      </c>
      <c r="C254" s="1"/>
      <c r="D254" s="77">
        <v>33169</v>
      </c>
      <c r="E254" s="77">
        <v>33169</v>
      </c>
      <c r="F254" s="77"/>
      <c r="G254" s="8">
        <v>5259.49</v>
      </c>
      <c r="H254" s="1" t="s">
        <v>8</v>
      </c>
      <c r="I254" s="78">
        <v>5</v>
      </c>
      <c r="J254" s="8">
        <v>5259.49</v>
      </c>
      <c r="K254" s="8">
        <f t="shared" si="41"/>
        <v>0</v>
      </c>
      <c r="L254" s="8">
        <f t="shared" si="42"/>
        <v>5259.49</v>
      </c>
      <c r="M254" s="57">
        <f t="shared" si="43"/>
        <v>0</v>
      </c>
      <c r="N254" s="41">
        <f t="shared" si="39"/>
        <v>0</v>
      </c>
      <c r="O254" s="41">
        <f>ROUND(Dot_ex($D254,$E254,$F254,$G254,$H254,$I254,$L254+SUM($N254:N254),E$115,E$117,E$117),2)</f>
        <v>0</v>
      </c>
      <c r="P254" s="41">
        <f>ROUND(Dot_ex($D254,$E254,$F254,$G254,$H254,$I254,$L254+SUM($N254:O254),F$115,F$117,F$117),2)</f>
        <v>0</v>
      </c>
      <c r="Q254" s="41">
        <f>ROUND(Dot_ex($D254,$E254,$F254,$G254,$H254,$I254,$L254+SUM($N254:P254),G$115,G$117,G$117),2)</f>
        <v>0</v>
      </c>
      <c r="R254" s="57">
        <f>ROUND(Dot_ex($D254,$E254,$F254,$G254,$H254,$I254,$L254+SUM($N254:Q254),H$115,H$117,H$117),2)</f>
        <v>0</v>
      </c>
      <c r="S254" s="57">
        <f>ROUND(Dot_ex($D254,$E254,$F254,$G254,$H254,$I254,$L254+SUM($N254:R254),I$115,I$117,I$117),2)</f>
        <v>0</v>
      </c>
      <c r="T254" s="57">
        <f>ROUND(Dot_ex($D254,$E254,$F254,$G254,$H254,$I254,$L254+SUM($N254:S254),J$115,J$117,J$117),2)</f>
        <v>0</v>
      </c>
      <c r="U254" s="57">
        <f>ROUND(Dot_ex($D254,$E254,$F254,$G254,$H254,$I254,$L254+SUM($N254:T254),K$115,K$117,K$117),2)</f>
        <v>0</v>
      </c>
      <c r="V254" s="57">
        <f>ROUND(Dot_ex($D254,$E254,$F254,$G254,$H254,$I254,$L254+SUM($N254:U254),L$115,L$117,L$117),2)</f>
        <v>0</v>
      </c>
      <c r="W254" s="57">
        <f>ROUND(Dot_ex($D254,$E254,$F254,$G254,$H254,$I254,$L254+SUM($N254:V254),M$115,M$117,M$117),2)</f>
        <v>0</v>
      </c>
    </row>
    <row r="255" spans="1:23" x14ac:dyDescent="0.2">
      <c r="A255" s="107">
        <f t="shared" ca="1" si="40"/>
        <v>49</v>
      </c>
      <c r="B255" s="1" t="s">
        <v>92</v>
      </c>
      <c r="C255" s="1"/>
      <c r="D255" s="77">
        <v>33169</v>
      </c>
      <c r="E255" s="77">
        <v>33169</v>
      </c>
      <c r="F255" s="77"/>
      <c r="G255" s="8">
        <v>2576.39</v>
      </c>
      <c r="H255" s="1" t="s">
        <v>8</v>
      </c>
      <c r="I255" s="78">
        <v>5</v>
      </c>
      <c r="J255" s="8">
        <v>2576.39</v>
      </c>
      <c r="K255" s="8">
        <f t="shared" si="41"/>
        <v>0</v>
      </c>
      <c r="L255" s="8">
        <f t="shared" si="42"/>
        <v>2576.39</v>
      </c>
      <c r="M255" s="57">
        <f t="shared" si="43"/>
        <v>0</v>
      </c>
      <c r="N255" s="41">
        <f t="shared" si="39"/>
        <v>0</v>
      </c>
      <c r="O255" s="41">
        <f>ROUND(Dot_ex($D255,$E255,$F255,$G255,$H255,$I255,$L255+SUM($N255:N255),E$115,E$117,E$117),2)</f>
        <v>0</v>
      </c>
      <c r="P255" s="41">
        <f>ROUND(Dot_ex($D255,$E255,$F255,$G255,$H255,$I255,$L255+SUM($N255:O255),F$115,F$117,F$117),2)</f>
        <v>0</v>
      </c>
      <c r="Q255" s="41">
        <f>ROUND(Dot_ex($D255,$E255,$F255,$G255,$H255,$I255,$L255+SUM($N255:P255),G$115,G$117,G$117),2)</f>
        <v>0</v>
      </c>
      <c r="R255" s="57">
        <f>ROUND(Dot_ex($D255,$E255,$F255,$G255,$H255,$I255,$L255+SUM($N255:Q255),H$115,H$117,H$117),2)</f>
        <v>0</v>
      </c>
      <c r="S255" s="57">
        <f>ROUND(Dot_ex($D255,$E255,$F255,$G255,$H255,$I255,$L255+SUM($N255:R255),I$115,I$117,I$117),2)</f>
        <v>0</v>
      </c>
      <c r="T255" s="57">
        <f>ROUND(Dot_ex($D255,$E255,$F255,$G255,$H255,$I255,$L255+SUM($N255:S255),J$115,J$117,J$117),2)</f>
        <v>0</v>
      </c>
      <c r="U255" s="57">
        <f>ROUND(Dot_ex($D255,$E255,$F255,$G255,$H255,$I255,$L255+SUM($N255:T255),K$115,K$117,K$117),2)</f>
        <v>0</v>
      </c>
      <c r="V255" s="57">
        <f>ROUND(Dot_ex($D255,$E255,$F255,$G255,$H255,$I255,$L255+SUM($N255:U255),L$115,L$117,L$117),2)</f>
        <v>0</v>
      </c>
      <c r="W255" s="57">
        <f>ROUND(Dot_ex($D255,$E255,$F255,$G255,$H255,$I255,$L255+SUM($N255:V255),M$115,M$117,M$117),2)</f>
        <v>0</v>
      </c>
    </row>
    <row r="256" spans="1:23" x14ac:dyDescent="0.2">
      <c r="A256" s="107">
        <f t="shared" ca="1" si="40"/>
        <v>50</v>
      </c>
      <c r="B256" s="1" t="s">
        <v>93</v>
      </c>
      <c r="C256" s="1"/>
      <c r="D256" s="77">
        <v>33252</v>
      </c>
      <c r="E256" s="77">
        <v>33252</v>
      </c>
      <c r="F256" s="77"/>
      <c r="G256" s="8">
        <v>2526.23</v>
      </c>
      <c r="H256" s="1" t="s">
        <v>8</v>
      </c>
      <c r="I256" s="78">
        <v>5</v>
      </c>
      <c r="J256" s="8">
        <v>2526.23</v>
      </c>
      <c r="K256" s="8">
        <f t="shared" si="41"/>
        <v>0</v>
      </c>
      <c r="L256" s="8">
        <f t="shared" si="42"/>
        <v>2526.23</v>
      </c>
      <c r="M256" s="57">
        <f t="shared" si="43"/>
        <v>0</v>
      </c>
      <c r="N256" s="41">
        <f t="shared" si="39"/>
        <v>0</v>
      </c>
      <c r="O256" s="41">
        <f>ROUND(Dot_ex($D256,$E256,$F256,$G256,$H256,$I256,$L256+SUM($N256:N256),E$115,E$117,E$117),2)</f>
        <v>0</v>
      </c>
      <c r="P256" s="41">
        <f>ROUND(Dot_ex($D256,$E256,$F256,$G256,$H256,$I256,$L256+SUM($N256:O256),F$115,F$117,F$117),2)</f>
        <v>0</v>
      </c>
      <c r="Q256" s="41">
        <f>ROUND(Dot_ex($D256,$E256,$F256,$G256,$H256,$I256,$L256+SUM($N256:P256),G$115,G$117,G$117),2)</f>
        <v>0</v>
      </c>
      <c r="R256" s="57">
        <f>ROUND(Dot_ex($D256,$E256,$F256,$G256,$H256,$I256,$L256+SUM($N256:Q256),H$115,H$117,H$117),2)</f>
        <v>0</v>
      </c>
      <c r="S256" s="57">
        <f>ROUND(Dot_ex($D256,$E256,$F256,$G256,$H256,$I256,$L256+SUM($N256:R256),I$115,I$117,I$117),2)</f>
        <v>0</v>
      </c>
      <c r="T256" s="57">
        <f>ROUND(Dot_ex($D256,$E256,$F256,$G256,$H256,$I256,$L256+SUM($N256:S256),J$115,J$117,J$117),2)</f>
        <v>0</v>
      </c>
      <c r="U256" s="57">
        <f>ROUND(Dot_ex($D256,$E256,$F256,$G256,$H256,$I256,$L256+SUM($N256:T256),K$115,K$117,K$117),2)</f>
        <v>0</v>
      </c>
      <c r="V256" s="57">
        <f>ROUND(Dot_ex($D256,$E256,$F256,$G256,$H256,$I256,$L256+SUM($N256:U256),L$115,L$117,L$117),2)</f>
        <v>0</v>
      </c>
      <c r="W256" s="57">
        <f>ROUND(Dot_ex($D256,$E256,$F256,$G256,$H256,$I256,$L256+SUM($N256:V256),M$115,M$117,M$117),2)</f>
        <v>0</v>
      </c>
    </row>
    <row r="257" spans="1:23" x14ac:dyDescent="0.2">
      <c r="A257" s="107">
        <f t="shared" ca="1" si="40"/>
        <v>51</v>
      </c>
      <c r="B257" s="1" t="s">
        <v>94</v>
      </c>
      <c r="C257" s="1"/>
      <c r="D257" s="77">
        <v>33372</v>
      </c>
      <c r="E257" s="77">
        <v>33372</v>
      </c>
      <c r="F257" s="77"/>
      <c r="G257" s="8">
        <v>3475.84</v>
      </c>
      <c r="H257" s="1" t="s">
        <v>8</v>
      </c>
      <c r="I257" s="78">
        <v>5</v>
      </c>
      <c r="J257" s="8">
        <v>3475.84</v>
      </c>
      <c r="K257" s="8">
        <f t="shared" si="41"/>
        <v>0</v>
      </c>
      <c r="L257" s="8">
        <f t="shared" si="42"/>
        <v>3475.84</v>
      </c>
      <c r="M257" s="57">
        <f t="shared" si="43"/>
        <v>0</v>
      </c>
      <c r="N257" s="41">
        <f t="shared" si="39"/>
        <v>0</v>
      </c>
      <c r="O257" s="41">
        <f>ROUND(Dot_ex($D257,$E257,$F257,$G257,$H257,$I257,$L257+SUM($N257:N257),E$115,E$117,E$117),2)</f>
        <v>0</v>
      </c>
      <c r="P257" s="41">
        <f>ROUND(Dot_ex($D257,$E257,$F257,$G257,$H257,$I257,$L257+SUM($N257:O257),F$115,F$117,F$117),2)</f>
        <v>0</v>
      </c>
      <c r="Q257" s="41">
        <f>ROUND(Dot_ex($D257,$E257,$F257,$G257,$H257,$I257,$L257+SUM($N257:P257),G$115,G$117,G$117),2)</f>
        <v>0</v>
      </c>
      <c r="R257" s="57">
        <f>ROUND(Dot_ex($D257,$E257,$F257,$G257,$H257,$I257,$L257+SUM($N257:Q257),H$115,H$117,H$117),2)</f>
        <v>0</v>
      </c>
      <c r="S257" s="57">
        <f>ROUND(Dot_ex($D257,$E257,$F257,$G257,$H257,$I257,$L257+SUM($N257:R257),I$115,I$117,I$117),2)</f>
        <v>0</v>
      </c>
      <c r="T257" s="57">
        <f>ROUND(Dot_ex($D257,$E257,$F257,$G257,$H257,$I257,$L257+SUM($N257:S257),J$115,J$117,J$117),2)</f>
        <v>0</v>
      </c>
      <c r="U257" s="57">
        <f>ROUND(Dot_ex($D257,$E257,$F257,$G257,$H257,$I257,$L257+SUM($N257:T257),K$115,K$117,K$117),2)</f>
        <v>0</v>
      </c>
      <c r="V257" s="57">
        <f>ROUND(Dot_ex($D257,$E257,$F257,$G257,$H257,$I257,$L257+SUM($N257:U257),L$115,L$117,L$117),2)</f>
        <v>0</v>
      </c>
      <c r="W257" s="57">
        <f>ROUND(Dot_ex($D257,$E257,$F257,$G257,$H257,$I257,$L257+SUM($N257:V257),M$115,M$117,M$117),2)</f>
        <v>0</v>
      </c>
    </row>
    <row r="258" spans="1:23" x14ac:dyDescent="0.2">
      <c r="A258" s="107">
        <f t="shared" ca="1" si="40"/>
        <v>52</v>
      </c>
      <c r="B258" s="1" t="s">
        <v>95</v>
      </c>
      <c r="C258" s="1"/>
      <c r="D258" s="77">
        <v>33417</v>
      </c>
      <c r="E258" s="77">
        <v>33417</v>
      </c>
      <c r="F258" s="77"/>
      <c r="G258" s="8">
        <v>2256.25</v>
      </c>
      <c r="H258" s="1" t="s">
        <v>8</v>
      </c>
      <c r="I258" s="78">
        <v>5</v>
      </c>
      <c r="J258" s="8">
        <v>2256.25</v>
      </c>
      <c r="K258" s="8">
        <f t="shared" si="41"/>
        <v>0</v>
      </c>
      <c r="L258" s="8">
        <f t="shared" si="42"/>
        <v>2256.25</v>
      </c>
      <c r="M258" s="57">
        <f t="shared" si="43"/>
        <v>0</v>
      </c>
      <c r="N258" s="41">
        <f t="shared" si="39"/>
        <v>0</v>
      </c>
      <c r="O258" s="41">
        <f>ROUND(Dot_ex($D258,$E258,$F258,$G258,$H258,$I258,$L258+SUM($N258:N258),E$115,E$117,E$117),2)</f>
        <v>0</v>
      </c>
      <c r="P258" s="41">
        <f>ROUND(Dot_ex($D258,$E258,$F258,$G258,$H258,$I258,$L258+SUM($N258:O258),F$115,F$117,F$117),2)</f>
        <v>0</v>
      </c>
      <c r="Q258" s="41">
        <f>ROUND(Dot_ex($D258,$E258,$F258,$G258,$H258,$I258,$L258+SUM($N258:P258),G$115,G$117,G$117),2)</f>
        <v>0</v>
      </c>
      <c r="R258" s="57">
        <f>ROUND(Dot_ex($D258,$E258,$F258,$G258,$H258,$I258,$L258+SUM($N258:Q258),H$115,H$117,H$117),2)</f>
        <v>0</v>
      </c>
      <c r="S258" s="57">
        <f>ROUND(Dot_ex($D258,$E258,$F258,$G258,$H258,$I258,$L258+SUM($N258:R258),I$115,I$117,I$117),2)</f>
        <v>0</v>
      </c>
      <c r="T258" s="57">
        <f>ROUND(Dot_ex($D258,$E258,$F258,$G258,$H258,$I258,$L258+SUM($N258:S258),J$115,J$117,J$117),2)</f>
        <v>0</v>
      </c>
      <c r="U258" s="57">
        <f>ROUND(Dot_ex($D258,$E258,$F258,$G258,$H258,$I258,$L258+SUM($N258:T258),K$115,K$117,K$117),2)</f>
        <v>0</v>
      </c>
      <c r="V258" s="57">
        <f>ROUND(Dot_ex($D258,$E258,$F258,$G258,$H258,$I258,$L258+SUM($N258:U258),L$115,L$117,L$117),2)</f>
        <v>0</v>
      </c>
      <c r="W258" s="57">
        <f>ROUND(Dot_ex($D258,$E258,$F258,$G258,$H258,$I258,$L258+SUM($N258:V258),M$115,M$117,M$117),2)</f>
        <v>0</v>
      </c>
    </row>
    <row r="259" spans="1:23" x14ac:dyDescent="0.2">
      <c r="A259" s="107">
        <f t="shared" ca="1" si="40"/>
        <v>53</v>
      </c>
      <c r="B259" s="1" t="s">
        <v>96</v>
      </c>
      <c r="C259" s="1"/>
      <c r="D259" s="77">
        <v>33427</v>
      </c>
      <c r="E259" s="77">
        <v>33427</v>
      </c>
      <c r="F259" s="77"/>
      <c r="G259" s="8">
        <v>328.99</v>
      </c>
      <c r="H259" s="1" t="s">
        <v>8</v>
      </c>
      <c r="I259" s="78">
        <v>5</v>
      </c>
      <c r="J259" s="8">
        <v>328.99</v>
      </c>
      <c r="K259" s="8">
        <f t="shared" si="41"/>
        <v>0</v>
      </c>
      <c r="L259" s="8">
        <f t="shared" si="42"/>
        <v>328.99</v>
      </c>
      <c r="M259" s="57">
        <f t="shared" si="43"/>
        <v>0</v>
      </c>
      <c r="N259" s="41">
        <f t="shared" si="39"/>
        <v>0</v>
      </c>
      <c r="O259" s="41">
        <f>ROUND(Dot_ex($D259,$E259,$F259,$G259,$H259,$I259,$L259+SUM($N259:N259),E$115,E$117,E$117),2)</f>
        <v>0</v>
      </c>
      <c r="P259" s="41">
        <f>ROUND(Dot_ex($D259,$E259,$F259,$G259,$H259,$I259,$L259+SUM($N259:O259),F$115,F$117,F$117),2)</f>
        <v>0</v>
      </c>
      <c r="Q259" s="41">
        <f>ROUND(Dot_ex($D259,$E259,$F259,$G259,$H259,$I259,$L259+SUM($N259:P259),G$115,G$117,G$117),2)</f>
        <v>0</v>
      </c>
      <c r="R259" s="57">
        <f>ROUND(Dot_ex($D259,$E259,$F259,$G259,$H259,$I259,$L259+SUM($N259:Q259),H$115,H$117,H$117),2)</f>
        <v>0</v>
      </c>
      <c r="S259" s="57">
        <f>ROUND(Dot_ex($D259,$E259,$F259,$G259,$H259,$I259,$L259+SUM($N259:R259),I$115,I$117,I$117),2)</f>
        <v>0</v>
      </c>
      <c r="T259" s="57">
        <f>ROUND(Dot_ex($D259,$E259,$F259,$G259,$H259,$I259,$L259+SUM($N259:S259),J$115,J$117,J$117),2)</f>
        <v>0</v>
      </c>
      <c r="U259" s="57">
        <f>ROUND(Dot_ex($D259,$E259,$F259,$G259,$H259,$I259,$L259+SUM($N259:T259),K$115,K$117,K$117),2)</f>
        <v>0</v>
      </c>
      <c r="V259" s="57">
        <f>ROUND(Dot_ex($D259,$E259,$F259,$G259,$H259,$I259,$L259+SUM($N259:U259),L$115,L$117,L$117),2)</f>
        <v>0</v>
      </c>
      <c r="W259" s="57">
        <f>ROUND(Dot_ex($D259,$E259,$F259,$G259,$H259,$I259,$L259+SUM($N259:V259),M$115,M$117,M$117),2)</f>
        <v>0</v>
      </c>
    </row>
    <row r="260" spans="1:23" x14ac:dyDescent="0.2">
      <c r="A260" s="107">
        <f t="shared" ca="1" si="40"/>
        <v>54</v>
      </c>
      <c r="B260" s="1" t="s">
        <v>97</v>
      </c>
      <c r="C260" s="1"/>
      <c r="D260" s="77">
        <v>34087</v>
      </c>
      <c r="E260" s="77">
        <v>34087</v>
      </c>
      <c r="F260" s="77"/>
      <c r="G260" s="8">
        <v>9636.01</v>
      </c>
      <c r="H260" s="1" t="s">
        <v>8</v>
      </c>
      <c r="I260" s="78">
        <v>5</v>
      </c>
      <c r="J260" s="8">
        <v>9636.01</v>
      </c>
      <c r="K260" s="8">
        <f t="shared" si="41"/>
        <v>0</v>
      </c>
      <c r="L260" s="8">
        <f t="shared" si="42"/>
        <v>9636.01</v>
      </c>
      <c r="M260" s="57">
        <f t="shared" si="43"/>
        <v>0</v>
      </c>
      <c r="N260" s="41">
        <f t="shared" si="39"/>
        <v>0</v>
      </c>
      <c r="O260" s="41">
        <f>ROUND(Dot_ex($D260,$E260,$F260,$G260,$H260,$I260,$L260+SUM($N260:N260),E$115,E$117,E$117),2)</f>
        <v>0</v>
      </c>
      <c r="P260" s="41">
        <f>ROUND(Dot_ex($D260,$E260,$F260,$G260,$H260,$I260,$L260+SUM($N260:O260),F$115,F$117,F$117),2)</f>
        <v>0</v>
      </c>
      <c r="Q260" s="41">
        <f>ROUND(Dot_ex($D260,$E260,$F260,$G260,$H260,$I260,$L260+SUM($N260:P260),G$115,G$117,G$117),2)</f>
        <v>0</v>
      </c>
      <c r="R260" s="57">
        <f>ROUND(Dot_ex($D260,$E260,$F260,$G260,$H260,$I260,$L260+SUM($N260:Q260),H$115,H$117,H$117),2)</f>
        <v>0</v>
      </c>
      <c r="S260" s="57">
        <f>ROUND(Dot_ex($D260,$E260,$F260,$G260,$H260,$I260,$L260+SUM($N260:R260),I$115,I$117,I$117),2)</f>
        <v>0</v>
      </c>
      <c r="T260" s="57">
        <f>ROUND(Dot_ex($D260,$E260,$F260,$G260,$H260,$I260,$L260+SUM($N260:S260),J$115,J$117,J$117),2)</f>
        <v>0</v>
      </c>
      <c r="U260" s="57">
        <f>ROUND(Dot_ex($D260,$E260,$F260,$G260,$H260,$I260,$L260+SUM($N260:T260),K$115,K$117,K$117),2)</f>
        <v>0</v>
      </c>
      <c r="V260" s="57">
        <f>ROUND(Dot_ex($D260,$E260,$F260,$G260,$H260,$I260,$L260+SUM($N260:U260),L$115,L$117,L$117),2)</f>
        <v>0</v>
      </c>
      <c r="W260" s="57">
        <f>ROUND(Dot_ex($D260,$E260,$F260,$G260,$H260,$I260,$L260+SUM($N260:V260),M$115,M$117,M$117),2)</f>
        <v>0</v>
      </c>
    </row>
    <row r="261" spans="1:23" x14ac:dyDescent="0.2">
      <c r="A261" s="107">
        <f t="shared" ca="1" si="40"/>
        <v>55</v>
      </c>
      <c r="B261" s="1" t="s">
        <v>98</v>
      </c>
      <c r="C261" s="1"/>
      <c r="D261" s="77">
        <v>34382</v>
      </c>
      <c r="E261" s="77">
        <v>34382</v>
      </c>
      <c r="F261" s="77"/>
      <c r="G261" s="8">
        <v>3414.86</v>
      </c>
      <c r="H261" s="1" t="s">
        <v>8</v>
      </c>
      <c r="I261" s="78">
        <v>5</v>
      </c>
      <c r="J261" s="8">
        <v>3414.86</v>
      </c>
      <c r="K261" s="8">
        <f t="shared" si="41"/>
        <v>0</v>
      </c>
      <c r="L261" s="8">
        <f t="shared" si="42"/>
        <v>3414.86</v>
      </c>
      <c r="M261" s="57">
        <f t="shared" si="43"/>
        <v>0</v>
      </c>
      <c r="N261" s="41">
        <f t="shared" si="39"/>
        <v>0</v>
      </c>
      <c r="O261" s="41">
        <f>ROUND(Dot_ex($D261,$E261,$F261,$G261,$H261,$I261,$L261+SUM($N261:N261),E$115,E$117,E$117),2)</f>
        <v>0</v>
      </c>
      <c r="P261" s="41">
        <f>ROUND(Dot_ex($D261,$E261,$F261,$G261,$H261,$I261,$L261+SUM($N261:O261),F$115,F$117,F$117),2)</f>
        <v>0</v>
      </c>
      <c r="Q261" s="41">
        <f>ROUND(Dot_ex($D261,$E261,$F261,$G261,$H261,$I261,$L261+SUM($N261:P261),G$115,G$117,G$117),2)</f>
        <v>0</v>
      </c>
      <c r="R261" s="57">
        <f>ROUND(Dot_ex($D261,$E261,$F261,$G261,$H261,$I261,$L261+SUM($N261:Q261),H$115,H$117,H$117),2)</f>
        <v>0</v>
      </c>
      <c r="S261" s="57">
        <f>ROUND(Dot_ex($D261,$E261,$F261,$G261,$H261,$I261,$L261+SUM($N261:R261),I$115,I$117,I$117),2)</f>
        <v>0</v>
      </c>
      <c r="T261" s="57">
        <f>ROUND(Dot_ex($D261,$E261,$F261,$G261,$H261,$I261,$L261+SUM($N261:S261),J$115,J$117,J$117),2)</f>
        <v>0</v>
      </c>
      <c r="U261" s="57">
        <f>ROUND(Dot_ex($D261,$E261,$F261,$G261,$H261,$I261,$L261+SUM($N261:T261),K$115,K$117,K$117),2)</f>
        <v>0</v>
      </c>
      <c r="V261" s="57">
        <f>ROUND(Dot_ex($D261,$E261,$F261,$G261,$H261,$I261,$L261+SUM($N261:U261),L$115,L$117,L$117),2)</f>
        <v>0</v>
      </c>
      <c r="W261" s="57">
        <f>ROUND(Dot_ex($D261,$E261,$F261,$G261,$H261,$I261,$L261+SUM($N261:V261),M$115,M$117,M$117),2)</f>
        <v>0</v>
      </c>
    </row>
    <row r="262" spans="1:23" x14ac:dyDescent="0.2">
      <c r="A262" s="107">
        <f t="shared" ca="1" si="40"/>
        <v>56</v>
      </c>
      <c r="B262" s="1" t="s">
        <v>99</v>
      </c>
      <c r="C262" s="1"/>
      <c r="D262" s="77">
        <v>34890</v>
      </c>
      <c r="E262" s="77">
        <v>34890</v>
      </c>
      <c r="F262" s="77"/>
      <c r="G262" s="8">
        <v>2439.1799999999998</v>
      </c>
      <c r="H262" s="1" t="s">
        <v>8</v>
      </c>
      <c r="I262" s="78">
        <v>5</v>
      </c>
      <c r="J262" s="8">
        <v>2439.1799999999998</v>
      </c>
      <c r="K262" s="8">
        <f t="shared" si="41"/>
        <v>0</v>
      </c>
      <c r="L262" s="8">
        <f t="shared" si="42"/>
        <v>2439.1799999999998</v>
      </c>
      <c r="M262" s="57">
        <f t="shared" si="43"/>
        <v>0</v>
      </c>
      <c r="N262" s="41">
        <f t="shared" si="39"/>
        <v>0</v>
      </c>
      <c r="O262" s="41">
        <f>ROUND(Dot_ex($D262,$E262,$F262,$G262,$H262,$I262,$L262+SUM($N262:N262),E$115,E$117,E$117),2)</f>
        <v>0</v>
      </c>
      <c r="P262" s="41">
        <f>ROUND(Dot_ex($D262,$E262,$F262,$G262,$H262,$I262,$L262+SUM($N262:O262),F$115,F$117,F$117),2)</f>
        <v>0</v>
      </c>
      <c r="Q262" s="41">
        <f>ROUND(Dot_ex($D262,$E262,$F262,$G262,$H262,$I262,$L262+SUM($N262:P262),G$115,G$117,G$117),2)</f>
        <v>0</v>
      </c>
      <c r="R262" s="57">
        <f>ROUND(Dot_ex($D262,$E262,$F262,$G262,$H262,$I262,$L262+SUM($N262:Q262),H$115,H$117,H$117),2)</f>
        <v>0</v>
      </c>
      <c r="S262" s="57">
        <f>ROUND(Dot_ex($D262,$E262,$F262,$G262,$H262,$I262,$L262+SUM($N262:R262),I$115,I$117,I$117),2)</f>
        <v>0</v>
      </c>
      <c r="T262" s="57">
        <f>ROUND(Dot_ex($D262,$E262,$F262,$G262,$H262,$I262,$L262+SUM($N262:S262),J$115,J$117,J$117),2)</f>
        <v>0</v>
      </c>
      <c r="U262" s="57">
        <f>ROUND(Dot_ex($D262,$E262,$F262,$G262,$H262,$I262,$L262+SUM($N262:T262),K$115,K$117,K$117),2)</f>
        <v>0</v>
      </c>
      <c r="V262" s="57">
        <f>ROUND(Dot_ex($D262,$E262,$F262,$G262,$H262,$I262,$L262+SUM($N262:U262),L$115,L$117,L$117),2)</f>
        <v>0</v>
      </c>
      <c r="W262" s="57">
        <f>ROUND(Dot_ex($D262,$E262,$F262,$G262,$H262,$I262,$L262+SUM($N262:V262),M$115,M$117,M$117),2)</f>
        <v>0</v>
      </c>
    </row>
    <row r="263" spans="1:23" x14ac:dyDescent="0.2">
      <c r="A263" s="107">
        <f t="shared" ca="1" si="40"/>
        <v>57</v>
      </c>
      <c r="B263" s="1" t="s">
        <v>100</v>
      </c>
      <c r="C263" s="1"/>
      <c r="D263" s="77">
        <v>35313</v>
      </c>
      <c r="E263" s="77">
        <v>35313</v>
      </c>
      <c r="F263" s="77"/>
      <c r="G263" s="8">
        <v>2683.1</v>
      </c>
      <c r="H263" s="1" t="s">
        <v>8</v>
      </c>
      <c r="I263" s="78">
        <v>5</v>
      </c>
      <c r="J263" s="8">
        <v>2683.1</v>
      </c>
      <c r="K263" s="8">
        <f t="shared" si="41"/>
        <v>0</v>
      </c>
      <c r="L263" s="8">
        <f t="shared" si="42"/>
        <v>2683.1</v>
      </c>
      <c r="M263" s="57">
        <f t="shared" si="43"/>
        <v>0</v>
      </c>
      <c r="N263" s="41">
        <f t="shared" si="39"/>
        <v>0</v>
      </c>
      <c r="O263" s="41">
        <f>ROUND(Dot_ex($D263,$E263,$F263,$G263,$H263,$I263,$L263+SUM($N263:N263),E$115,E$117,E$117),2)</f>
        <v>0</v>
      </c>
      <c r="P263" s="41">
        <f>ROUND(Dot_ex($D263,$E263,$F263,$G263,$H263,$I263,$L263+SUM($N263:O263),F$115,F$117,F$117),2)</f>
        <v>0</v>
      </c>
      <c r="Q263" s="41">
        <f>ROUND(Dot_ex($D263,$E263,$F263,$G263,$H263,$I263,$L263+SUM($N263:P263),G$115,G$117,G$117),2)</f>
        <v>0</v>
      </c>
      <c r="R263" s="57">
        <f>ROUND(Dot_ex($D263,$E263,$F263,$G263,$H263,$I263,$L263+SUM($N263:Q263),H$115,H$117,H$117),2)</f>
        <v>0</v>
      </c>
      <c r="S263" s="57">
        <f>ROUND(Dot_ex($D263,$E263,$F263,$G263,$H263,$I263,$L263+SUM($N263:R263),I$115,I$117,I$117),2)</f>
        <v>0</v>
      </c>
      <c r="T263" s="57">
        <f>ROUND(Dot_ex($D263,$E263,$F263,$G263,$H263,$I263,$L263+SUM($N263:S263),J$115,J$117,J$117),2)</f>
        <v>0</v>
      </c>
      <c r="U263" s="57">
        <f>ROUND(Dot_ex($D263,$E263,$F263,$G263,$H263,$I263,$L263+SUM($N263:T263),K$115,K$117,K$117),2)</f>
        <v>0</v>
      </c>
      <c r="V263" s="57">
        <f>ROUND(Dot_ex($D263,$E263,$F263,$G263,$H263,$I263,$L263+SUM($N263:U263),L$115,L$117,L$117),2)</f>
        <v>0</v>
      </c>
      <c r="W263" s="57">
        <f>ROUND(Dot_ex($D263,$E263,$F263,$G263,$H263,$I263,$L263+SUM($N263:V263),M$115,M$117,M$117),2)</f>
        <v>0</v>
      </c>
    </row>
    <row r="264" spans="1:23" x14ac:dyDescent="0.2">
      <c r="A264" s="107">
        <f t="shared" ca="1" si="40"/>
        <v>58</v>
      </c>
      <c r="B264" s="1" t="s">
        <v>101</v>
      </c>
      <c r="C264" s="1"/>
      <c r="D264" s="77">
        <v>35643</v>
      </c>
      <c r="E264" s="77">
        <v>35643</v>
      </c>
      <c r="F264" s="77"/>
      <c r="G264" s="8">
        <v>7403.11</v>
      </c>
      <c r="H264" s="1" t="s">
        <v>8</v>
      </c>
      <c r="I264" s="78">
        <v>5</v>
      </c>
      <c r="J264" s="8">
        <v>7403.11</v>
      </c>
      <c r="K264" s="8">
        <f t="shared" si="41"/>
        <v>0</v>
      </c>
      <c r="L264" s="8">
        <f t="shared" si="42"/>
        <v>7403.11</v>
      </c>
      <c r="M264" s="57">
        <f t="shared" si="43"/>
        <v>0</v>
      </c>
      <c r="N264" s="41">
        <f t="shared" si="39"/>
        <v>0</v>
      </c>
      <c r="O264" s="41">
        <f>ROUND(Dot_ex($D264,$E264,$F264,$G264,$H264,$I264,$L264+SUM($N264:N264),E$115,E$117,E$117),2)</f>
        <v>0</v>
      </c>
      <c r="P264" s="41">
        <f>ROUND(Dot_ex($D264,$E264,$F264,$G264,$H264,$I264,$L264+SUM($N264:O264),F$115,F$117,F$117),2)</f>
        <v>0</v>
      </c>
      <c r="Q264" s="41">
        <f>ROUND(Dot_ex($D264,$E264,$F264,$G264,$H264,$I264,$L264+SUM($N264:P264),G$115,G$117,G$117),2)</f>
        <v>0</v>
      </c>
      <c r="R264" s="57">
        <f>ROUND(Dot_ex($D264,$E264,$F264,$G264,$H264,$I264,$L264+SUM($N264:Q264),H$115,H$117,H$117),2)</f>
        <v>0</v>
      </c>
      <c r="S264" s="57">
        <f>ROUND(Dot_ex($D264,$E264,$F264,$G264,$H264,$I264,$L264+SUM($N264:R264),I$115,I$117,I$117),2)</f>
        <v>0</v>
      </c>
      <c r="T264" s="57">
        <f>ROUND(Dot_ex($D264,$E264,$F264,$G264,$H264,$I264,$L264+SUM($N264:S264),J$115,J$117,J$117),2)</f>
        <v>0</v>
      </c>
      <c r="U264" s="57">
        <f>ROUND(Dot_ex($D264,$E264,$F264,$G264,$H264,$I264,$L264+SUM($N264:T264),K$115,K$117,K$117),2)</f>
        <v>0</v>
      </c>
      <c r="V264" s="57">
        <f>ROUND(Dot_ex($D264,$E264,$F264,$G264,$H264,$I264,$L264+SUM($N264:U264),L$115,L$117,L$117),2)</f>
        <v>0</v>
      </c>
      <c r="W264" s="57">
        <f>ROUND(Dot_ex($D264,$E264,$F264,$G264,$H264,$I264,$L264+SUM($N264:V264),M$115,M$117,M$117),2)</f>
        <v>0</v>
      </c>
    </row>
    <row r="265" spans="1:23" x14ac:dyDescent="0.2">
      <c r="A265" s="107">
        <f t="shared" ca="1" si="40"/>
        <v>59</v>
      </c>
      <c r="B265" s="1" t="s">
        <v>102</v>
      </c>
      <c r="C265" s="1"/>
      <c r="D265" s="77">
        <v>35643</v>
      </c>
      <c r="E265" s="77">
        <v>35643</v>
      </c>
      <c r="F265" s="77"/>
      <c r="G265" s="8">
        <v>12849.88</v>
      </c>
      <c r="H265" s="1" t="s">
        <v>8</v>
      </c>
      <c r="I265" s="78">
        <v>5</v>
      </c>
      <c r="J265" s="8">
        <v>12849.88</v>
      </c>
      <c r="K265" s="8">
        <f t="shared" si="41"/>
        <v>0</v>
      </c>
      <c r="L265" s="8">
        <f t="shared" si="42"/>
        <v>12849.88</v>
      </c>
      <c r="M265" s="57">
        <f t="shared" si="43"/>
        <v>0</v>
      </c>
      <c r="N265" s="41">
        <f t="shared" si="39"/>
        <v>0</v>
      </c>
      <c r="O265" s="41">
        <f>ROUND(Dot_ex($D265,$E265,$F265,$G265,$H265,$I265,$L265+SUM($N265:N265),E$115,E$117,E$117),2)</f>
        <v>0</v>
      </c>
      <c r="P265" s="41">
        <f>ROUND(Dot_ex($D265,$E265,$F265,$G265,$H265,$I265,$L265+SUM($N265:O265),F$115,F$117,F$117),2)</f>
        <v>0</v>
      </c>
      <c r="Q265" s="41">
        <f>ROUND(Dot_ex($D265,$E265,$F265,$G265,$H265,$I265,$L265+SUM($N265:P265),G$115,G$117,G$117),2)</f>
        <v>0</v>
      </c>
      <c r="R265" s="57">
        <f>ROUND(Dot_ex($D265,$E265,$F265,$G265,$H265,$I265,$L265+SUM($N265:Q265),H$115,H$117,H$117),2)</f>
        <v>0</v>
      </c>
      <c r="S265" s="57">
        <f>ROUND(Dot_ex($D265,$E265,$F265,$G265,$H265,$I265,$L265+SUM($N265:R265),I$115,I$117,I$117),2)</f>
        <v>0</v>
      </c>
      <c r="T265" s="57">
        <f>ROUND(Dot_ex($D265,$E265,$F265,$G265,$H265,$I265,$L265+SUM($N265:S265),J$115,J$117,J$117),2)</f>
        <v>0</v>
      </c>
      <c r="U265" s="57">
        <f>ROUND(Dot_ex($D265,$E265,$F265,$G265,$H265,$I265,$L265+SUM($N265:T265),K$115,K$117,K$117),2)</f>
        <v>0</v>
      </c>
      <c r="V265" s="57">
        <f>ROUND(Dot_ex($D265,$E265,$F265,$G265,$H265,$I265,$L265+SUM($N265:U265),L$115,L$117,L$117),2)</f>
        <v>0</v>
      </c>
      <c r="W265" s="57">
        <f>ROUND(Dot_ex($D265,$E265,$F265,$G265,$H265,$I265,$L265+SUM($N265:V265),M$115,M$117,M$117),2)</f>
        <v>0</v>
      </c>
    </row>
    <row r="266" spans="1:23" x14ac:dyDescent="0.2">
      <c r="A266" s="107">
        <f t="shared" ca="1" si="40"/>
        <v>60</v>
      </c>
      <c r="B266" s="1" t="s">
        <v>103</v>
      </c>
      <c r="C266" s="1"/>
      <c r="D266" s="77">
        <v>35643</v>
      </c>
      <c r="E266" s="77">
        <v>35643</v>
      </c>
      <c r="F266" s="77"/>
      <c r="G266" s="8">
        <v>1202.31</v>
      </c>
      <c r="H266" s="1" t="s">
        <v>8</v>
      </c>
      <c r="I266" s="78">
        <v>5</v>
      </c>
      <c r="J266" s="8">
        <v>1202.31</v>
      </c>
      <c r="K266" s="8">
        <f t="shared" si="41"/>
        <v>0</v>
      </c>
      <c r="L266" s="8">
        <f t="shared" si="42"/>
        <v>1202.31</v>
      </c>
      <c r="M266" s="57">
        <f t="shared" si="43"/>
        <v>0</v>
      </c>
      <c r="N266" s="41">
        <f t="shared" si="39"/>
        <v>0</v>
      </c>
      <c r="O266" s="41">
        <f>ROUND(Dot_ex($D266,$E266,$F266,$G266,$H266,$I266,$L266+SUM($N266:N266),E$115,E$117,E$117),2)</f>
        <v>0</v>
      </c>
      <c r="P266" s="41">
        <f>ROUND(Dot_ex($D266,$E266,$F266,$G266,$H266,$I266,$L266+SUM($N266:O266),F$115,F$117,F$117),2)</f>
        <v>0</v>
      </c>
      <c r="Q266" s="41">
        <f>ROUND(Dot_ex($D266,$E266,$F266,$G266,$H266,$I266,$L266+SUM($N266:P266),G$115,G$117,G$117),2)</f>
        <v>0</v>
      </c>
      <c r="R266" s="57">
        <f>ROUND(Dot_ex($D266,$E266,$F266,$G266,$H266,$I266,$L266+SUM($N266:Q266),H$115,H$117,H$117),2)</f>
        <v>0</v>
      </c>
      <c r="S266" s="57">
        <f>ROUND(Dot_ex($D266,$E266,$F266,$G266,$H266,$I266,$L266+SUM($N266:R266),I$115,I$117,I$117),2)</f>
        <v>0</v>
      </c>
      <c r="T266" s="57">
        <f>ROUND(Dot_ex($D266,$E266,$F266,$G266,$H266,$I266,$L266+SUM($N266:S266),J$115,J$117,J$117),2)</f>
        <v>0</v>
      </c>
      <c r="U266" s="57">
        <f>ROUND(Dot_ex($D266,$E266,$F266,$G266,$H266,$I266,$L266+SUM($N266:T266),K$115,K$117,K$117),2)</f>
        <v>0</v>
      </c>
      <c r="V266" s="57">
        <f>ROUND(Dot_ex($D266,$E266,$F266,$G266,$H266,$I266,$L266+SUM($N266:U266),L$115,L$117,L$117),2)</f>
        <v>0</v>
      </c>
      <c r="W266" s="57">
        <f>ROUND(Dot_ex($D266,$E266,$F266,$G266,$H266,$I266,$L266+SUM($N266:V266),M$115,M$117,M$117),2)</f>
        <v>0</v>
      </c>
    </row>
    <row r="267" spans="1:23" x14ac:dyDescent="0.2">
      <c r="A267" s="107">
        <f t="shared" ca="1" si="40"/>
        <v>61</v>
      </c>
      <c r="B267" s="1" t="s">
        <v>104</v>
      </c>
      <c r="C267" s="1"/>
      <c r="D267" s="77">
        <v>35688</v>
      </c>
      <c r="E267" s="77">
        <v>35688</v>
      </c>
      <c r="F267" s="77"/>
      <c r="G267" s="8">
        <v>609.79999999999995</v>
      </c>
      <c r="H267" s="1" t="s">
        <v>8</v>
      </c>
      <c r="I267" s="78">
        <v>5</v>
      </c>
      <c r="J267" s="8">
        <v>609.79999999999995</v>
      </c>
      <c r="K267" s="8">
        <f t="shared" si="41"/>
        <v>0</v>
      </c>
      <c r="L267" s="8">
        <f t="shared" si="42"/>
        <v>609.79999999999995</v>
      </c>
      <c r="M267" s="57">
        <f t="shared" si="43"/>
        <v>0</v>
      </c>
      <c r="N267" s="41">
        <f t="shared" si="39"/>
        <v>0</v>
      </c>
      <c r="O267" s="41">
        <f>ROUND(Dot_ex($D267,$E267,$F267,$G267,$H267,$I267,$L267+SUM($N267:N267),E$115,E$117,E$117),2)</f>
        <v>0</v>
      </c>
      <c r="P267" s="41">
        <f>ROUND(Dot_ex($D267,$E267,$F267,$G267,$H267,$I267,$L267+SUM($N267:O267),F$115,F$117,F$117),2)</f>
        <v>0</v>
      </c>
      <c r="Q267" s="41">
        <f>ROUND(Dot_ex($D267,$E267,$F267,$G267,$H267,$I267,$L267+SUM($N267:P267),G$115,G$117,G$117),2)</f>
        <v>0</v>
      </c>
      <c r="R267" s="57">
        <f>ROUND(Dot_ex($D267,$E267,$F267,$G267,$H267,$I267,$L267+SUM($N267:Q267),H$115,H$117,H$117),2)</f>
        <v>0</v>
      </c>
      <c r="S267" s="57">
        <f>ROUND(Dot_ex($D267,$E267,$F267,$G267,$H267,$I267,$L267+SUM($N267:R267),I$115,I$117,I$117),2)</f>
        <v>0</v>
      </c>
      <c r="T267" s="57">
        <f>ROUND(Dot_ex($D267,$E267,$F267,$G267,$H267,$I267,$L267+SUM($N267:S267),J$115,J$117,J$117),2)</f>
        <v>0</v>
      </c>
      <c r="U267" s="57">
        <f>ROUND(Dot_ex($D267,$E267,$F267,$G267,$H267,$I267,$L267+SUM($N267:T267),K$115,K$117,K$117),2)</f>
        <v>0</v>
      </c>
      <c r="V267" s="57">
        <f>ROUND(Dot_ex($D267,$E267,$F267,$G267,$H267,$I267,$L267+SUM($N267:U267),L$115,L$117,L$117),2)</f>
        <v>0</v>
      </c>
      <c r="W267" s="57">
        <f>ROUND(Dot_ex($D267,$E267,$F267,$G267,$H267,$I267,$L267+SUM($N267:V267),M$115,M$117,M$117),2)</f>
        <v>0</v>
      </c>
    </row>
    <row r="268" spans="1:23" x14ac:dyDescent="0.2">
      <c r="A268" s="107">
        <f t="shared" ca="1" si="40"/>
        <v>62</v>
      </c>
      <c r="B268" s="1" t="s">
        <v>119</v>
      </c>
      <c r="C268" s="1"/>
      <c r="D268" s="77">
        <v>36004</v>
      </c>
      <c r="E268" s="77">
        <v>36004</v>
      </c>
      <c r="F268" s="77"/>
      <c r="G268" s="8">
        <v>5556.46</v>
      </c>
      <c r="H268" s="1" t="s">
        <v>8</v>
      </c>
      <c r="I268" s="78">
        <v>5</v>
      </c>
      <c r="J268" s="8">
        <v>5556.46</v>
      </c>
      <c r="K268" s="8">
        <f t="shared" si="41"/>
        <v>0</v>
      </c>
      <c r="L268" s="8">
        <f t="shared" si="42"/>
        <v>5556.46</v>
      </c>
      <c r="M268" s="57">
        <f t="shared" si="43"/>
        <v>0</v>
      </c>
      <c r="N268" s="41">
        <f t="shared" si="39"/>
        <v>0</v>
      </c>
      <c r="O268" s="41">
        <f>ROUND(Dot_ex($D268,$E268,$F268,$G268,$H268,$I268,$L268+SUM($N268:N268),E$115,E$117,E$117),2)</f>
        <v>0</v>
      </c>
      <c r="P268" s="41">
        <f>ROUND(Dot_ex($D268,$E268,$F268,$G268,$H268,$I268,$L268+SUM($N268:O268),F$115,F$117,F$117),2)</f>
        <v>0</v>
      </c>
      <c r="Q268" s="41">
        <f>ROUND(Dot_ex($D268,$E268,$F268,$G268,$H268,$I268,$L268+SUM($N268:P268),G$115,G$117,G$117),2)</f>
        <v>0</v>
      </c>
      <c r="R268" s="57">
        <f>ROUND(Dot_ex($D268,$E268,$F268,$G268,$H268,$I268,$L268+SUM($N268:Q268),H$115,H$117,H$117),2)</f>
        <v>0</v>
      </c>
      <c r="S268" s="57">
        <f>ROUND(Dot_ex($D268,$E268,$F268,$G268,$H268,$I268,$L268+SUM($N268:R268),I$115,I$117,I$117),2)</f>
        <v>0</v>
      </c>
      <c r="T268" s="57">
        <f>ROUND(Dot_ex($D268,$E268,$F268,$G268,$H268,$I268,$L268+SUM($N268:S268),J$115,J$117,J$117),2)</f>
        <v>0</v>
      </c>
      <c r="U268" s="57">
        <f>ROUND(Dot_ex($D268,$E268,$F268,$G268,$H268,$I268,$L268+SUM($N268:T268),K$115,K$117,K$117),2)</f>
        <v>0</v>
      </c>
      <c r="V268" s="57">
        <f>ROUND(Dot_ex($D268,$E268,$F268,$G268,$H268,$I268,$L268+SUM($N268:U268),L$115,L$117,L$117),2)</f>
        <v>0</v>
      </c>
      <c r="W268" s="57">
        <f>ROUND(Dot_ex($D268,$E268,$F268,$G268,$H268,$I268,$L268+SUM($N268:V268),M$115,M$117,M$117),2)</f>
        <v>0</v>
      </c>
    </row>
    <row r="269" spans="1:23" x14ac:dyDescent="0.2">
      <c r="A269" s="107">
        <f t="shared" ca="1" si="40"/>
        <v>63</v>
      </c>
      <c r="B269" s="1" t="s">
        <v>145</v>
      </c>
      <c r="C269" s="1"/>
      <c r="D269" s="77">
        <v>36347</v>
      </c>
      <c r="E269" s="77">
        <v>36347</v>
      </c>
      <c r="F269" s="77"/>
      <c r="G269" s="8">
        <v>1498.42</v>
      </c>
      <c r="H269" s="1" t="s">
        <v>8</v>
      </c>
      <c r="I269" s="78">
        <v>5</v>
      </c>
      <c r="J269" s="8">
        <v>1498.42</v>
      </c>
      <c r="K269" s="8">
        <f t="shared" si="41"/>
        <v>0</v>
      </c>
      <c r="L269" s="8">
        <f t="shared" si="42"/>
        <v>1498.42</v>
      </c>
      <c r="M269" s="57">
        <f t="shared" si="43"/>
        <v>0</v>
      </c>
      <c r="N269" s="41">
        <f t="shared" si="39"/>
        <v>0</v>
      </c>
      <c r="O269" s="41">
        <f>ROUND(Dot_ex($D269,$E269,$F269,$G269,$H269,$I269,$L269+SUM($N269:N269),E$115,E$117,E$117),2)</f>
        <v>0</v>
      </c>
      <c r="P269" s="41">
        <f>ROUND(Dot_ex($D269,$E269,$F269,$G269,$H269,$I269,$L269+SUM($N269:O269),F$115,F$117,F$117),2)</f>
        <v>0</v>
      </c>
      <c r="Q269" s="41">
        <f>ROUND(Dot_ex($D269,$E269,$F269,$G269,$H269,$I269,$L269+SUM($N269:P269),G$115,G$117,G$117),2)</f>
        <v>0</v>
      </c>
      <c r="R269" s="57">
        <f>ROUND(Dot_ex($D269,$E269,$F269,$G269,$H269,$I269,$L269+SUM($N269:Q269),H$115,H$117,H$117),2)</f>
        <v>0</v>
      </c>
      <c r="S269" s="57">
        <f>ROUND(Dot_ex($D269,$E269,$F269,$G269,$H269,$I269,$L269+SUM($N269:R269),I$115,I$117,I$117),2)</f>
        <v>0</v>
      </c>
      <c r="T269" s="57">
        <f>ROUND(Dot_ex($D269,$E269,$F269,$G269,$H269,$I269,$L269+SUM($N269:S269),J$115,J$117,J$117),2)</f>
        <v>0</v>
      </c>
      <c r="U269" s="57">
        <f>ROUND(Dot_ex($D269,$E269,$F269,$G269,$H269,$I269,$L269+SUM($N269:T269),K$115,K$117,K$117),2)</f>
        <v>0</v>
      </c>
      <c r="V269" s="57">
        <f>ROUND(Dot_ex($D269,$E269,$F269,$G269,$H269,$I269,$L269+SUM($N269:U269),L$115,L$117,L$117),2)</f>
        <v>0</v>
      </c>
      <c r="W269" s="57">
        <f>ROUND(Dot_ex($D269,$E269,$F269,$G269,$H269,$I269,$L269+SUM($N269:V269),M$115,M$117,M$117),2)</f>
        <v>0</v>
      </c>
    </row>
    <row r="270" spans="1:23" x14ac:dyDescent="0.2">
      <c r="A270" s="107">
        <f t="shared" ca="1" si="40"/>
        <v>64</v>
      </c>
      <c r="B270" s="1" t="s">
        <v>146</v>
      </c>
      <c r="C270" s="1"/>
      <c r="D270" s="77">
        <v>36396</v>
      </c>
      <c r="E270" s="77">
        <v>36396</v>
      </c>
      <c r="F270" s="77"/>
      <c r="G270" s="8">
        <v>1365.46</v>
      </c>
      <c r="H270" s="1" t="s">
        <v>8</v>
      </c>
      <c r="I270" s="78">
        <v>5</v>
      </c>
      <c r="J270" s="8">
        <v>1365.46</v>
      </c>
      <c r="K270" s="8">
        <f t="shared" si="41"/>
        <v>0</v>
      </c>
      <c r="L270" s="8">
        <f t="shared" si="42"/>
        <v>1365.46</v>
      </c>
      <c r="M270" s="57">
        <f t="shared" si="43"/>
        <v>0</v>
      </c>
      <c r="N270" s="41">
        <f t="shared" si="39"/>
        <v>0</v>
      </c>
      <c r="O270" s="41">
        <f>ROUND(Dot_ex($D270,$E270,$F270,$G270,$H270,$I270,$L270+SUM($N270:N270),E$115,E$117,E$117),2)</f>
        <v>0</v>
      </c>
      <c r="P270" s="41">
        <f>ROUND(Dot_ex($D270,$E270,$F270,$G270,$H270,$I270,$L270+SUM($N270:O270),F$115,F$117,F$117),2)</f>
        <v>0</v>
      </c>
      <c r="Q270" s="41">
        <f>ROUND(Dot_ex($D270,$E270,$F270,$G270,$H270,$I270,$L270+SUM($N270:P270),G$115,G$117,G$117),2)</f>
        <v>0</v>
      </c>
      <c r="R270" s="57">
        <f>ROUND(Dot_ex($D270,$E270,$F270,$G270,$H270,$I270,$L270+SUM($N270:Q270),H$115,H$117,H$117),2)</f>
        <v>0</v>
      </c>
      <c r="S270" s="57">
        <f>ROUND(Dot_ex($D270,$E270,$F270,$G270,$H270,$I270,$L270+SUM($N270:R270),I$115,I$117,I$117),2)</f>
        <v>0</v>
      </c>
      <c r="T270" s="57">
        <f>ROUND(Dot_ex($D270,$E270,$F270,$G270,$H270,$I270,$L270+SUM($N270:S270),J$115,J$117,J$117),2)</f>
        <v>0</v>
      </c>
      <c r="U270" s="57">
        <f>ROUND(Dot_ex($D270,$E270,$F270,$G270,$H270,$I270,$L270+SUM($N270:T270),K$115,K$117,K$117),2)</f>
        <v>0</v>
      </c>
      <c r="V270" s="57">
        <f>ROUND(Dot_ex($D270,$E270,$F270,$G270,$H270,$I270,$L270+SUM($N270:U270),L$115,L$117,L$117),2)</f>
        <v>0</v>
      </c>
      <c r="W270" s="57">
        <f>ROUND(Dot_ex($D270,$E270,$F270,$G270,$H270,$I270,$L270+SUM($N270:V270),M$115,M$117,M$117),2)</f>
        <v>0</v>
      </c>
    </row>
    <row r="271" spans="1:23" x14ac:dyDescent="0.2">
      <c r="A271" s="107">
        <f t="shared" ca="1" si="40"/>
        <v>65</v>
      </c>
      <c r="B271" s="1" t="s">
        <v>147</v>
      </c>
      <c r="C271" s="1"/>
      <c r="D271" s="77">
        <v>36397</v>
      </c>
      <c r="E271" s="77">
        <v>36397</v>
      </c>
      <c r="F271" s="77"/>
      <c r="G271" s="8">
        <v>14177.76</v>
      </c>
      <c r="H271" s="1" t="s">
        <v>8</v>
      </c>
      <c r="I271" s="78">
        <v>5</v>
      </c>
      <c r="J271" s="8">
        <v>14177.76</v>
      </c>
      <c r="K271" s="8">
        <f t="shared" si="41"/>
        <v>0</v>
      </c>
      <c r="L271" s="8">
        <f t="shared" si="42"/>
        <v>14177.76</v>
      </c>
      <c r="M271" s="57">
        <f t="shared" si="43"/>
        <v>0</v>
      </c>
      <c r="N271" s="41">
        <f t="shared" si="39"/>
        <v>0</v>
      </c>
      <c r="O271" s="41">
        <f>ROUND(Dot_ex($D271,$E271,$F271,$G271,$H271,$I271,$L271+SUM($N271:N271),E$115,E$117,E$117),2)</f>
        <v>0</v>
      </c>
      <c r="P271" s="41">
        <f>ROUND(Dot_ex($D271,$E271,$F271,$G271,$H271,$I271,$L271+SUM($N271:O271),F$115,F$117,F$117),2)</f>
        <v>0</v>
      </c>
      <c r="Q271" s="41">
        <f>ROUND(Dot_ex($D271,$E271,$F271,$G271,$H271,$I271,$L271+SUM($N271:P271),G$115,G$117,G$117),2)</f>
        <v>0</v>
      </c>
      <c r="R271" s="57">
        <f>ROUND(Dot_ex($D271,$E271,$F271,$G271,$H271,$I271,$L271+SUM($N271:Q271),H$115,H$117,H$117),2)</f>
        <v>0</v>
      </c>
      <c r="S271" s="57">
        <f>ROUND(Dot_ex($D271,$E271,$F271,$G271,$H271,$I271,$L271+SUM($N271:R271),I$115,I$117,I$117),2)</f>
        <v>0</v>
      </c>
      <c r="T271" s="57">
        <f>ROUND(Dot_ex($D271,$E271,$F271,$G271,$H271,$I271,$L271+SUM($N271:S271),J$115,J$117,J$117),2)</f>
        <v>0</v>
      </c>
      <c r="U271" s="57">
        <f>ROUND(Dot_ex($D271,$E271,$F271,$G271,$H271,$I271,$L271+SUM($N271:T271),K$115,K$117,K$117),2)</f>
        <v>0</v>
      </c>
      <c r="V271" s="57">
        <f>ROUND(Dot_ex($D271,$E271,$F271,$G271,$H271,$I271,$L271+SUM($N271:U271),L$115,L$117,L$117),2)</f>
        <v>0</v>
      </c>
      <c r="W271" s="57">
        <f>ROUND(Dot_ex($D271,$E271,$F271,$G271,$H271,$I271,$L271+SUM($N271:V271),M$115,M$117,M$117),2)</f>
        <v>0</v>
      </c>
    </row>
    <row r="272" spans="1:23" x14ac:dyDescent="0.2">
      <c r="A272" s="107">
        <f t="shared" ca="1" si="40"/>
        <v>66</v>
      </c>
      <c r="B272" s="1" t="s">
        <v>148</v>
      </c>
      <c r="C272" s="1"/>
      <c r="D272" s="77">
        <v>36490</v>
      </c>
      <c r="E272" s="77">
        <v>36490</v>
      </c>
      <c r="F272" s="77"/>
      <c r="G272" s="8">
        <v>5082.6499999999996</v>
      </c>
      <c r="H272" s="1" t="s">
        <v>8</v>
      </c>
      <c r="I272" s="78">
        <v>5</v>
      </c>
      <c r="J272" s="8">
        <v>5082.6499999999996</v>
      </c>
      <c r="K272" s="8">
        <f t="shared" si="41"/>
        <v>0</v>
      </c>
      <c r="L272" s="8">
        <f t="shared" si="42"/>
        <v>5082.6499999999996</v>
      </c>
      <c r="M272" s="57">
        <f t="shared" si="43"/>
        <v>0</v>
      </c>
      <c r="N272" s="41">
        <f t="shared" si="39"/>
        <v>0</v>
      </c>
      <c r="O272" s="41">
        <f>ROUND(Dot_ex($D272,$E272,$F272,$G272,$H272,$I272,$L272+SUM($N272:N272),E$115,E$117,E$117),2)</f>
        <v>0</v>
      </c>
      <c r="P272" s="41">
        <f>ROUND(Dot_ex($D272,$E272,$F272,$G272,$H272,$I272,$L272+SUM($N272:O272),F$115,F$117,F$117),2)</f>
        <v>0</v>
      </c>
      <c r="Q272" s="41">
        <f>ROUND(Dot_ex($D272,$E272,$F272,$G272,$H272,$I272,$L272+SUM($N272:P272),G$115,G$117,G$117),2)</f>
        <v>0</v>
      </c>
      <c r="R272" s="57">
        <f>ROUND(Dot_ex($D272,$E272,$F272,$G272,$H272,$I272,$L272+SUM($N272:Q272),H$115,H$117,H$117),2)</f>
        <v>0</v>
      </c>
      <c r="S272" s="57">
        <f>ROUND(Dot_ex($D272,$E272,$F272,$G272,$H272,$I272,$L272+SUM($N272:R272),I$115,I$117,I$117),2)</f>
        <v>0</v>
      </c>
      <c r="T272" s="57">
        <f>ROUND(Dot_ex($D272,$E272,$F272,$G272,$H272,$I272,$L272+SUM($N272:S272),J$115,J$117,J$117),2)</f>
        <v>0</v>
      </c>
      <c r="U272" s="57">
        <f>ROUND(Dot_ex($D272,$E272,$F272,$G272,$H272,$I272,$L272+SUM($N272:T272),K$115,K$117,K$117),2)</f>
        <v>0</v>
      </c>
      <c r="V272" s="57">
        <f>ROUND(Dot_ex($D272,$E272,$F272,$G272,$H272,$I272,$L272+SUM($N272:U272),L$115,L$117,L$117),2)</f>
        <v>0</v>
      </c>
      <c r="W272" s="57">
        <f>ROUND(Dot_ex($D272,$E272,$F272,$G272,$H272,$I272,$L272+SUM($N272:V272),M$115,M$117,M$117),2)</f>
        <v>0</v>
      </c>
    </row>
    <row r="273" spans="1:23" x14ac:dyDescent="0.2">
      <c r="A273" s="107">
        <f t="shared" ca="1" si="40"/>
        <v>67</v>
      </c>
      <c r="B273" s="1" t="s">
        <v>149</v>
      </c>
      <c r="C273" s="1"/>
      <c r="D273" s="77">
        <v>36683</v>
      </c>
      <c r="E273" s="77">
        <v>36683</v>
      </c>
      <c r="F273" s="77"/>
      <c r="G273" s="8">
        <v>22882.6</v>
      </c>
      <c r="H273" s="1" t="s">
        <v>8</v>
      </c>
      <c r="I273" s="78">
        <v>5</v>
      </c>
      <c r="J273" s="8">
        <v>22882.6</v>
      </c>
      <c r="K273" s="8">
        <f t="shared" si="41"/>
        <v>0</v>
      </c>
      <c r="L273" s="8">
        <f t="shared" si="42"/>
        <v>22882.6</v>
      </c>
      <c r="M273" s="57">
        <f t="shared" si="43"/>
        <v>0</v>
      </c>
      <c r="N273" s="41">
        <f t="shared" si="39"/>
        <v>0</v>
      </c>
      <c r="O273" s="41">
        <f>ROUND(Dot_ex($D273,$E273,$F273,$G273,$H273,$I273,$L273+SUM($N273:N273),E$115,E$117,E$117),2)</f>
        <v>0</v>
      </c>
      <c r="P273" s="41">
        <f>ROUND(Dot_ex($D273,$E273,$F273,$G273,$H273,$I273,$L273+SUM($N273:O273),F$115,F$117,F$117),2)</f>
        <v>0</v>
      </c>
      <c r="Q273" s="41">
        <f>ROUND(Dot_ex($D273,$E273,$F273,$G273,$H273,$I273,$L273+SUM($N273:P273),G$115,G$117,G$117),2)</f>
        <v>0</v>
      </c>
      <c r="R273" s="57">
        <f>ROUND(Dot_ex($D273,$E273,$F273,$G273,$H273,$I273,$L273+SUM($N273:Q273),H$115,H$117,H$117),2)</f>
        <v>0</v>
      </c>
      <c r="S273" s="57">
        <f>ROUND(Dot_ex($D273,$E273,$F273,$G273,$H273,$I273,$L273+SUM($N273:R273),I$115,I$117,I$117),2)</f>
        <v>0</v>
      </c>
      <c r="T273" s="57">
        <f>ROUND(Dot_ex($D273,$E273,$F273,$G273,$H273,$I273,$L273+SUM($N273:S273),J$115,J$117,J$117),2)</f>
        <v>0</v>
      </c>
      <c r="U273" s="57">
        <f>ROUND(Dot_ex($D273,$E273,$F273,$G273,$H273,$I273,$L273+SUM($N273:T273),K$115,K$117,K$117),2)</f>
        <v>0</v>
      </c>
      <c r="V273" s="57">
        <f>ROUND(Dot_ex($D273,$E273,$F273,$G273,$H273,$I273,$L273+SUM($N273:U273),L$115,L$117,L$117),2)</f>
        <v>0</v>
      </c>
      <c r="W273" s="57">
        <f>ROUND(Dot_ex($D273,$E273,$F273,$G273,$H273,$I273,$L273+SUM($N273:V273),M$115,M$117,M$117),2)</f>
        <v>0</v>
      </c>
    </row>
    <row r="274" spans="1:23" x14ac:dyDescent="0.2">
      <c r="A274" s="107">
        <f t="shared" ca="1" si="40"/>
        <v>68</v>
      </c>
      <c r="B274" s="1" t="s">
        <v>150</v>
      </c>
      <c r="C274" s="1"/>
      <c r="D274" s="77">
        <v>36683</v>
      </c>
      <c r="E274" s="77">
        <v>36683</v>
      </c>
      <c r="F274" s="77"/>
      <c r="G274" s="8">
        <v>11587.65</v>
      </c>
      <c r="H274" s="1" t="s">
        <v>8</v>
      </c>
      <c r="I274" s="78">
        <v>5</v>
      </c>
      <c r="J274" s="8">
        <v>11587.65</v>
      </c>
      <c r="K274" s="8">
        <f t="shared" si="41"/>
        <v>0</v>
      </c>
      <c r="L274" s="8">
        <f t="shared" si="42"/>
        <v>11587.65</v>
      </c>
      <c r="M274" s="57">
        <f t="shared" si="43"/>
        <v>0</v>
      </c>
      <c r="N274" s="41">
        <f t="shared" si="39"/>
        <v>0</v>
      </c>
      <c r="O274" s="41">
        <f>ROUND(Dot_ex($D274,$E274,$F274,$G274,$H274,$I274,$L274+SUM($N274:N274),E$115,E$117,E$117),2)</f>
        <v>0</v>
      </c>
      <c r="P274" s="41">
        <f>ROUND(Dot_ex($D274,$E274,$F274,$G274,$H274,$I274,$L274+SUM($N274:O274),F$115,F$117,F$117),2)</f>
        <v>0</v>
      </c>
      <c r="Q274" s="41">
        <f>ROUND(Dot_ex($D274,$E274,$F274,$G274,$H274,$I274,$L274+SUM($N274:P274),G$115,G$117,G$117),2)</f>
        <v>0</v>
      </c>
      <c r="R274" s="57">
        <f>ROUND(Dot_ex($D274,$E274,$F274,$G274,$H274,$I274,$L274+SUM($N274:Q274),H$115,H$117,H$117),2)</f>
        <v>0</v>
      </c>
      <c r="S274" s="57">
        <f>ROUND(Dot_ex($D274,$E274,$F274,$G274,$H274,$I274,$L274+SUM($N274:R274),I$115,I$117,I$117),2)</f>
        <v>0</v>
      </c>
      <c r="T274" s="57">
        <f>ROUND(Dot_ex($D274,$E274,$F274,$G274,$H274,$I274,$L274+SUM($N274:S274),J$115,J$117,J$117),2)</f>
        <v>0</v>
      </c>
      <c r="U274" s="57">
        <f>ROUND(Dot_ex($D274,$E274,$F274,$G274,$H274,$I274,$L274+SUM($N274:T274),K$115,K$117,K$117),2)</f>
        <v>0</v>
      </c>
      <c r="V274" s="57">
        <f>ROUND(Dot_ex($D274,$E274,$F274,$G274,$H274,$I274,$L274+SUM($N274:U274),L$115,L$117,L$117),2)</f>
        <v>0</v>
      </c>
      <c r="W274" s="57">
        <f>ROUND(Dot_ex($D274,$E274,$F274,$G274,$H274,$I274,$L274+SUM($N274:V274),M$115,M$117,M$117),2)</f>
        <v>0</v>
      </c>
    </row>
    <row r="275" spans="1:23" x14ac:dyDescent="0.2">
      <c r="A275" s="107">
        <f t="shared" ca="1" si="40"/>
        <v>69</v>
      </c>
      <c r="B275" s="1" t="s">
        <v>151</v>
      </c>
      <c r="C275" s="1"/>
      <c r="D275" s="77">
        <v>36683</v>
      </c>
      <c r="E275" s="77">
        <v>36683</v>
      </c>
      <c r="F275" s="77"/>
      <c r="G275" s="8">
        <v>2463.58</v>
      </c>
      <c r="H275" s="1" t="s">
        <v>8</v>
      </c>
      <c r="I275" s="78">
        <v>5</v>
      </c>
      <c r="J275" s="8">
        <v>2463.58</v>
      </c>
      <c r="K275" s="8">
        <f t="shared" si="41"/>
        <v>0</v>
      </c>
      <c r="L275" s="8">
        <f t="shared" si="42"/>
        <v>2463.58</v>
      </c>
      <c r="M275" s="57">
        <f t="shared" si="43"/>
        <v>0</v>
      </c>
      <c r="N275" s="41">
        <f t="shared" si="39"/>
        <v>0</v>
      </c>
      <c r="O275" s="41">
        <f>ROUND(Dot_ex($D275,$E275,$F275,$G275,$H275,$I275,$L275+SUM($N275:N275),E$115,E$117,E$117),2)</f>
        <v>0</v>
      </c>
      <c r="P275" s="41">
        <f>ROUND(Dot_ex($D275,$E275,$F275,$G275,$H275,$I275,$L275+SUM($N275:O275),F$115,F$117,F$117),2)</f>
        <v>0</v>
      </c>
      <c r="Q275" s="41">
        <f>ROUND(Dot_ex($D275,$E275,$F275,$G275,$H275,$I275,$L275+SUM($N275:P275),G$115,G$117,G$117),2)</f>
        <v>0</v>
      </c>
      <c r="R275" s="57">
        <f>ROUND(Dot_ex($D275,$E275,$F275,$G275,$H275,$I275,$L275+SUM($N275:Q275),H$115,H$117,H$117),2)</f>
        <v>0</v>
      </c>
      <c r="S275" s="57">
        <f>ROUND(Dot_ex($D275,$E275,$F275,$G275,$H275,$I275,$L275+SUM($N275:R275),I$115,I$117,I$117),2)</f>
        <v>0</v>
      </c>
      <c r="T275" s="57">
        <f>ROUND(Dot_ex($D275,$E275,$F275,$G275,$H275,$I275,$L275+SUM($N275:S275),J$115,J$117,J$117),2)</f>
        <v>0</v>
      </c>
      <c r="U275" s="57">
        <f>ROUND(Dot_ex($D275,$E275,$F275,$G275,$H275,$I275,$L275+SUM($N275:T275),K$115,K$117,K$117),2)</f>
        <v>0</v>
      </c>
      <c r="V275" s="57">
        <f>ROUND(Dot_ex($D275,$E275,$F275,$G275,$H275,$I275,$L275+SUM($N275:U275),L$115,L$117,L$117),2)</f>
        <v>0</v>
      </c>
      <c r="W275" s="57">
        <f>ROUND(Dot_ex($D275,$E275,$F275,$G275,$H275,$I275,$L275+SUM($N275:V275),M$115,M$117,M$117),2)</f>
        <v>0</v>
      </c>
    </row>
    <row r="276" spans="1:23" x14ac:dyDescent="0.2">
      <c r="A276" s="107">
        <f t="shared" ca="1" si="40"/>
        <v>70</v>
      </c>
      <c r="B276" s="1" t="s">
        <v>152</v>
      </c>
      <c r="C276" s="1"/>
      <c r="D276" s="77">
        <v>36683</v>
      </c>
      <c r="E276" s="77">
        <v>36683</v>
      </c>
      <c r="F276" s="77"/>
      <c r="G276" s="8">
        <v>461.92</v>
      </c>
      <c r="H276" s="1" t="s">
        <v>8</v>
      </c>
      <c r="I276" s="78">
        <v>5</v>
      </c>
      <c r="J276" s="8">
        <v>461.92</v>
      </c>
      <c r="K276" s="8">
        <f t="shared" si="41"/>
        <v>0</v>
      </c>
      <c r="L276" s="8">
        <f t="shared" si="42"/>
        <v>461.92</v>
      </c>
      <c r="M276" s="57">
        <f t="shared" si="43"/>
        <v>0</v>
      </c>
      <c r="N276" s="41">
        <f t="shared" si="39"/>
        <v>0</v>
      </c>
      <c r="O276" s="41">
        <f>ROUND(Dot_ex($D276,$E276,$F276,$G276,$H276,$I276,$L276+SUM($N276:N276),E$115,E$117,E$117),2)</f>
        <v>0</v>
      </c>
      <c r="P276" s="41">
        <f>ROUND(Dot_ex($D276,$E276,$F276,$G276,$H276,$I276,$L276+SUM($N276:O276),F$115,F$117,F$117),2)</f>
        <v>0</v>
      </c>
      <c r="Q276" s="41">
        <f>ROUND(Dot_ex($D276,$E276,$F276,$G276,$H276,$I276,$L276+SUM($N276:P276),G$115,G$117,G$117),2)</f>
        <v>0</v>
      </c>
      <c r="R276" s="57">
        <f>ROUND(Dot_ex($D276,$E276,$F276,$G276,$H276,$I276,$L276+SUM($N276:Q276),H$115,H$117,H$117),2)</f>
        <v>0</v>
      </c>
      <c r="S276" s="57">
        <f>ROUND(Dot_ex($D276,$E276,$F276,$G276,$H276,$I276,$L276+SUM($N276:R276),I$115,I$117,I$117),2)</f>
        <v>0</v>
      </c>
      <c r="T276" s="57">
        <f>ROUND(Dot_ex($D276,$E276,$F276,$G276,$H276,$I276,$L276+SUM($N276:S276),J$115,J$117,J$117),2)</f>
        <v>0</v>
      </c>
      <c r="U276" s="57">
        <f>ROUND(Dot_ex($D276,$E276,$F276,$G276,$H276,$I276,$L276+SUM($N276:T276),K$115,K$117,K$117),2)</f>
        <v>0</v>
      </c>
      <c r="V276" s="57">
        <f>ROUND(Dot_ex($D276,$E276,$F276,$G276,$H276,$I276,$L276+SUM($N276:U276),L$115,L$117,L$117),2)</f>
        <v>0</v>
      </c>
      <c r="W276" s="57">
        <f>ROUND(Dot_ex($D276,$E276,$F276,$G276,$H276,$I276,$L276+SUM($N276:V276),M$115,M$117,M$117),2)</f>
        <v>0</v>
      </c>
    </row>
    <row r="277" spans="1:23" x14ac:dyDescent="0.2">
      <c r="A277" s="107">
        <f t="shared" ca="1" si="40"/>
        <v>71</v>
      </c>
      <c r="B277" s="1" t="s">
        <v>153</v>
      </c>
      <c r="C277" s="1"/>
      <c r="D277" s="77">
        <v>36683</v>
      </c>
      <c r="E277" s="77">
        <v>36683</v>
      </c>
      <c r="F277" s="77"/>
      <c r="G277" s="8">
        <v>9585.99</v>
      </c>
      <c r="H277" s="1" t="s">
        <v>8</v>
      </c>
      <c r="I277" s="78">
        <v>5</v>
      </c>
      <c r="J277" s="8">
        <v>9585.99</v>
      </c>
      <c r="K277" s="8">
        <f t="shared" si="41"/>
        <v>0</v>
      </c>
      <c r="L277" s="8">
        <f t="shared" si="42"/>
        <v>9585.99</v>
      </c>
      <c r="M277" s="57">
        <f t="shared" si="43"/>
        <v>0</v>
      </c>
      <c r="N277" s="41">
        <f t="shared" si="39"/>
        <v>0</v>
      </c>
      <c r="O277" s="41">
        <f>ROUND(Dot_ex($D277,$E277,$F277,$G277,$H277,$I277,$L277+SUM($N277:N277),E$115,E$117,E$117),2)</f>
        <v>0</v>
      </c>
      <c r="P277" s="41">
        <f>ROUND(Dot_ex($D277,$E277,$F277,$G277,$H277,$I277,$L277+SUM($N277:O277),F$115,F$117,F$117),2)</f>
        <v>0</v>
      </c>
      <c r="Q277" s="41">
        <f>ROUND(Dot_ex($D277,$E277,$F277,$G277,$H277,$I277,$L277+SUM($N277:P277),G$115,G$117,G$117),2)</f>
        <v>0</v>
      </c>
      <c r="R277" s="57">
        <f>ROUND(Dot_ex($D277,$E277,$F277,$G277,$H277,$I277,$L277+SUM($N277:Q277),H$115,H$117,H$117),2)</f>
        <v>0</v>
      </c>
      <c r="S277" s="57">
        <f>ROUND(Dot_ex($D277,$E277,$F277,$G277,$H277,$I277,$L277+SUM($N277:R277),I$115,I$117,I$117),2)</f>
        <v>0</v>
      </c>
      <c r="T277" s="57">
        <f>ROUND(Dot_ex($D277,$E277,$F277,$G277,$H277,$I277,$L277+SUM($N277:S277),J$115,J$117,J$117),2)</f>
        <v>0</v>
      </c>
      <c r="U277" s="57">
        <f>ROUND(Dot_ex($D277,$E277,$F277,$G277,$H277,$I277,$L277+SUM($N277:T277),K$115,K$117,K$117),2)</f>
        <v>0</v>
      </c>
      <c r="V277" s="57">
        <f>ROUND(Dot_ex($D277,$E277,$F277,$G277,$H277,$I277,$L277+SUM($N277:U277),L$115,L$117,L$117),2)</f>
        <v>0</v>
      </c>
      <c r="W277" s="57">
        <f>ROUND(Dot_ex($D277,$E277,$F277,$G277,$H277,$I277,$L277+SUM($N277:V277),M$115,M$117,M$117),2)</f>
        <v>0</v>
      </c>
    </row>
    <row r="278" spans="1:23" x14ac:dyDescent="0.2">
      <c r="A278" s="107">
        <f t="shared" ca="1" si="40"/>
        <v>72</v>
      </c>
      <c r="B278" s="1" t="s">
        <v>166</v>
      </c>
      <c r="C278" s="1" t="s">
        <v>8</v>
      </c>
      <c r="D278" s="77">
        <v>36731</v>
      </c>
      <c r="E278" s="77">
        <v>36731</v>
      </c>
      <c r="F278" s="77"/>
      <c r="G278" s="8">
        <v>2778.94</v>
      </c>
      <c r="H278" s="1" t="s">
        <v>8</v>
      </c>
      <c r="I278" s="78">
        <v>5</v>
      </c>
      <c r="J278" s="8">
        <v>2778.94</v>
      </c>
      <c r="K278" s="8">
        <f t="shared" si="41"/>
        <v>0</v>
      </c>
      <c r="L278" s="8">
        <f t="shared" si="42"/>
        <v>2778.94</v>
      </c>
      <c r="M278" s="57">
        <f t="shared" si="43"/>
        <v>0</v>
      </c>
      <c r="N278" s="41">
        <f t="shared" si="39"/>
        <v>0</v>
      </c>
      <c r="O278" s="41">
        <f>ROUND(Dot_ex($D278,$E278,$F278,$G278,$H278,$I278,$L278+SUM($N278:N278),E$115,E$117,E$117),2)</f>
        <v>0</v>
      </c>
      <c r="P278" s="41">
        <f>ROUND(Dot_ex($D278,$E278,$F278,$G278,$H278,$I278,$L278+SUM($N278:O278),F$115,F$117,F$117),2)</f>
        <v>0</v>
      </c>
      <c r="Q278" s="41">
        <f>ROUND(Dot_ex($D278,$E278,$F278,$G278,$H278,$I278,$L278+SUM($N278:P278),G$115,G$117,G$117),2)</f>
        <v>0</v>
      </c>
      <c r="R278" s="57">
        <f>ROUND(Dot_ex($D278,$E278,$F278,$G278,$H278,$I278,$L278+SUM($N278:Q278),H$115,H$117,H$117),2)</f>
        <v>0</v>
      </c>
      <c r="S278" s="57">
        <f>ROUND(Dot_ex($D278,$E278,$F278,$G278,$H278,$I278,$L278+SUM($N278:R278),I$115,I$117,I$117),2)</f>
        <v>0</v>
      </c>
      <c r="T278" s="57">
        <f>ROUND(Dot_ex($D278,$E278,$F278,$G278,$H278,$I278,$L278+SUM($N278:S278),J$115,J$117,J$117),2)</f>
        <v>0</v>
      </c>
      <c r="U278" s="57">
        <f>ROUND(Dot_ex($D278,$E278,$F278,$G278,$H278,$I278,$L278+SUM($N278:T278),K$115,K$117,K$117),2)</f>
        <v>0</v>
      </c>
      <c r="V278" s="57">
        <f>ROUND(Dot_ex($D278,$E278,$F278,$G278,$H278,$I278,$L278+SUM($N278:U278),L$115,L$117,L$117),2)</f>
        <v>0</v>
      </c>
      <c r="W278" s="57">
        <f>ROUND(Dot_ex($D278,$E278,$F278,$G278,$H278,$I278,$L278+SUM($N278:V278),M$115,M$117,M$117),2)</f>
        <v>0</v>
      </c>
    </row>
    <row r="279" spans="1:23" x14ac:dyDescent="0.2">
      <c r="A279" s="107">
        <f t="shared" ca="1" si="40"/>
        <v>73</v>
      </c>
      <c r="B279" s="1" t="s">
        <v>165</v>
      </c>
      <c r="C279" s="1" t="s">
        <v>8</v>
      </c>
      <c r="D279" s="77">
        <v>36731</v>
      </c>
      <c r="E279" s="77">
        <v>36731</v>
      </c>
      <c r="F279" s="77"/>
      <c r="G279" s="8">
        <v>7892.49</v>
      </c>
      <c r="H279" s="1" t="s">
        <v>8</v>
      </c>
      <c r="I279" s="78">
        <v>5</v>
      </c>
      <c r="J279" s="8">
        <v>7892.49</v>
      </c>
      <c r="K279" s="8">
        <f t="shared" si="41"/>
        <v>0</v>
      </c>
      <c r="L279" s="8">
        <f t="shared" si="42"/>
        <v>7892.49</v>
      </c>
      <c r="M279" s="57">
        <f t="shared" si="43"/>
        <v>0</v>
      </c>
      <c r="N279" s="41">
        <f t="shared" si="39"/>
        <v>0</v>
      </c>
      <c r="O279" s="41">
        <f>ROUND(Dot_ex($D279,$E279,$F279,$G279,$H279,$I279,$L279+SUM($N279:N279),E$115,E$117,E$117),2)</f>
        <v>0</v>
      </c>
      <c r="P279" s="41">
        <f>ROUND(Dot_ex($D279,$E279,$F279,$G279,$H279,$I279,$L279+SUM($N279:O279),F$115,F$117,F$117),2)</f>
        <v>0</v>
      </c>
      <c r="Q279" s="41">
        <f>ROUND(Dot_ex($D279,$E279,$F279,$G279,$H279,$I279,$L279+SUM($N279:P279),G$115,G$117,G$117),2)</f>
        <v>0</v>
      </c>
      <c r="R279" s="57">
        <f>ROUND(Dot_ex($D279,$E279,$F279,$G279,$H279,$I279,$L279+SUM($N279:Q279),H$115,H$117,H$117),2)</f>
        <v>0</v>
      </c>
      <c r="S279" s="57">
        <f>ROUND(Dot_ex($D279,$E279,$F279,$G279,$H279,$I279,$L279+SUM($N279:R279),I$115,I$117,I$117),2)</f>
        <v>0</v>
      </c>
      <c r="T279" s="57">
        <f>ROUND(Dot_ex($D279,$E279,$F279,$G279,$H279,$I279,$L279+SUM($N279:S279),J$115,J$117,J$117),2)</f>
        <v>0</v>
      </c>
      <c r="U279" s="57">
        <f>ROUND(Dot_ex($D279,$E279,$F279,$G279,$H279,$I279,$L279+SUM($N279:T279),K$115,K$117,K$117),2)</f>
        <v>0</v>
      </c>
      <c r="V279" s="57">
        <f>ROUND(Dot_ex($D279,$E279,$F279,$G279,$H279,$I279,$L279+SUM($N279:U279),L$115,L$117,L$117),2)</f>
        <v>0</v>
      </c>
      <c r="W279" s="57">
        <f>ROUND(Dot_ex($D279,$E279,$F279,$G279,$H279,$I279,$L279+SUM($N279:V279),M$115,M$117,M$117),2)</f>
        <v>0</v>
      </c>
    </row>
    <row r="280" spans="1:23" x14ac:dyDescent="0.2">
      <c r="A280" s="107">
        <f t="shared" ca="1" si="40"/>
        <v>74</v>
      </c>
      <c r="B280" s="1" t="s">
        <v>167</v>
      </c>
      <c r="C280" s="1" t="s">
        <v>8</v>
      </c>
      <c r="D280" s="77">
        <v>36812</v>
      </c>
      <c r="E280" s="77">
        <v>36812</v>
      </c>
      <c r="F280" s="77"/>
      <c r="G280" s="8">
        <v>2120.8200000000002</v>
      </c>
      <c r="H280" s="1" t="s">
        <v>8</v>
      </c>
      <c r="I280" s="78">
        <v>5</v>
      </c>
      <c r="J280" s="8">
        <v>2120.8200000000002</v>
      </c>
      <c r="K280" s="8">
        <f t="shared" si="41"/>
        <v>0</v>
      </c>
      <c r="L280" s="8">
        <f t="shared" si="42"/>
        <v>2120.8200000000002</v>
      </c>
      <c r="M280" s="57">
        <f t="shared" si="43"/>
        <v>0</v>
      </c>
      <c r="N280" s="41">
        <f t="shared" si="39"/>
        <v>0</v>
      </c>
      <c r="O280" s="41">
        <f>ROUND(Dot_ex($D280,$E280,$F280,$G280,$H280,$I280,$L280+SUM($N280:N280),E$115,E$117,E$117),2)</f>
        <v>0</v>
      </c>
      <c r="P280" s="41">
        <f>ROUND(Dot_ex($D280,$E280,$F280,$G280,$H280,$I280,$L280+SUM($N280:O280),F$115,F$117,F$117),2)</f>
        <v>0</v>
      </c>
      <c r="Q280" s="41">
        <f>ROUND(Dot_ex($D280,$E280,$F280,$G280,$H280,$I280,$L280+SUM($N280:P280),G$115,G$117,G$117),2)</f>
        <v>0</v>
      </c>
      <c r="R280" s="57">
        <f>ROUND(Dot_ex($D280,$E280,$F280,$G280,$H280,$I280,$L280+SUM($N280:Q280),H$115,H$117,H$117),2)</f>
        <v>0</v>
      </c>
      <c r="S280" s="57">
        <f>ROUND(Dot_ex($D280,$E280,$F280,$G280,$H280,$I280,$L280+SUM($N280:R280),I$115,I$117,I$117),2)</f>
        <v>0</v>
      </c>
      <c r="T280" s="57">
        <f>ROUND(Dot_ex($D280,$E280,$F280,$G280,$H280,$I280,$L280+SUM($N280:S280),J$115,J$117,J$117),2)</f>
        <v>0</v>
      </c>
      <c r="U280" s="57">
        <f>ROUND(Dot_ex($D280,$E280,$F280,$G280,$H280,$I280,$L280+SUM($N280:T280),K$115,K$117,K$117),2)</f>
        <v>0</v>
      </c>
      <c r="V280" s="57">
        <f>ROUND(Dot_ex($D280,$E280,$F280,$G280,$H280,$I280,$L280+SUM($N280:U280),L$115,L$117,L$117),2)</f>
        <v>0</v>
      </c>
      <c r="W280" s="57">
        <f>ROUND(Dot_ex($D280,$E280,$F280,$G280,$H280,$I280,$L280+SUM($N280:V280),M$115,M$117,M$117),2)</f>
        <v>0</v>
      </c>
    </row>
    <row r="281" spans="1:23" x14ac:dyDescent="0.2">
      <c r="A281" s="107">
        <f t="shared" ca="1" si="40"/>
        <v>75</v>
      </c>
      <c r="B281" s="1" t="s">
        <v>173</v>
      </c>
      <c r="C281" s="1" t="s">
        <v>8</v>
      </c>
      <c r="D281" s="77">
        <v>36902</v>
      </c>
      <c r="E281" s="77">
        <v>36902</v>
      </c>
      <c r="F281" s="77"/>
      <c r="G281" s="8">
        <v>505.37</v>
      </c>
      <c r="H281" s="1" t="s">
        <v>8</v>
      </c>
      <c r="I281" s="78">
        <v>5</v>
      </c>
      <c r="J281" s="8">
        <v>505.37</v>
      </c>
      <c r="K281" s="8">
        <f t="shared" si="41"/>
        <v>0</v>
      </c>
      <c r="L281" s="8">
        <f t="shared" si="42"/>
        <v>505.37</v>
      </c>
      <c r="M281" s="57">
        <f t="shared" si="43"/>
        <v>0</v>
      </c>
      <c r="N281" s="41">
        <f t="shared" si="39"/>
        <v>0</v>
      </c>
      <c r="O281" s="41">
        <f>ROUND(Dot_ex($D281,$E281,$F281,$G281,$H281,$I281,$L281+SUM($N281:N281),E$115,E$117,E$117),2)</f>
        <v>0</v>
      </c>
      <c r="P281" s="41">
        <f>ROUND(Dot_ex($D281,$E281,$F281,$G281,$H281,$I281,$L281+SUM($N281:O281),F$115,F$117,F$117),2)</f>
        <v>0</v>
      </c>
      <c r="Q281" s="41">
        <f>ROUND(Dot_ex($D281,$E281,$F281,$G281,$H281,$I281,$L281+SUM($N281:P281),G$115,G$117,G$117),2)</f>
        <v>0</v>
      </c>
      <c r="R281" s="57">
        <f>ROUND(Dot_ex($D281,$E281,$F281,$G281,$H281,$I281,$L281+SUM($N281:Q281),H$115,H$117,H$117),2)</f>
        <v>0</v>
      </c>
      <c r="S281" s="57">
        <f>ROUND(Dot_ex($D281,$E281,$F281,$G281,$H281,$I281,$L281+SUM($N281:R281),I$115,I$117,I$117),2)</f>
        <v>0</v>
      </c>
      <c r="T281" s="57">
        <f>ROUND(Dot_ex($D281,$E281,$F281,$G281,$H281,$I281,$L281+SUM($N281:S281),J$115,J$117,J$117),2)</f>
        <v>0</v>
      </c>
      <c r="U281" s="57">
        <f>ROUND(Dot_ex($D281,$E281,$F281,$G281,$H281,$I281,$L281+SUM($N281:T281),K$115,K$117,K$117),2)</f>
        <v>0</v>
      </c>
      <c r="V281" s="57">
        <f>ROUND(Dot_ex($D281,$E281,$F281,$G281,$H281,$I281,$L281+SUM($N281:U281),L$115,L$117,L$117),2)</f>
        <v>0</v>
      </c>
      <c r="W281" s="57">
        <f>ROUND(Dot_ex($D281,$E281,$F281,$G281,$H281,$I281,$L281+SUM($N281:V281),M$115,M$117,M$117),2)</f>
        <v>0</v>
      </c>
    </row>
    <row r="282" spans="1:23" x14ac:dyDescent="0.2">
      <c r="A282" s="107">
        <f t="shared" ca="1" si="40"/>
        <v>76</v>
      </c>
      <c r="B282" s="1" t="s">
        <v>180</v>
      </c>
      <c r="C282" s="1" t="s">
        <v>8</v>
      </c>
      <c r="D282" s="77">
        <v>37159</v>
      </c>
      <c r="E282" s="77">
        <v>37159</v>
      </c>
      <c r="F282" s="77"/>
      <c r="G282" s="8">
        <v>4605.18</v>
      </c>
      <c r="H282" s="1" t="s">
        <v>8</v>
      </c>
      <c r="I282" s="78">
        <v>5</v>
      </c>
      <c r="J282" s="8">
        <v>4605.18</v>
      </c>
      <c r="K282" s="8">
        <f t="shared" si="41"/>
        <v>0</v>
      </c>
      <c r="L282" s="8">
        <f t="shared" si="42"/>
        <v>4605.18</v>
      </c>
      <c r="M282" s="57">
        <f t="shared" si="43"/>
        <v>0</v>
      </c>
      <c r="N282" s="41">
        <f t="shared" si="39"/>
        <v>0</v>
      </c>
      <c r="O282" s="41">
        <f>ROUND(Dot_ex($D282,$E282,$F282,$G282,$H282,$I282,$L282+SUM($N282:N282),E$115,E$117,E$117),2)</f>
        <v>0</v>
      </c>
      <c r="P282" s="41">
        <f>ROUND(Dot_ex($D282,$E282,$F282,$G282,$H282,$I282,$L282+SUM($N282:O282),F$115,F$117,F$117),2)</f>
        <v>0</v>
      </c>
      <c r="Q282" s="41">
        <f>ROUND(Dot_ex($D282,$E282,$F282,$G282,$H282,$I282,$L282+SUM($N282:P282),G$115,G$117,G$117),2)</f>
        <v>0</v>
      </c>
      <c r="R282" s="57">
        <f>ROUND(Dot_ex($D282,$E282,$F282,$G282,$H282,$I282,$L282+SUM($N282:Q282),H$115,H$117,H$117),2)</f>
        <v>0</v>
      </c>
      <c r="S282" s="57">
        <f>ROUND(Dot_ex($D282,$E282,$F282,$G282,$H282,$I282,$L282+SUM($N282:R282),I$115,I$117,I$117),2)</f>
        <v>0</v>
      </c>
      <c r="T282" s="57">
        <f>ROUND(Dot_ex($D282,$E282,$F282,$G282,$H282,$I282,$L282+SUM($N282:S282),J$115,J$117,J$117),2)</f>
        <v>0</v>
      </c>
      <c r="U282" s="57">
        <f>ROUND(Dot_ex($D282,$E282,$F282,$G282,$H282,$I282,$L282+SUM($N282:T282),K$115,K$117,K$117),2)</f>
        <v>0</v>
      </c>
      <c r="V282" s="57">
        <f>ROUND(Dot_ex($D282,$E282,$F282,$G282,$H282,$I282,$L282+SUM($N282:U282),L$115,L$117,L$117),2)</f>
        <v>0</v>
      </c>
      <c r="W282" s="57">
        <f>ROUND(Dot_ex($D282,$E282,$F282,$G282,$H282,$I282,$L282+SUM($N282:V282),M$115,M$117,M$117),2)</f>
        <v>0</v>
      </c>
    </row>
    <row r="283" spans="1:23" x14ac:dyDescent="0.2">
      <c r="A283" s="107">
        <f t="shared" ca="1" si="40"/>
        <v>77</v>
      </c>
      <c r="B283" s="1" t="s">
        <v>182</v>
      </c>
      <c r="C283" s="1" t="s">
        <v>8</v>
      </c>
      <c r="D283" s="77">
        <v>37313</v>
      </c>
      <c r="E283" s="77">
        <v>37313</v>
      </c>
      <c r="F283" s="77"/>
      <c r="G283" s="8">
        <v>1615.38</v>
      </c>
      <c r="H283" s="1" t="s">
        <v>8</v>
      </c>
      <c r="I283" s="78">
        <v>5</v>
      </c>
      <c r="J283" s="8">
        <v>1615.38</v>
      </c>
      <c r="K283" s="8">
        <f t="shared" si="41"/>
        <v>0</v>
      </c>
      <c r="L283" s="8">
        <f t="shared" si="42"/>
        <v>1615.38</v>
      </c>
      <c r="M283" s="57">
        <f t="shared" si="43"/>
        <v>0</v>
      </c>
      <c r="N283" s="41">
        <f t="shared" si="39"/>
        <v>0</v>
      </c>
      <c r="O283" s="41">
        <f>ROUND(Dot_ex($D283,$E283,$F283,$G283,$H283,$I283,$L283+SUM($N283:N283),E$115,E$117,E$117),2)</f>
        <v>0</v>
      </c>
      <c r="P283" s="41">
        <f>ROUND(Dot_ex($D283,$E283,$F283,$G283,$H283,$I283,$L283+SUM($N283:O283),F$115,F$117,F$117),2)</f>
        <v>0</v>
      </c>
      <c r="Q283" s="41">
        <f>ROUND(Dot_ex($D283,$E283,$F283,$G283,$H283,$I283,$L283+SUM($N283:P283),G$115,G$117,G$117),2)</f>
        <v>0</v>
      </c>
      <c r="R283" s="57">
        <f>ROUND(Dot_ex($D283,$E283,$F283,$G283,$H283,$I283,$L283+SUM($N283:Q283),H$115,H$117,H$117),2)</f>
        <v>0</v>
      </c>
      <c r="S283" s="57">
        <f>ROUND(Dot_ex($D283,$E283,$F283,$G283,$H283,$I283,$L283+SUM($N283:R283),I$115,I$117,I$117),2)</f>
        <v>0</v>
      </c>
      <c r="T283" s="57">
        <f>ROUND(Dot_ex($D283,$E283,$F283,$G283,$H283,$I283,$L283+SUM($N283:S283),J$115,J$117,J$117),2)</f>
        <v>0</v>
      </c>
      <c r="U283" s="57">
        <f>ROUND(Dot_ex($D283,$E283,$F283,$G283,$H283,$I283,$L283+SUM($N283:T283),K$115,K$117,K$117),2)</f>
        <v>0</v>
      </c>
      <c r="V283" s="57">
        <f>ROUND(Dot_ex($D283,$E283,$F283,$G283,$H283,$I283,$L283+SUM($N283:U283),L$115,L$117,L$117),2)</f>
        <v>0</v>
      </c>
      <c r="W283" s="57">
        <f>ROUND(Dot_ex($D283,$E283,$F283,$G283,$H283,$I283,$L283+SUM($N283:V283),M$115,M$117,M$117),2)</f>
        <v>0</v>
      </c>
    </row>
    <row r="284" spans="1:23" x14ac:dyDescent="0.2">
      <c r="A284" s="107">
        <f t="shared" ca="1" si="40"/>
        <v>78</v>
      </c>
      <c r="B284" s="1" t="s">
        <v>183</v>
      </c>
      <c r="C284" s="1" t="s">
        <v>8</v>
      </c>
      <c r="D284" s="77">
        <v>37319</v>
      </c>
      <c r="E284" s="77">
        <v>37319</v>
      </c>
      <c r="F284" s="77"/>
      <c r="G284" s="8">
        <v>2480.66</v>
      </c>
      <c r="H284" s="1" t="s">
        <v>8</v>
      </c>
      <c r="I284" s="78">
        <v>5</v>
      </c>
      <c r="J284" s="8">
        <v>2480.66</v>
      </c>
      <c r="K284" s="8">
        <f t="shared" si="41"/>
        <v>0</v>
      </c>
      <c r="L284" s="8">
        <f t="shared" si="42"/>
        <v>2480.66</v>
      </c>
      <c r="M284" s="57">
        <f t="shared" si="43"/>
        <v>0</v>
      </c>
      <c r="N284" s="41">
        <f t="shared" si="39"/>
        <v>0</v>
      </c>
      <c r="O284" s="41">
        <f>ROUND(Dot_ex($D284,$E284,$F284,$G284,$H284,$I284,$L284+SUM($N284:N284),E$115,E$117,E$117),2)</f>
        <v>0</v>
      </c>
      <c r="P284" s="41">
        <f>ROUND(Dot_ex($D284,$E284,$F284,$G284,$H284,$I284,$L284+SUM($N284:O284),F$115,F$117,F$117),2)</f>
        <v>0</v>
      </c>
      <c r="Q284" s="41">
        <f>ROUND(Dot_ex($D284,$E284,$F284,$G284,$H284,$I284,$L284+SUM($N284:P284),G$115,G$117,G$117),2)</f>
        <v>0</v>
      </c>
      <c r="R284" s="57">
        <f>ROUND(Dot_ex($D284,$E284,$F284,$G284,$H284,$I284,$L284+SUM($N284:Q284),H$115,H$117,H$117),2)</f>
        <v>0</v>
      </c>
      <c r="S284" s="57">
        <f>ROUND(Dot_ex($D284,$E284,$F284,$G284,$H284,$I284,$L284+SUM($N284:R284),I$115,I$117,I$117),2)</f>
        <v>0</v>
      </c>
      <c r="T284" s="57">
        <f>ROUND(Dot_ex($D284,$E284,$F284,$G284,$H284,$I284,$L284+SUM($N284:S284),J$115,J$117,J$117),2)</f>
        <v>0</v>
      </c>
      <c r="U284" s="57">
        <f>ROUND(Dot_ex($D284,$E284,$F284,$G284,$H284,$I284,$L284+SUM($N284:T284),K$115,K$117,K$117),2)</f>
        <v>0</v>
      </c>
      <c r="V284" s="57">
        <f>ROUND(Dot_ex($D284,$E284,$F284,$G284,$H284,$I284,$L284+SUM($N284:U284),L$115,L$117,L$117),2)</f>
        <v>0</v>
      </c>
      <c r="W284" s="57">
        <f>ROUND(Dot_ex($D284,$E284,$F284,$G284,$H284,$I284,$L284+SUM($N284:V284),M$115,M$117,M$117),2)</f>
        <v>0</v>
      </c>
    </row>
    <row r="285" spans="1:23" x14ac:dyDescent="0.2">
      <c r="A285" s="107">
        <f t="shared" ca="1" si="40"/>
        <v>79</v>
      </c>
      <c r="B285" s="1" t="s">
        <v>181</v>
      </c>
      <c r="C285" s="1" t="s">
        <v>8</v>
      </c>
      <c r="D285" s="77">
        <v>37333</v>
      </c>
      <c r="E285" s="77">
        <v>37333</v>
      </c>
      <c r="F285" s="77"/>
      <c r="G285" s="8">
        <v>56000</v>
      </c>
      <c r="H285" s="1" t="s">
        <v>8</v>
      </c>
      <c r="I285" s="78">
        <v>5</v>
      </c>
      <c r="J285" s="8">
        <v>56000</v>
      </c>
      <c r="K285" s="8">
        <f t="shared" si="41"/>
        <v>0</v>
      </c>
      <c r="L285" s="8">
        <f t="shared" si="42"/>
        <v>56000</v>
      </c>
      <c r="M285" s="57">
        <f t="shared" si="43"/>
        <v>0</v>
      </c>
      <c r="N285" s="41">
        <f t="shared" si="39"/>
        <v>0</v>
      </c>
      <c r="O285" s="41">
        <f>ROUND(Dot_ex($D285,$E285,$F285,$G285,$H285,$I285,$L285+SUM($N285:N285),E$115,E$117,E$117),2)</f>
        <v>0</v>
      </c>
      <c r="P285" s="41">
        <f>ROUND(Dot_ex($D285,$E285,$F285,$G285,$H285,$I285,$L285+SUM($N285:O285),F$115,F$117,F$117),2)</f>
        <v>0</v>
      </c>
      <c r="Q285" s="41">
        <f>ROUND(Dot_ex($D285,$E285,$F285,$G285,$H285,$I285,$L285+SUM($N285:P285),G$115,G$117,G$117),2)</f>
        <v>0</v>
      </c>
      <c r="R285" s="57">
        <f>ROUND(Dot_ex($D285,$E285,$F285,$G285,$H285,$I285,$L285+SUM($N285:Q285),H$115,H$117,H$117),2)</f>
        <v>0</v>
      </c>
      <c r="S285" s="57">
        <f>ROUND(Dot_ex($D285,$E285,$F285,$G285,$H285,$I285,$L285+SUM($N285:R285),I$115,I$117,I$117),2)</f>
        <v>0</v>
      </c>
      <c r="T285" s="57">
        <f>ROUND(Dot_ex($D285,$E285,$F285,$G285,$H285,$I285,$L285+SUM($N285:S285),J$115,J$117,J$117),2)</f>
        <v>0</v>
      </c>
      <c r="U285" s="57">
        <f>ROUND(Dot_ex($D285,$E285,$F285,$G285,$H285,$I285,$L285+SUM($N285:T285),K$115,K$117,K$117),2)</f>
        <v>0</v>
      </c>
      <c r="V285" s="57">
        <f>ROUND(Dot_ex($D285,$E285,$F285,$G285,$H285,$I285,$L285+SUM($N285:U285),L$115,L$117,L$117),2)</f>
        <v>0</v>
      </c>
      <c r="W285" s="57">
        <f>ROUND(Dot_ex($D285,$E285,$F285,$G285,$H285,$I285,$L285+SUM($N285:V285),M$115,M$117,M$117),2)</f>
        <v>0</v>
      </c>
    </row>
    <row r="286" spans="1:23" x14ac:dyDescent="0.2">
      <c r="A286" s="107">
        <f t="shared" ca="1" si="40"/>
        <v>80</v>
      </c>
      <c r="B286" s="1" t="s">
        <v>184</v>
      </c>
      <c r="C286" s="1" t="s">
        <v>8</v>
      </c>
      <c r="D286" s="77">
        <v>37358</v>
      </c>
      <c r="E286" s="77">
        <v>37358</v>
      </c>
      <c r="F286" s="77"/>
      <c r="G286" s="8">
        <v>1274.6600000000001</v>
      </c>
      <c r="H286" s="1" t="s">
        <v>8</v>
      </c>
      <c r="I286" s="78">
        <v>5</v>
      </c>
      <c r="J286" s="8">
        <v>1274.6600000000001</v>
      </c>
      <c r="K286" s="8">
        <f t="shared" si="41"/>
        <v>0</v>
      </c>
      <c r="L286" s="8">
        <f t="shared" si="42"/>
        <v>1274.6600000000001</v>
      </c>
      <c r="M286" s="57">
        <f t="shared" si="43"/>
        <v>0</v>
      </c>
      <c r="N286" s="41">
        <f t="shared" si="39"/>
        <v>0</v>
      </c>
      <c r="O286" s="41">
        <f>ROUND(Dot_ex($D286,$E286,$F286,$G286,$H286,$I286,$L286+SUM($N286:N286),E$115,E$117,E$117),2)</f>
        <v>0</v>
      </c>
      <c r="P286" s="41">
        <f>ROUND(Dot_ex($D286,$E286,$F286,$G286,$H286,$I286,$L286+SUM($N286:O286),F$115,F$117,F$117),2)</f>
        <v>0</v>
      </c>
      <c r="Q286" s="41">
        <f>ROUND(Dot_ex($D286,$E286,$F286,$G286,$H286,$I286,$L286+SUM($N286:P286),G$115,G$117,G$117),2)</f>
        <v>0</v>
      </c>
      <c r="R286" s="57">
        <f>ROUND(Dot_ex($D286,$E286,$F286,$G286,$H286,$I286,$L286+SUM($N286:Q286),H$115,H$117,H$117),2)</f>
        <v>0</v>
      </c>
      <c r="S286" s="57">
        <f>ROUND(Dot_ex($D286,$E286,$F286,$G286,$H286,$I286,$L286+SUM($N286:R286),I$115,I$117,I$117),2)</f>
        <v>0</v>
      </c>
      <c r="T286" s="57">
        <f>ROUND(Dot_ex($D286,$E286,$F286,$G286,$H286,$I286,$L286+SUM($N286:S286),J$115,J$117,J$117),2)</f>
        <v>0</v>
      </c>
      <c r="U286" s="57">
        <f>ROUND(Dot_ex($D286,$E286,$F286,$G286,$H286,$I286,$L286+SUM($N286:T286),K$115,K$117,K$117),2)</f>
        <v>0</v>
      </c>
      <c r="V286" s="57">
        <f>ROUND(Dot_ex($D286,$E286,$F286,$G286,$H286,$I286,$L286+SUM($N286:U286),L$115,L$117,L$117),2)</f>
        <v>0</v>
      </c>
      <c r="W286" s="57">
        <f>ROUND(Dot_ex($D286,$E286,$F286,$G286,$H286,$I286,$L286+SUM($N286:V286),M$115,M$117,M$117),2)</f>
        <v>0</v>
      </c>
    </row>
    <row r="287" spans="1:23" x14ac:dyDescent="0.2">
      <c r="A287" s="107">
        <f t="shared" ca="1" si="40"/>
        <v>81</v>
      </c>
      <c r="B287" s="1" t="s">
        <v>185</v>
      </c>
      <c r="C287" s="1" t="s">
        <v>8</v>
      </c>
      <c r="D287" s="77">
        <v>37365</v>
      </c>
      <c r="E287" s="77">
        <v>37365</v>
      </c>
      <c r="F287" s="77"/>
      <c r="G287" s="8">
        <v>3513</v>
      </c>
      <c r="H287" s="1" t="s">
        <v>8</v>
      </c>
      <c r="I287" s="78">
        <v>5</v>
      </c>
      <c r="J287" s="8">
        <v>3513</v>
      </c>
      <c r="K287" s="8">
        <f t="shared" si="41"/>
        <v>0</v>
      </c>
      <c r="L287" s="8">
        <f t="shared" si="42"/>
        <v>3513</v>
      </c>
      <c r="M287" s="57">
        <f t="shared" si="43"/>
        <v>0</v>
      </c>
      <c r="N287" s="41">
        <f t="shared" si="39"/>
        <v>0</v>
      </c>
      <c r="O287" s="41">
        <f>ROUND(Dot_ex($D287,$E287,$F287,$G287,$H287,$I287,$L287+SUM($N287:N287),E$115,E$117,E$117),2)</f>
        <v>0</v>
      </c>
      <c r="P287" s="41">
        <f>ROUND(Dot_ex($D287,$E287,$F287,$G287,$H287,$I287,$L287+SUM($N287:O287),F$115,F$117,F$117),2)</f>
        <v>0</v>
      </c>
      <c r="Q287" s="41">
        <f>ROUND(Dot_ex($D287,$E287,$F287,$G287,$H287,$I287,$L287+SUM($N287:P287),G$115,G$117,G$117),2)</f>
        <v>0</v>
      </c>
      <c r="R287" s="57">
        <f>ROUND(Dot_ex($D287,$E287,$F287,$G287,$H287,$I287,$L287+SUM($N287:Q287),H$115,H$117,H$117),2)</f>
        <v>0</v>
      </c>
      <c r="S287" s="57">
        <f>ROUND(Dot_ex($D287,$E287,$F287,$G287,$H287,$I287,$L287+SUM($N287:R287),I$115,I$117,I$117),2)</f>
        <v>0</v>
      </c>
      <c r="T287" s="57">
        <f>ROUND(Dot_ex($D287,$E287,$F287,$G287,$H287,$I287,$L287+SUM($N287:S287),J$115,J$117,J$117),2)</f>
        <v>0</v>
      </c>
      <c r="U287" s="57">
        <f>ROUND(Dot_ex($D287,$E287,$F287,$G287,$H287,$I287,$L287+SUM($N287:T287),K$115,K$117,K$117),2)</f>
        <v>0</v>
      </c>
      <c r="V287" s="57">
        <f>ROUND(Dot_ex($D287,$E287,$F287,$G287,$H287,$I287,$L287+SUM($N287:U287),L$115,L$117,L$117),2)</f>
        <v>0</v>
      </c>
      <c r="W287" s="57">
        <f>ROUND(Dot_ex($D287,$E287,$F287,$G287,$H287,$I287,$L287+SUM($N287:V287),M$115,M$117,M$117),2)</f>
        <v>0</v>
      </c>
    </row>
    <row r="288" spans="1:23" x14ac:dyDescent="0.2">
      <c r="A288" s="107">
        <f t="shared" ca="1" si="40"/>
        <v>82</v>
      </c>
      <c r="B288" s="1" t="s">
        <v>186</v>
      </c>
      <c r="C288" s="1" t="s">
        <v>8</v>
      </c>
      <c r="D288" s="77">
        <v>37403</v>
      </c>
      <c r="E288" s="77">
        <v>37403</v>
      </c>
      <c r="F288" s="77"/>
      <c r="G288" s="8">
        <v>865</v>
      </c>
      <c r="H288" s="1" t="s">
        <v>8</v>
      </c>
      <c r="I288" s="78">
        <v>5</v>
      </c>
      <c r="J288" s="8">
        <v>865</v>
      </c>
      <c r="K288" s="8">
        <f t="shared" si="41"/>
        <v>0</v>
      </c>
      <c r="L288" s="8">
        <f t="shared" si="42"/>
        <v>865</v>
      </c>
      <c r="M288" s="57">
        <f t="shared" si="43"/>
        <v>0</v>
      </c>
      <c r="N288" s="41">
        <f t="shared" si="39"/>
        <v>0</v>
      </c>
      <c r="O288" s="41">
        <f>ROUND(Dot_ex($D288,$E288,$F288,$G288,$H288,$I288,$L288+SUM($N288:N288),E$115,E$117,E$117),2)</f>
        <v>0</v>
      </c>
      <c r="P288" s="41">
        <f>ROUND(Dot_ex($D288,$E288,$F288,$G288,$H288,$I288,$L288+SUM($N288:O288),F$115,F$117,F$117),2)</f>
        <v>0</v>
      </c>
      <c r="Q288" s="41">
        <f>ROUND(Dot_ex($D288,$E288,$F288,$G288,$H288,$I288,$L288+SUM($N288:P288),G$115,G$117,G$117),2)</f>
        <v>0</v>
      </c>
      <c r="R288" s="57">
        <f>ROUND(Dot_ex($D288,$E288,$F288,$G288,$H288,$I288,$L288+SUM($N288:Q288),H$115,H$117,H$117),2)</f>
        <v>0</v>
      </c>
      <c r="S288" s="57">
        <f>ROUND(Dot_ex($D288,$E288,$F288,$G288,$H288,$I288,$L288+SUM($N288:R288),I$115,I$117,I$117),2)</f>
        <v>0</v>
      </c>
      <c r="T288" s="57">
        <f>ROUND(Dot_ex($D288,$E288,$F288,$G288,$H288,$I288,$L288+SUM($N288:S288),J$115,J$117,J$117),2)</f>
        <v>0</v>
      </c>
      <c r="U288" s="57">
        <f>ROUND(Dot_ex($D288,$E288,$F288,$G288,$H288,$I288,$L288+SUM($N288:T288),K$115,K$117,K$117),2)</f>
        <v>0</v>
      </c>
      <c r="V288" s="57">
        <f>ROUND(Dot_ex($D288,$E288,$F288,$G288,$H288,$I288,$L288+SUM($N288:U288),L$115,L$117,L$117),2)</f>
        <v>0</v>
      </c>
      <c r="W288" s="57">
        <f>ROUND(Dot_ex($D288,$E288,$F288,$G288,$H288,$I288,$L288+SUM($N288:V288),M$115,M$117,M$117),2)</f>
        <v>0</v>
      </c>
    </row>
    <row r="289" spans="1:23" x14ac:dyDescent="0.2">
      <c r="A289" s="107">
        <f t="shared" ca="1" si="40"/>
        <v>83</v>
      </c>
      <c r="B289" s="1" t="s">
        <v>187</v>
      </c>
      <c r="C289" s="1" t="s">
        <v>8</v>
      </c>
      <c r="D289" s="77">
        <v>37406</v>
      </c>
      <c r="E289" s="77">
        <v>37406</v>
      </c>
      <c r="F289" s="77"/>
      <c r="G289" s="8">
        <v>2585.94</v>
      </c>
      <c r="H289" s="1" t="s">
        <v>8</v>
      </c>
      <c r="I289" s="78">
        <v>5</v>
      </c>
      <c r="J289" s="8">
        <v>2585.94</v>
      </c>
      <c r="K289" s="8">
        <f t="shared" si="41"/>
        <v>0</v>
      </c>
      <c r="L289" s="8">
        <f t="shared" si="42"/>
        <v>2585.94</v>
      </c>
      <c r="M289" s="57">
        <f t="shared" si="43"/>
        <v>0</v>
      </c>
      <c r="N289" s="41">
        <f t="shared" si="39"/>
        <v>0</v>
      </c>
      <c r="O289" s="41">
        <f>ROUND(Dot_ex($D289,$E289,$F289,$G289,$H289,$I289,$L289+SUM($N289:N289),E$115,E$117,E$117),2)</f>
        <v>0</v>
      </c>
      <c r="P289" s="41">
        <f>ROUND(Dot_ex($D289,$E289,$F289,$G289,$H289,$I289,$L289+SUM($N289:O289),F$115,F$117,F$117),2)</f>
        <v>0</v>
      </c>
      <c r="Q289" s="41">
        <f>ROUND(Dot_ex($D289,$E289,$F289,$G289,$H289,$I289,$L289+SUM($N289:P289),G$115,G$117,G$117),2)</f>
        <v>0</v>
      </c>
      <c r="R289" s="57">
        <f>ROUND(Dot_ex($D289,$E289,$F289,$G289,$H289,$I289,$L289+SUM($N289:Q289),H$115,H$117,H$117),2)</f>
        <v>0</v>
      </c>
      <c r="S289" s="57">
        <f>ROUND(Dot_ex($D289,$E289,$F289,$G289,$H289,$I289,$L289+SUM($N289:R289),I$115,I$117,I$117),2)</f>
        <v>0</v>
      </c>
      <c r="T289" s="57">
        <f>ROUND(Dot_ex($D289,$E289,$F289,$G289,$H289,$I289,$L289+SUM($N289:S289),J$115,J$117,J$117),2)</f>
        <v>0</v>
      </c>
      <c r="U289" s="57">
        <f>ROUND(Dot_ex($D289,$E289,$F289,$G289,$H289,$I289,$L289+SUM($N289:T289),K$115,K$117,K$117),2)</f>
        <v>0</v>
      </c>
      <c r="V289" s="57">
        <f>ROUND(Dot_ex($D289,$E289,$F289,$G289,$H289,$I289,$L289+SUM($N289:U289),L$115,L$117,L$117),2)</f>
        <v>0</v>
      </c>
      <c r="W289" s="57">
        <f>ROUND(Dot_ex($D289,$E289,$F289,$G289,$H289,$I289,$L289+SUM($N289:V289),M$115,M$117,M$117),2)</f>
        <v>0</v>
      </c>
    </row>
    <row r="290" spans="1:23" x14ac:dyDescent="0.2">
      <c r="A290" s="107">
        <f t="shared" ca="1" si="40"/>
        <v>84</v>
      </c>
      <c r="B290" s="1" t="s">
        <v>188</v>
      </c>
      <c r="C290" s="1" t="s">
        <v>8</v>
      </c>
      <c r="D290" s="77">
        <v>37414</v>
      </c>
      <c r="E290" s="77">
        <v>37414</v>
      </c>
      <c r="F290" s="77"/>
      <c r="G290" s="8">
        <v>7257.74</v>
      </c>
      <c r="H290" s="1" t="s">
        <v>8</v>
      </c>
      <c r="I290" s="78">
        <v>5</v>
      </c>
      <c r="J290" s="8">
        <v>7257.74</v>
      </c>
      <c r="K290" s="8">
        <f t="shared" si="41"/>
        <v>0</v>
      </c>
      <c r="L290" s="8">
        <f t="shared" si="42"/>
        <v>7257.74</v>
      </c>
      <c r="M290" s="57">
        <f t="shared" si="43"/>
        <v>0</v>
      </c>
      <c r="N290" s="41">
        <f t="shared" si="39"/>
        <v>0</v>
      </c>
      <c r="O290" s="41">
        <f>ROUND(Dot_ex($D290,$E290,$F290,$G290,$H290,$I290,$L290+SUM($N290:N290),E$115,E$117,E$117),2)</f>
        <v>0</v>
      </c>
      <c r="P290" s="41">
        <f>ROUND(Dot_ex($D290,$E290,$F290,$G290,$H290,$I290,$L290+SUM($N290:O290),F$115,F$117,F$117),2)</f>
        <v>0</v>
      </c>
      <c r="Q290" s="41">
        <f>ROUND(Dot_ex($D290,$E290,$F290,$G290,$H290,$I290,$L290+SUM($N290:P290),G$115,G$117,G$117),2)</f>
        <v>0</v>
      </c>
      <c r="R290" s="57">
        <f>ROUND(Dot_ex($D290,$E290,$F290,$G290,$H290,$I290,$L290+SUM($N290:Q290),H$115,H$117,H$117),2)</f>
        <v>0</v>
      </c>
      <c r="S290" s="57">
        <f>ROUND(Dot_ex($D290,$E290,$F290,$G290,$H290,$I290,$L290+SUM($N290:R290),I$115,I$117,I$117),2)</f>
        <v>0</v>
      </c>
      <c r="T290" s="57">
        <f>ROUND(Dot_ex($D290,$E290,$F290,$G290,$H290,$I290,$L290+SUM($N290:S290),J$115,J$117,J$117),2)</f>
        <v>0</v>
      </c>
      <c r="U290" s="57">
        <f>ROUND(Dot_ex($D290,$E290,$F290,$G290,$H290,$I290,$L290+SUM($N290:T290),K$115,K$117,K$117),2)</f>
        <v>0</v>
      </c>
      <c r="V290" s="57">
        <f>ROUND(Dot_ex($D290,$E290,$F290,$G290,$H290,$I290,$L290+SUM($N290:U290),L$115,L$117,L$117),2)</f>
        <v>0</v>
      </c>
      <c r="W290" s="57">
        <f>ROUND(Dot_ex($D290,$E290,$F290,$G290,$H290,$I290,$L290+SUM($N290:V290),M$115,M$117,M$117),2)</f>
        <v>0</v>
      </c>
    </row>
    <row r="291" spans="1:23" x14ac:dyDescent="0.2">
      <c r="A291" s="107">
        <f t="shared" ca="1" si="40"/>
        <v>85</v>
      </c>
      <c r="B291" s="1" t="s">
        <v>189</v>
      </c>
      <c r="C291" s="1" t="s">
        <v>8</v>
      </c>
      <c r="D291" s="77">
        <v>37414</v>
      </c>
      <c r="E291" s="77">
        <v>37414</v>
      </c>
      <c r="F291" s="77"/>
      <c r="G291" s="8">
        <v>19000</v>
      </c>
      <c r="H291" s="1" t="s">
        <v>8</v>
      </c>
      <c r="I291" s="78">
        <v>5</v>
      </c>
      <c r="J291" s="8">
        <v>19000</v>
      </c>
      <c r="K291" s="8">
        <f t="shared" si="41"/>
        <v>0</v>
      </c>
      <c r="L291" s="8">
        <f t="shared" si="42"/>
        <v>19000</v>
      </c>
      <c r="M291" s="57">
        <f t="shared" si="43"/>
        <v>0</v>
      </c>
      <c r="N291" s="41">
        <f t="shared" si="39"/>
        <v>0</v>
      </c>
      <c r="O291" s="41">
        <f>ROUND(Dot_ex($D291,$E291,$F291,$G291,$H291,$I291,$L291+SUM($N291:N291),E$115,E$117,E$117),2)</f>
        <v>0</v>
      </c>
      <c r="P291" s="41">
        <f>ROUND(Dot_ex($D291,$E291,$F291,$G291,$H291,$I291,$L291+SUM($N291:O291),F$115,F$117,F$117),2)</f>
        <v>0</v>
      </c>
      <c r="Q291" s="41">
        <f>ROUND(Dot_ex($D291,$E291,$F291,$G291,$H291,$I291,$L291+SUM($N291:P291),G$115,G$117,G$117),2)</f>
        <v>0</v>
      </c>
      <c r="R291" s="57">
        <f>ROUND(Dot_ex($D291,$E291,$F291,$G291,$H291,$I291,$L291+SUM($N291:Q291),H$115,H$117,H$117),2)</f>
        <v>0</v>
      </c>
      <c r="S291" s="57">
        <f>ROUND(Dot_ex($D291,$E291,$F291,$G291,$H291,$I291,$L291+SUM($N291:R291),I$115,I$117,I$117),2)</f>
        <v>0</v>
      </c>
      <c r="T291" s="57">
        <f>ROUND(Dot_ex($D291,$E291,$F291,$G291,$H291,$I291,$L291+SUM($N291:S291),J$115,J$117,J$117),2)</f>
        <v>0</v>
      </c>
      <c r="U291" s="57">
        <f>ROUND(Dot_ex($D291,$E291,$F291,$G291,$H291,$I291,$L291+SUM($N291:T291),K$115,K$117,K$117),2)</f>
        <v>0</v>
      </c>
      <c r="V291" s="57">
        <f>ROUND(Dot_ex($D291,$E291,$F291,$G291,$H291,$I291,$L291+SUM($N291:U291),L$115,L$117,L$117),2)</f>
        <v>0</v>
      </c>
      <c r="W291" s="57">
        <f>ROUND(Dot_ex($D291,$E291,$F291,$G291,$H291,$I291,$L291+SUM($N291:V291),M$115,M$117,M$117),2)</f>
        <v>0</v>
      </c>
    </row>
    <row r="292" spans="1:23" x14ac:dyDescent="0.2">
      <c r="A292" s="107">
        <f t="shared" ca="1" si="40"/>
        <v>86</v>
      </c>
      <c r="B292" s="1" t="s">
        <v>218</v>
      </c>
      <c r="C292" s="1" t="s">
        <v>8</v>
      </c>
      <c r="D292" s="77">
        <v>37529</v>
      </c>
      <c r="E292" s="77">
        <v>37529</v>
      </c>
      <c r="F292" s="77"/>
      <c r="G292" s="8">
        <v>3258.95</v>
      </c>
      <c r="H292" s="1" t="s">
        <v>8</v>
      </c>
      <c r="I292" s="78">
        <v>5</v>
      </c>
      <c r="J292" s="8">
        <v>3258.95</v>
      </c>
      <c r="K292" s="8">
        <f t="shared" si="41"/>
        <v>0</v>
      </c>
      <c r="L292" s="8">
        <f t="shared" si="42"/>
        <v>3258.95</v>
      </c>
      <c r="M292" s="57">
        <f t="shared" si="43"/>
        <v>0</v>
      </c>
      <c r="N292" s="41">
        <f t="shared" si="39"/>
        <v>0</v>
      </c>
      <c r="O292" s="41">
        <f>ROUND(Dot_ex($D292,$E292,$F292,$G292,$H292,$I292,$L292+SUM($N292:N292),E$115,E$117,E$117),2)</f>
        <v>0</v>
      </c>
      <c r="P292" s="41">
        <f>ROUND(Dot_ex($D292,$E292,$F292,$G292,$H292,$I292,$L292+SUM($N292:O292),F$115,F$117,F$117),2)</f>
        <v>0</v>
      </c>
      <c r="Q292" s="41">
        <f>ROUND(Dot_ex($D292,$E292,$F292,$G292,$H292,$I292,$L292+SUM($N292:P292),G$115,G$117,G$117),2)</f>
        <v>0</v>
      </c>
      <c r="R292" s="57">
        <f>ROUND(Dot_ex($D292,$E292,$F292,$G292,$H292,$I292,$L292+SUM($N292:Q292),H$115,H$117,H$117),2)</f>
        <v>0</v>
      </c>
      <c r="S292" s="57">
        <f>ROUND(Dot_ex($D292,$E292,$F292,$G292,$H292,$I292,$L292+SUM($N292:R292),I$115,I$117,I$117),2)</f>
        <v>0</v>
      </c>
      <c r="T292" s="57">
        <f>ROUND(Dot_ex($D292,$E292,$F292,$G292,$H292,$I292,$L292+SUM($N292:S292),J$115,J$117,J$117),2)</f>
        <v>0</v>
      </c>
      <c r="U292" s="57">
        <f>ROUND(Dot_ex($D292,$E292,$F292,$G292,$H292,$I292,$L292+SUM($N292:T292),K$115,K$117,K$117),2)</f>
        <v>0</v>
      </c>
      <c r="V292" s="57">
        <f>ROUND(Dot_ex($D292,$E292,$F292,$G292,$H292,$I292,$L292+SUM($N292:U292),L$115,L$117,L$117),2)</f>
        <v>0</v>
      </c>
      <c r="W292" s="57">
        <f>ROUND(Dot_ex($D292,$E292,$F292,$G292,$H292,$I292,$L292+SUM($N292:V292),M$115,M$117,M$117),2)</f>
        <v>0</v>
      </c>
    </row>
    <row r="293" spans="1:23" x14ac:dyDescent="0.2">
      <c r="A293" s="107">
        <f t="shared" ca="1" si="40"/>
        <v>87</v>
      </c>
      <c r="B293" s="1" t="s">
        <v>220</v>
      </c>
      <c r="C293" s="1" t="s">
        <v>8</v>
      </c>
      <c r="D293" s="77">
        <v>37627</v>
      </c>
      <c r="E293" s="77">
        <v>37627</v>
      </c>
      <c r="F293" s="77"/>
      <c r="G293" s="8">
        <v>1291.29</v>
      </c>
      <c r="H293" s="1" t="s">
        <v>8</v>
      </c>
      <c r="I293" s="78">
        <v>5</v>
      </c>
      <c r="J293" s="8">
        <v>1291.29</v>
      </c>
      <c r="K293" s="8">
        <f t="shared" si="41"/>
        <v>0</v>
      </c>
      <c r="L293" s="8">
        <f t="shared" si="42"/>
        <v>1291.29</v>
      </c>
      <c r="M293" s="57">
        <f t="shared" si="43"/>
        <v>0</v>
      </c>
      <c r="N293" s="41">
        <f t="shared" si="39"/>
        <v>0</v>
      </c>
      <c r="O293" s="41">
        <f>ROUND(Dot_ex($D293,$E293,$F293,$G293,$H293,$I293,$L293+SUM($N293:N293),E$115,E$117,E$117),2)</f>
        <v>0</v>
      </c>
      <c r="P293" s="41">
        <f>ROUND(Dot_ex($D293,$E293,$F293,$G293,$H293,$I293,$L293+SUM($N293:O293),F$115,F$117,F$117),2)</f>
        <v>0</v>
      </c>
      <c r="Q293" s="41">
        <f>ROUND(Dot_ex($D293,$E293,$F293,$G293,$H293,$I293,$L293+SUM($N293:P293),G$115,G$117,G$117),2)</f>
        <v>0</v>
      </c>
      <c r="R293" s="57">
        <f>ROUND(Dot_ex($D293,$E293,$F293,$G293,$H293,$I293,$L293+SUM($N293:Q293),H$115,H$117,H$117),2)</f>
        <v>0</v>
      </c>
      <c r="S293" s="57">
        <f>ROUND(Dot_ex($D293,$E293,$F293,$G293,$H293,$I293,$L293+SUM($N293:R293),I$115,I$117,I$117),2)</f>
        <v>0</v>
      </c>
      <c r="T293" s="57">
        <f>ROUND(Dot_ex($D293,$E293,$F293,$G293,$H293,$I293,$L293+SUM($N293:S293),J$115,J$117,J$117),2)</f>
        <v>0</v>
      </c>
      <c r="U293" s="57">
        <f>ROUND(Dot_ex($D293,$E293,$F293,$G293,$H293,$I293,$L293+SUM($N293:T293),K$115,K$117,K$117),2)</f>
        <v>0</v>
      </c>
      <c r="V293" s="57">
        <f>ROUND(Dot_ex($D293,$E293,$F293,$G293,$H293,$I293,$L293+SUM($N293:U293),L$115,L$117,L$117),2)</f>
        <v>0</v>
      </c>
      <c r="W293" s="57">
        <f>ROUND(Dot_ex($D293,$E293,$F293,$G293,$H293,$I293,$L293+SUM($N293:V293),M$115,M$117,M$117),2)</f>
        <v>0</v>
      </c>
    </row>
    <row r="294" spans="1:23" x14ac:dyDescent="0.2">
      <c r="A294" s="107">
        <f t="shared" ca="1" si="40"/>
        <v>88</v>
      </c>
      <c r="B294" s="1" t="s">
        <v>219</v>
      </c>
      <c r="C294" s="1" t="s">
        <v>8</v>
      </c>
      <c r="D294" s="77">
        <v>37635</v>
      </c>
      <c r="E294" s="77">
        <v>37635</v>
      </c>
      <c r="F294" s="77"/>
      <c r="G294" s="8">
        <v>1812.8</v>
      </c>
      <c r="H294" s="1" t="s">
        <v>8</v>
      </c>
      <c r="I294" s="78">
        <v>5</v>
      </c>
      <c r="J294" s="8">
        <v>1812.8</v>
      </c>
      <c r="K294" s="8">
        <f t="shared" si="41"/>
        <v>0</v>
      </c>
      <c r="L294" s="8">
        <f t="shared" si="42"/>
        <v>1812.8</v>
      </c>
      <c r="M294" s="57">
        <f t="shared" si="43"/>
        <v>0</v>
      </c>
      <c r="N294" s="41">
        <f t="shared" si="39"/>
        <v>0</v>
      </c>
      <c r="O294" s="41">
        <f>ROUND(Dot_ex($D294,$E294,$F294,$G294,$H294,$I294,$L294+SUM($N294:N294),E$115,E$117,E$117),2)</f>
        <v>0</v>
      </c>
      <c r="P294" s="41">
        <f>ROUND(Dot_ex($D294,$E294,$F294,$G294,$H294,$I294,$L294+SUM($N294:O294),F$115,F$117,F$117),2)</f>
        <v>0</v>
      </c>
      <c r="Q294" s="41">
        <f>ROUND(Dot_ex($D294,$E294,$F294,$G294,$H294,$I294,$L294+SUM($N294:P294),G$115,G$117,G$117),2)</f>
        <v>0</v>
      </c>
      <c r="R294" s="57">
        <f>ROUND(Dot_ex($D294,$E294,$F294,$G294,$H294,$I294,$L294+SUM($N294:Q294),H$115,H$117,H$117),2)</f>
        <v>0</v>
      </c>
      <c r="S294" s="57">
        <f>ROUND(Dot_ex($D294,$E294,$F294,$G294,$H294,$I294,$L294+SUM($N294:R294),I$115,I$117,I$117),2)</f>
        <v>0</v>
      </c>
      <c r="T294" s="57">
        <f>ROUND(Dot_ex($D294,$E294,$F294,$G294,$H294,$I294,$L294+SUM($N294:S294),J$115,J$117,J$117),2)</f>
        <v>0</v>
      </c>
      <c r="U294" s="57">
        <f>ROUND(Dot_ex($D294,$E294,$F294,$G294,$H294,$I294,$L294+SUM($N294:T294),K$115,K$117,K$117),2)</f>
        <v>0</v>
      </c>
      <c r="V294" s="57">
        <f>ROUND(Dot_ex($D294,$E294,$F294,$G294,$H294,$I294,$L294+SUM($N294:U294),L$115,L$117,L$117),2)</f>
        <v>0</v>
      </c>
      <c r="W294" s="57">
        <f>ROUND(Dot_ex($D294,$E294,$F294,$G294,$H294,$I294,$L294+SUM($N294:V294),M$115,M$117,M$117),2)</f>
        <v>0</v>
      </c>
    </row>
    <row r="295" spans="1:23" x14ac:dyDescent="0.2">
      <c r="A295" s="107">
        <f t="shared" ca="1" si="40"/>
        <v>89</v>
      </c>
      <c r="B295" s="1" t="s">
        <v>222</v>
      </c>
      <c r="C295" s="1" t="s">
        <v>8</v>
      </c>
      <c r="D295" s="77">
        <v>37672</v>
      </c>
      <c r="E295" s="77">
        <v>37672</v>
      </c>
      <c r="F295" s="77"/>
      <c r="G295" s="8">
        <v>2975</v>
      </c>
      <c r="H295" s="1" t="s">
        <v>8</v>
      </c>
      <c r="I295" s="78">
        <v>5</v>
      </c>
      <c r="J295" s="8">
        <v>2975</v>
      </c>
      <c r="K295" s="8">
        <f t="shared" si="41"/>
        <v>0</v>
      </c>
      <c r="L295" s="8">
        <f t="shared" si="42"/>
        <v>2975</v>
      </c>
      <c r="M295" s="57">
        <f t="shared" si="43"/>
        <v>0</v>
      </c>
      <c r="N295" s="41">
        <f t="shared" si="39"/>
        <v>0</v>
      </c>
      <c r="O295" s="41">
        <f>ROUND(Dot_ex($D295,$E295,$F295,$G295,$H295,$I295,$L295+SUM($N295:N295),E$115,E$117,E$117),2)</f>
        <v>0</v>
      </c>
      <c r="P295" s="41">
        <f>ROUND(Dot_ex($D295,$E295,$F295,$G295,$H295,$I295,$L295+SUM($N295:O295),F$115,F$117,F$117),2)</f>
        <v>0</v>
      </c>
      <c r="Q295" s="41">
        <f>ROUND(Dot_ex($D295,$E295,$F295,$G295,$H295,$I295,$L295+SUM($N295:P295),G$115,G$117,G$117),2)</f>
        <v>0</v>
      </c>
      <c r="R295" s="57">
        <f>ROUND(Dot_ex($D295,$E295,$F295,$G295,$H295,$I295,$L295+SUM($N295:Q295),H$115,H$117,H$117),2)</f>
        <v>0</v>
      </c>
      <c r="S295" s="57">
        <f>ROUND(Dot_ex($D295,$E295,$F295,$G295,$H295,$I295,$L295+SUM($N295:R295),I$115,I$117,I$117),2)</f>
        <v>0</v>
      </c>
      <c r="T295" s="57">
        <f>ROUND(Dot_ex($D295,$E295,$F295,$G295,$H295,$I295,$L295+SUM($N295:S295),J$115,J$117,J$117),2)</f>
        <v>0</v>
      </c>
      <c r="U295" s="57">
        <f>ROUND(Dot_ex($D295,$E295,$F295,$G295,$H295,$I295,$L295+SUM($N295:T295),K$115,K$117,K$117),2)</f>
        <v>0</v>
      </c>
      <c r="V295" s="57">
        <f>ROUND(Dot_ex($D295,$E295,$F295,$G295,$H295,$I295,$L295+SUM($N295:U295),L$115,L$117,L$117),2)</f>
        <v>0</v>
      </c>
      <c r="W295" s="57">
        <f>ROUND(Dot_ex($D295,$E295,$F295,$G295,$H295,$I295,$L295+SUM($N295:V295),M$115,M$117,M$117),2)</f>
        <v>0</v>
      </c>
    </row>
    <row r="296" spans="1:23" x14ac:dyDescent="0.2">
      <c r="A296" s="107">
        <f t="shared" ca="1" si="40"/>
        <v>90</v>
      </c>
      <c r="B296" s="1" t="s">
        <v>221</v>
      </c>
      <c r="C296" s="1" t="s">
        <v>8</v>
      </c>
      <c r="D296" s="77">
        <v>37693</v>
      </c>
      <c r="E296" s="77">
        <v>37693</v>
      </c>
      <c r="F296" s="77"/>
      <c r="G296" s="8">
        <v>5764</v>
      </c>
      <c r="H296" s="1" t="s">
        <v>8</v>
      </c>
      <c r="I296" s="78">
        <v>5</v>
      </c>
      <c r="J296" s="8">
        <v>5764</v>
      </c>
      <c r="K296" s="8">
        <f t="shared" si="41"/>
        <v>0</v>
      </c>
      <c r="L296" s="8">
        <f t="shared" si="42"/>
        <v>5764</v>
      </c>
      <c r="M296" s="57">
        <f t="shared" si="43"/>
        <v>0</v>
      </c>
      <c r="N296" s="41">
        <f t="shared" si="39"/>
        <v>0</v>
      </c>
      <c r="O296" s="41">
        <f>ROUND(Dot_ex($D296,$E296,$F296,$G296,$H296,$I296,$L296+SUM($N296:N296),E$115,E$117,E$117),2)</f>
        <v>0</v>
      </c>
      <c r="P296" s="41">
        <f>ROUND(Dot_ex($D296,$E296,$F296,$G296,$H296,$I296,$L296+SUM($N296:O296),F$115,F$117,F$117),2)</f>
        <v>0</v>
      </c>
      <c r="Q296" s="41">
        <f>ROUND(Dot_ex($D296,$E296,$F296,$G296,$H296,$I296,$L296+SUM($N296:P296),G$115,G$117,G$117),2)</f>
        <v>0</v>
      </c>
      <c r="R296" s="57">
        <f>ROUND(Dot_ex($D296,$E296,$F296,$G296,$H296,$I296,$L296+SUM($N296:Q296),H$115,H$117,H$117),2)</f>
        <v>0</v>
      </c>
      <c r="S296" s="57">
        <f>ROUND(Dot_ex($D296,$E296,$F296,$G296,$H296,$I296,$L296+SUM($N296:R296),I$115,I$117,I$117),2)</f>
        <v>0</v>
      </c>
      <c r="T296" s="57">
        <f>ROUND(Dot_ex($D296,$E296,$F296,$G296,$H296,$I296,$L296+SUM($N296:S296),J$115,J$117,J$117),2)</f>
        <v>0</v>
      </c>
      <c r="U296" s="57">
        <f>ROUND(Dot_ex($D296,$E296,$F296,$G296,$H296,$I296,$L296+SUM($N296:T296),K$115,K$117,K$117),2)</f>
        <v>0</v>
      </c>
      <c r="V296" s="57">
        <f>ROUND(Dot_ex($D296,$E296,$F296,$G296,$H296,$I296,$L296+SUM($N296:U296),L$115,L$117,L$117),2)</f>
        <v>0</v>
      </c>
      <c r="W296" s="57">
        <f>ROUND(Dot_ex($D296,$E296,$F296,$G296,$H296,$I296,$L296+SUM($N296:V296),M$115,M$117,M$117),2)</f>
        <v>0</v>
      </c>
    </row>
    <row r="297" spans="1:23" x14ac:dyDescent="0.2">
      <c r="A297" s="107">
        <f t="shared" ca="1" si="40"/>
        <v>91</v>
      </c>
      <c r="B297" s="1" t="s">
        <v>239</v>
      </c>
      <c r="C297" s="1" t="s">
        <v>8</v>
      </c>
      <c r="D297" s="77">
        <v>37910</v>
      </c>
      <c r="E297" s="77">
        <v>37910</v>
      </c>
      <c r="F297" s="77"/>
      <c r="G297" s="8">
        <v>1987.92</v>
      </c>
      <c r="H297" s="1" t="s">
        <v>8</v>
      </c>
      <c r="I297" s="78">
        <v>5</v>
      </c>
      <c r="J297" s="8">
        <v>1987.92</v>
      </c>
      <c r="K297" s="8">
        <f t="shared" si="41"/>
        <v>0</v>
      </c>
      <c r="L297" s="8">
        <f t="shared" si="42"/>
        <v>1987.92</v>
      </c>
      <c r="M297" s="57">
        <f t="shared" si="43"/>
        <v>0</v>
      </c>
      <c r="N297" s="41">
        <f t="shared" si="39"/>
        <v>0</v>
      </c>
      <c r="O297" s="41">
        <f>ROUND(Dot_ex($D297,$E297,$F297,$G297,$H297,$I297,$L297+SUM($N297:N297),E$115,E$117,E$117),2)</f>
        <v>0</v>
      </c>
      <c r="P297" s="41">
        <f>ROUND(Dot_ex($D297,$E297,$F297,$G297,$H297,$I297,$L297+SUM($N297:O297),F$115,F$117,F$117),2)</f>
        <v>0</v>
      </c>
      <c r="Q297" s="41">
        <f>ROUND(Dot_ex($D297,$E297,$F297,$G297,$H297,$I297,$L297+SUM($N297:P297),G$115,G$117,G$117),2)</f>
        <v>0</v>
      </c>
      <c r="R297" s="57">
        <f>ROUND(Dot_ex($D297,$E297,$F297,$G297,$H297,$I297,$L297+SUM($N297:Q297),H$115,H$117,H$117),2)</f>
        <v>0</v>
      </c>
      <c r="S297" s="57">
        <f>ROUND(Dot_ex($D297,$E297,$F297,$G297,$H297,$I297,$L297+SUM($N297:R297),I$115,I$117,I$117),2)</f>
        <v>0</v>
      </c>
      <c r="T297" s="57">
        <f>ROUND(Dot_ex($D297,$E297,$F297,$G297,$H297,$I297,$L297+SUM($N297:S297),J$115,J$117,J$117),2)</f>
        <v>0</v>
      </c>
      <c r="U297" s="57">
        <f>ROUND(Dot_ex($D297,$E297,$F297,$G297,$H297,$I297,$L297+SUM($N297:T297),K$115,K$117,K$117),2)</f>
        <v>0</v>
      </c>
      <c r="V297" s="57">
        <f>ROUND(Dot_ex($D297,$E297,$F297,$G297,$H297,$I297,$L297+SUM($N297:U297),L$115,L$117,L$117),2)</f>
        <v>0</v>
      </c>
      <c r="W297" s="57">
        <f>ROUND(Dot_ex($D297,$E297,$F297,$G297,$H297,$I297,$L297+SUM($N297:V297),M$115,M$117,M$117),2)</f>
        <v>0</v>
      </c>
    </row>
    <row r="298" spans="1:23" x14ac:dyDescent="0.2">
      <c r="A298" s="107">
        <f t="shared" ca="1" si="40"/>
        <v>92</v>
      </c>
      <c r="B298" s="1" t="s">
        <v>240</v>
      </c>
      <c r="C298" s="1" t="s">
        <v>8</v>
      </c>
      <c r="D298" s="77">
        <v>38210</v>
      </c>
      <c r="E298" s="77">
        <v>38210</v>
      </c>
      <c r="F298" s="77"/>
      <c r="G298" s="8">
        <v>2364</v>
      </c>
      <c r="H298" s="1" t="s">
        <v>8</v>
      </c>
      <c r="I298" s="78">
        <v>5</v>
      </c>
      <c r="J298" s="8">
        <v>2364</v>
      </c>
      <c r="K298" s="8">
        <f t="shared" si="41"/>
        <v>0</v>
      </c>
      <c r="L298" s="8">
        <f t="shared" si="42"/>
        <v>2364</v>
      </c>
      <c r="M298" s="57">
        <f t="shared" si="43"/>
        <v>0</v>
      </c>
      <c r="N298" s="41">
        <f t="shared" si="39"/>
        <v>0</v>
      </c>
      <c r="O298" s="41">
        <f>ROUND(Dot_ex($D298,$E298,$F298,$G298,$H298,$I298,$L298+SUM($N298:N298),E$115,E$117,E$117),2)</f>
        <v>0</v>
      </c>
      <c r="P298" s="41">
        <f>ROUND(Dot_ex($D298,$E298,$F298,$G298,$H298,$I298,$L298+SUM($N298:O298),F$115,F$117,F$117),2)</f>
        <v>0</v>
      </c>
      <c r="Q298" s="41">
        <f>ROUND(Dot_ex($D298,$E298,$F298,$G298,$H298,$I298,$L298+SUM($N298:P298),G$115,G$117,G$117),2)</f>
        <v>0</v>
      </c>
      <c r="R298" s="57">
        <f>ROUND(Dot_ex($D298,$E298,$F298,$G298,$H298,$I298,$L298+SUM($N298:Q298),H$115,H$117,H$117),2)</f>
        <v>0</v>
      </c>
      <c r="S298" s="57">
        <f>ROUND(Dot_ex($D298,$E298,$F298,$G298,$H298,$I298,$L298+SUM($N298:R298),I$115,I$117,I$117),2)</f>
        <v>0</v>
      </c>
      <c r="T298" s="57">
        <f>ROUND(Dot_ex($D298,$E298,$F298,$G298,$H298,$I298,$L298+SUM($N298:S298),J$115,J$117,J$117),2)</f>
        <v>0</v>
      </c>
      <c r="U298" s="57">
        <f>ROUND(Dot_ex($D298,$E298,$F298,$G298,$H298,$I298,$L298+SUM($N298:T298),K$115,K$117,K$117),2)</f>
        <v>0</v>
      </c>
      <c r="V298" s="57">
        <f>ROUND(Dot_ex($D298,$E298,$F298,$G298,$H298,$I298,$L298+SUM($N298:U298),L$115,L$117,L$117),2)</f>
        <v>0</v>
      </c>
      <c r="W298" s="57">
        <f>ROUND(Dot_ex($D298,$E298,$F298,$G298,$H298,$I298,$L298+SUM($N298:V298),M$115,M$117,M$117),2)</f>
        <v>0</v>
      </c>
    </row>
    <row r="299" spans="1:23" x14ac:dyDescent="0.2">
      <c r="A299" s="107">
        <f t="shared" ca="1" si="40"/>
        <v>93</v>
      </c>
      <c r="B299" s="1" t="s">
        <v>241</v>
      </c>
      <c r="C299" s="1" t="s">
        <v>8</v>
      </c>
      <c r="D299" s="77">
        <v>38337</v>
      </c>
      <c r="E299" s="77">
        <v>38337</v>
      </c>
      <c r="F299" s="77"/>
      <c r="G299" s="8">
        <v>3217</v>
      </c>
      <c r="H299" s="1" t="s">
        <v>8</v>
      </c>
      <c r="I299" s="78">
        <v>5</v>
      </c>
      <c r="J299" s="8">
        <v>3217</v>
      </c>
      <c r="K299" s="8">
        <f t="shared" si="41"/>
        <v>0</v>
      </c>
      <c r="L299" s="8">
        <f t="shared" si="42"/>
        <v>3217</v>
      </c>
      <c r="M299" s="57">
        <f t="shared" si="43"/>
        <v>0</v>
      </c>
      <c r="N299" s="41">
        <f t="shared" si="39"/>
        <v>0</v>
      </c>
      <c r="O299" s="41">
        <f>ROUND(Dot_ex($D299,$E299,$F299,$G299,$H299,$I299,$L299+SUM($N299:N299),E$115,E$117,E$117),2)</f>
        <v>0</v>
      </c>
      <c r="P299" s="41">
        <f>ROUND(Dot_ex($D299,$E299,$F299,$G299,$H299,$I299,$L299+SUM($N299:O299),F$115,F$117,F$117),2)</f>
        <v>0</v>
      </c>
      <c r="Q299" s="41">
        <f>ROUND(Dot_ex($D299,$E299,$F299,$G299,$H299,$I299,$L299+SUM($N299:P299),G$115,G$117,G$117),2)</f>
        <v>0</v>
      </c>
      <c r="R299" s="57">
        <f>ROUND(Dot_ex($D299,$E299,$F299,$G299,$H299,$I299,$L299+SUM($N299:Q299),H$115,H$117,H$117),2)</f>
        <v>0</v>
      </c>
      <c r="S299" s="57">
        <f>ROUND(Dot_ex($D299,$E299,$F299,$G299,$H299,$I299,$L299+SUM($N299:R299),I$115,I$117,I$117),2)</f>
        <v>0</v>
      </c>
      <c r="T299" s="57">
        <f>ROUND(Dot_ex($D299,$E299,$F299,$G299,$H299,$I299,$L299+SUM($N299:S299),J$115,J$117,J$117),2)</f>
        <v>0</v>
      </c>
      <c r="U299" s="57">
        <f>ROUND(Dot_ex($D299,$E299,$F299,$G299,$H299,$I299,$L299+SUM($N299:T299),K$115,K$117,K$117),2)</f>
        <v>0</v>
      </c>
      <c r="V299" s="57">
        <f>ROUND(Dot_ex($D299,$E299,$F299,$G299,$H299,$I299,$L299+SUM($N299:U299),L$115,L$117,L$117),2)</f>
        <v>0</v>
      </c>
      <c r="W299" s="57">
        <f>ROUND(Dot_ex($D299,$E299,$F299,$G299,$H299,$I299,$L299+SUM($N299:V299),M$115,M$117,M$117),2)</f>
        <v>0</v>
      </c>
    </row>
    <row r="300" spans="1:23" x14ac:dyDescent="0.2">
      <c r="A300" s="107">
        <f t="shared" ca="1" si="40"/>
        <v>94</v>
      </c>
      <c r="B300" s="1" t="s">
        <v>242</v>
      </c>
      <c r="C300" s="1" t="s">
        <v>8</v>
      </c>
      <c r="D300" s="77">
        <v>38356</v>
      </c>
      <c r="E300" s="77">
        <v>38356</v>
      </c>
      <c r="F300" s="77"/>
      <c r="G300" s="8">
        <v>660</v>
      </c>
      <c r="H300" s="1" t="s">
        <v>8</v>
      </c>
      <c r="I300" s="78">
        <v>5</v>
      </c>
      <c r="J300" s="8">
        <v>660</v>
      </c>
      <c r="K300" s="8">
        <f t="shared" si="41"/>
        <v>0</v>
      </c>
      <c r="L300" s="8">
        <f t="shared" si="42"/>
        <v>660</v>
      </c>
      <c r="M300" s="57">
        <f t="shared" si="43"/>
        <v>0</v>
      </c>
      <c r="N300" s="41">
        <f t="shared" si="39"/>
        <v>0</v>
      </c>
      <c r="O300" s="41">
        <f>ROUND(Dot_ex($D300,$E300,$F300,$G300,$H300,$I300,$L300+SUM($N300:N300),E$115,E$117,E$117),2)</f>
        <v>0</v>
      </c>
      <c r="P300" s="41">
        <f>ROUND(Dot_ex($D300,$E300,$F300,$G300,$H300,$I300,$L300+SUM($N300:O300),F$115,F$117,F$117),2)</f>
        <v>0</v>
      </c>
      <c r="Q300" s="41">
        <f>ROUND(Dot_ex($D300,$E300,$F300,$G300,$H300,$I300,$L300+SUM($N300:P300),G$115,G$117,G$117),2)</f>
        <v>0</v>
      </c>
      <c r="R300" s="57">
        <f>ROUND(Dot_ex($D300,$E300,$F300,$G300,$H300,$I300,$L300+SUM($N300:Q300),H$115,H$117,H$117),2)</f>
        <v>0</v>
      </c>
      <c r="S300" s="57">
        <f>ROUND(Dot_ex($D300,$E300,$F300,$G300,$H300,$I300,$L300+SUM($N300:R300),I$115,I$117,I$117),2)</f>
        <v>0</v>
      </c>
      <c r="T300" s="57">
        <f>ROUND(Dot_ex($D300,$E300,$F300,$G300,$H300,$I300,$L300+SUM($N300:S300),J$115,J$117,J$117),2)</f>
        <v>0</v>
      </c>
      <c r="U300" s="57">
        <f>ROUND(Dot_ex($D300,$E300,$F300,$G300,$H300,$I300,$L300+SUM($N300:T300),K$115,K$117,K$117),2)</f>
        <v>0</v>
      </c>
      <c r="V300" s="57">
        <f>ROUND(Dot_ex($D300,$E300,$F300,$G300,$H300,$I300,$L300+SUM($N300:U300),L$115,L$117,L$117),2)</f>
        <v>0</v>
      </c>
      <c r="W300" s="57">
        <f>ROUND(Dot_ex($D300,$E300,$F300,$G300,$H300,$I300,$L300+SUM($N300:V300),M$115,M$117,M$117),2)</f>
        <v>0</v>
      </c>
    </row>
    <row r="301" spans="1:23" x14ac:dyDescent="0.2">
      <c r="A301" s="107">
        <f t="shared" ca="1" si="40"/>
        <v>95</v>
      </c>
      <c r="B301" s="1" t="s">
        <v>243</v>
      </c>
      <c r="C301" s="1" t="s">
        <v>8</v>
      </c>
      <c r="D301" s="77">
        <v>38384</v>
      </c>
      <c r="E301" s="77">
        <v>38384</v>
      </c>
      <c r="F301" s="77"/>
      <c r="G301" s="8">
        <v>7500</v>
      </c>
      <c r="H301" s="1" t="s">
        <v>8</v>
      </c>
      <c r="I301" s="78">
        <v>5</v>
      </c>
      <c r="J301" s="8">
        <v>7500</v>
      </c>
      <c r="K301" s="8">
        <f t="shared" si="41"/>
        <v>0</v>
      </c>
      <c r="L301" s="8">
        <f t="shared" si="42"/>
        <v>7500</v>
      </c>
      <c r="M301" s="57">
        <f t="shared" si="43"/>
        <v>0</v>
      </c>
      <c r="N301" s="41">
        <f t="shared" si="39"/>
        <v>0</v>
      </c>
      <c r="O301" s="41">
        <f>ROUND(Dot_ex($D301,$E301,$F301,$G301,$H301,$I301,$L301+SUM($N301:N301),E$115,E$117,E$117),2)</f>
        <v>0</v>
      </c>
      <c r="P301" s="41">
        <f>ROUND(Dot_ex($D301,$E301,$F301,$G301,$H301,$I301,$L301+SUM($N301:O301),F$115,F$117,F$117),2)</f>
        <v>0</v>
      </c>
      <c r="Q301" s="41">
        <f>ROUND(Dot_ex($D301,$E301,$F301,$G301,$H301,$I301,$L301+SUM($N301:P301),G$115,G$117,G$117),2)</f>
        <v>0</v>
      </c>
      <c r="R301" s="57">
        <f>ROUND(Dot_ex($D301,$E301,$F301,$G301,$H301,$I301,$L301+SUM($N301:Q301),H$115,H$117,H$117),2)</f>
        <v>0</v>
      </c>
      <c r="S301" s="57">
        <f>ROUND(Dot_ex($D301,$E301,$F301,$G301,$H301,$I301,$L301+SUM($N301:R301),I$115,I$117,I$117),2)</f>
        <v>0</v>
      </c>
      <c r="T301" s="57">
        <f>ROUND(Dot_ex($D301,$E301,$F301,$G301,$H301,$I301,$L301+SUM($N301:S301),J$115,J$117,J$117),2)</f>
        <v>0</v>
      </c>
      <c r="U301" s="57">
        <f>ROUND(Dot_ex($D301,$E301,$F301,$G301,$H301,$I301,$L301+SUM($N301:T301),K$115,K$117,K$117),2)</f>
        <v>0</v>
      </c>
      <c r="V301" s="57">
        <f>ROUND(Dot_ex($D301,$E301,$F301,$G301,$H301,$I301,$L301+SUM($N301:U301),L$115,L$117,L$117),2)</f>
        <v>0</v>
      </c>
      <c r="W301" s="57">
        <f>ROUND(Dot_ex($D301,$E301,$F301,$G301,$H301,$I301,$L301+SUM($N301:V301),M$115,M$117,M$117),2)</f>
        <v>0</v>
      </c>
    </row>
    <row r="302" spans="1:23" x14ac:dyDescent="0.2">
      <c r="A302" s="107">
        <f t="shared" ca="1" si="40"/>
        <v>96</v>
      </c>
      <c r="B302" s="1" t="s">
        <v>244</v>
      </c>
      <c r="C302" s="1" t="s">
        <v>8</v>
      </c>
      <c r="D302" s="77">
        <v>38384</v>
      </c>
      <c r="E302" s="77">
        <v>38384</v>
      </c>
      <c r="F302" s="77"/>
      <c r="G302" s="8">
        <v>1935</v>
      </c>
      <c r="H302" s="1" t="s">
        <v>8</v>
      </c>
      <c r="I302" s="78">
        <v>5</v>
      </c>
      <c r="J302" s="8">
        <v>1935</v>
      </c>
      <c r="K302" s="8">
        <f t="shared" si="41"/>
        <v>0</v>
      </c>
      <c r="L302" s="8">
        <f t="shared" si="42"/>
        <v>1935</v>
      </c>
      <c r="M302" s="57">
        <f t="shared" si="43"/>
        <v>0</v>
      </c>
      <c r="N302" s="41">
        <f t="shared" si="39"/>
        <v>0</v>
      </c>
      <c r="O302" s="41">
        <f>ROUND(Dot_ex($D302,$E302,$F302,$G302,$H302,$I302,$L302+SUM($N302:N302),E$115,E$117,E$117),2)</f>
        <v>0</v>
      </c>
      <c r="P302" s="41">
        <f>ROUND(Dot_ex($D302,$E302,$F302,$G302,$H302,$I302,$L302+SUM($N302:O302),F$115,F$117,F$117),2)</f>
        <v>0</v>
      </c>
      <c r="Q302" s="41">
        <f>ROUND(Dot_ex($D302,$E302,$F302,$G302,$H302,$I302,$L302+SUM($N302:P302),G$115,G$117,G$117),2)</f>
        <v>0</v>
      </c>
      <c r="R302" s="57">
        <f>ROUND(Dot_ex($D302,$E302,$F302,$G302,$H302,$I302,$L302+SUM($N302:Q302),H$115,H$117,H$117),2)</f>
        <v>0</v>
      </c>
      <c r="S302" s="57">
        <f>ROUND(Dot_ex($D302,$E302,$F302,$G302,$H302,$I302,$L302+SUM($N302:R302),I$115,I$117,I$117),2)</f>
        <v>0</v>
      </c>
      <c r="T302" s="57">
        <f>ROUND(Dot_ex($D302,$E302,$F302,$G302,$H302,$I302,$L302+SUM($N302:S302),J$115,J$117,J$117),2)</f>
        <v>0</v>
      </c>
      <c r="U302" s="57">
        <f>ROUND(Dot_ex($D302,$E302,$F302,$G302,$H302,$I302,$L302+SUM($N302:T302),K$115,K$117,K$117),2)</f>
        <v>0</v>
      </c>
      <c r="V302" s="57">
        <f>ROUND(Dot_ex($D302,$E302,$F302,$G302,$H302,$I302,$L302+SUM($N302:U302),L$115,L$117,L$117),2)</f>
        <v>0</v>
      </c>
      <c r="W302" s="57">
        <f>ROUND(Dot_ex($D302,$E302,$F302,$G302,$H302,$I302,$L302+SUM($N302:V302),M$115,M$117,M$117),2)</f>
        <v>0</v>
      </c>
    </row>
    <row r="303" spans="1:23" x14ac:dyDescent="0.2">
      <c r="A303" s="107">
        <f t="shared" ca="1" si="40"/>
        <v>97</v>
      </c>
      <c r="B303" s="1" t="s">
        <v>245</v>
      </c>
      <c r="C303" s="1" t="s">
        <v>8</v>
      </c>
      <c r="D303" s="77">
        <v>38434</v>
      </c>
      <c r="E303" s="77">
        <v>38434</v>
      </c>
      <c r="F303" s="77"/>
      <c r="G303" s="8">
        <v>2080</v>
      </c>
      <c r="H303" s="1" t="s">
        <v>8</v>
      </c>
      <c r="I303" s="78">
        <v>5</v>
      </c>
      <c r="J303" s="8">
        <v>2080</v>
      </c>
      <c r="K303" s="8">
        <f t="shared" si="41"/>
        <v>0</v>
      </c>
      <c r="L303" s="8">
        <f t="shared" si="42"/>
        <v>2080</v>
      </c>
      <c r="M303" s="57">
        <f t="shared" si="43"/>
        <v>0</v>
      </c>
      <c r="N303" s="41">
        <f t="shared" si="39"/>
        <v>0</v>
      </c>
      <c r="O303" s="41">
        <f>ROUND(Dot_ex($D303,$E303,$F303,$G303,$H303,$I303,$L303+SUM($N303:N303),E$115,E$117,E$117),2)</f>
        <v>0</v>
      </c>
      <c r="P303" s="41">
        <f>ROUND(Dot_ex($D303,$E303,$F303,$G303,$H303,$I303,$L303+SUM($N303:O303),F$115,F$117,F$117),2)</f>
        <v>0</v>
      </c>
      <c r="Q303" s="41">
        <f>ROUND(Dot_ex($D303,$E303,$F303,$G303,$H303,$I303,$L303+SUM($N303:P303),G$115,G$117,G$117),2)</f>
        <v>0</v>
      </c>
      <c r="R303" s="57">
        <f>ROUND(Dot_ex($D303,$E303,$F303,$G303,$H303,$I303,$L303+SUM($N303:Q303),H$115,H$117,H$117),2)</f>
        <v>0</v>
      </c>
      <c r="S303" s="57">
        <f>ROUND(Dot_ex($D303,$E303,$F303,$G303,$H303,$I303,$L303+SUM($N303:R303),I$115,I$117,I$117),2)</f>
        <v>0</v>
      </c>
      <c r="T303" s="57">
        <f>ROUND(Dot_ex($D303,$E303,$F303,$G303,$H303,$I303,$L303+SUM($N303:S303),J$115,J$117,J$117),2)</f>
        <v>0</v>
      </c>
      <c r="U303" s="57">
        <f>ROUND(Dot_ex($D303,$E303,$F303,$G303,$H303,$I303,$L303+SUM($N303:T303),K$115,K$117,K$117),2)</f>
        <v>0</v>
      </c>
      <c r="V303" s="57">
        <f>ROUND(Dot_ex($D303,$E303,$F303,$G303,$H303,$I303,$L303+SUM($N303:U303),L$115,L$117,L$117),2)</f>
        <v>0</v>
      </c>
      <c r="W303" s="57">
        <f>ROUND(Dot_ex($D303,$E303,$F303,$G303,$H303,$I303,$L303+SUM($N303:V303),M$115,M$117,M$117),2)</f>
        <v>0</v>
      </c>
    </row>
    <row r="304" spans="1:23" x14ac:dyDescent="0.2">
      <c r="A304" s="107">
        <f t="shared" ca="1" si="40"/>
        <v>98</v>
      </c>
      <c r="B304" s="1" t="s">
        <v>246</v>
      </c>
      <c r="C304" s="1" t="s">
        <v>8</v>
      </c>
      <c r="D304" s="77">
        <v>38440</v>
      </c>
      <c r="E304" s="77">
        <v>38440</v>
      </c>
      <c r="F304" s="77"/>
      <c r="G304" s="8">
        <v>929.18</v>
      </c>
      <c r="H304" s="1" t="s">
        <v>8</v>
      </c>
      <c r="I304" s="78">
        <v>5</v>
      </c>
      <c r="J304" s="8">
        <v>929.18</v>
      </c>
      <c r="K304" s="8">
        <f t="shared" si="41"/>
        <v>0</v>
      </c>
      <c r="L304" s="8">
        <f t="shared" si="42"/>
        <v>929.18</v>
      </c>
      <c r="M304" s="57">
        <f t="shared" si="43"/>
        <v>0</v>
      </c>
      <c r="N304" s="41">
        <f t="shared" si="39"/>
        <v>0</v>
      </c>
      <c r="O304" s="41">
        <f>ROUND(Dot_ex($D304,$E304,$F304,$G304,$H304,$I304,$L304+SUM($N304:N304),E$115,E$117,E$117),2)</f>
        <v>0</v>
      </c>
      <c r="P304" s="41">
        <f>ROUND(Dot_ex($D304,$E304,$F304,$G304,$H304,$I304,$L304+SUM($N304:O304),F$115,F$117,F$117),2)</f>
        <v>0</v>
      </c>
      <c r="Q304" s="41">
        <f>ROUND(Dot_ex($D304,$E304,$F304,$G304,$H304,$I304,$L304+SUM($N304:P304),G$115,G$117,G$117),2)</f>
        <v>0</v>
      </c>
      <c r="R304" s="57">
        <f>ROUND(Dot_ex($D304,$E304,$F304,$G304,$H304,$I304,$L304+SUM($N304:Q304),H$115,H$117,H$117),2)</f>
        <v>0</v>
      </c>
      <c r="S304" s="57">
        <f>ROUND(Dot_ex($D304,$E304,$F304,$G304,$H304,$I304,$L304+SUM($N304:R304),I$115,I$117,I$117),2)</f>
        <v>0</v>
      </c>
      <c r="T304" s="57">
        <f>ROUND(Dot_ex($D304,$E304,$F304,$G304,$H304,$I304,$L304+SUM($N304:S304),J$115,J$117,J$117),2)</f>
        <v>0</v>
      </c>
      <c r="U304" s="57">
        <f>ROUND(Dot_ex($D304,$E304,$F304,$G304,$H304,$I304,$L304+SUM($N304:T304),K$115,K$117,K$117),2)</f>
        <v>0</v>
      </c>
      <c r="V304" s="57">
        <f>ROUND(Dot_ex($D304,$E304,$F304,$G304,$H304,$I304,$L304+SUM($N304:U304),L$115,L$117,L$117),2)</f>
        <v>0</v>
      </c>
      <c r="W304" s="57">
        <f>ROUND(Dot_ex($D304,$E304,$F304,$G304,$H304,$I304,$L304+SUM($N304:V304),M$115,M$117,M$117),2)</f>
        <v>0</v>
      </c>
    </row>
    <row r="305" spans="1:23" x14ac:dyDescent="0.2">
      <c r="A305" s="107">
        <f t="shared" ca="1" si="40"/>
        <v>99</v>
      </c>
      <c r="B305" s="1" t="s">
        <v>247</v>
      </c>
      <c r="C305" s="1" t="s">
        <v>8</v>
      </c>
      <c r="D305" s="77">
        <v>38450</v>
      </c>
      <c r="E305" s="77">
        <v>38450</v>
      </c>
      <c r="F305" s="77"/>
      <c r="G305" s="8">
        <v>20500</v>
      </c>
      <c r="H305" s="1" t="s">
        <v>8</v>
      </c>
      <c r="I305" s="78">
        <v>5</v>
      </c>
      <c r="J305" s="8">
        <v>20500</v>
      </c>
      <c r="K305" s="8">
        <f t="shared" si="41"/>
        <v>0</v>
      </c>
      <c r="L305" s="8">
        <f t="shared" si="42"/>
        <v>20500</v>
      </c>
      <c r="M305" s="57">
        <f t="shared" si="43"/>
        <v>0</v>
      </c>
      <c r="N305" s="41">
        <f t="shared" si="39"/>
        <v>0</v>
      </c>
      <c r="O305" s="41">
        <f>ROUND(Dot_ex($D305,$E305,$F305,$G305,$H305,$I305,$L305+SUM($N305:N305),E$115,E$117,E$117),2)</f>
        <v>0</v>
      </c>
      <c r="P305" s="41">
        <f>ROUND(Dot_ex($D305,$E305,$F305,$G305,$H305,$I305,$L305+SUM($N305:O305),F$115,F$117,F$117),2)</f>
        <v>0</v>
      </c>
      <c r="Q305" s="41">
        <f>ROUND(Dot_ex($D305,$E305,$F305,$G305,$H305,$I305,$L305+SUM($N305:P305),G$115,G$117,G$117),2)</f>
        <v>0</v>
      </c>
      <c r="R305" s="57">
        <f>ROUND(Dot_ex($D305,$E305,$F305,$G305,$H305,$I305,$L305+SUM($N305:Q305),H$115,H$117,H$117),2)</f>
        <v>0</v>
      </c>
      <c r="S305" s="57">
        <f>ROUND(Dot_ex($D305,$E305,$F305,$G305,$H305,$I305,$L305+SUM($N305:R305),I$115,I$117,I$117),2)</f>
        <v>0</v>
      </c>
      <c r="T305" s="57">
        <f>ROUND(Dot_ex($D305,$E305,$F305,$G305,$H305,$I305,$L305+SUM($N305:S305),J$115,J$117,J$117),2)</f>
        <v>0</v>
      </c>
      <c r="U305" s="57">
        <f>ROUND(Dot_ex($D305,$E305,$F305,$G305,$H305,$I305,$L305+SUM($N305:T305),K$115,K$117,K$117),2)</f>
        <v>0</v>
      </c>
      <c r="V305" s="57">
        <f>ROUND(Dot_ex($D305,$E305,$F305,$G305,$H305,$I305,$L305+SUM($N305:U305),L$115,L$117,L$117),2)</f>
        <v>0</v>
      </c>
      <c r="W305" s="57">
        <f>ROUND(Dot_ex($D305,$E305,$F305,$G305,$H305,$I305,$L305+SUM($N305:V305),M$115,M$117,M$117),2)</f>
        <v>0</v>
      </c>
    </row>
    <row r="306" spans="1:23" x14ac:dyDescent="0.2">
      <c r="A306" s="107">
        <f t="shared" ca="1" si="40"/>
        <v>100</v>
      </c>
      <c r="B306" s="1" t="s">
        <v>248</v>
      </c>
      <c r="C306" s="1" t="s">
        <v>8</v>
      </c>
      <c r="D306" s="77">
        <v>38463</v>
      </c>
      <c r="E306" s="77">
        <v>38463</v>
      </c>
      <c r="F306" s="77"/>
      <c r="G306" s="8">
        <v>6700</v>
      </c>
      <c r="H306" s="1" t="s">
        <v>8</v>
      </c>
      <c r="I306" s="78">
        <v>5</v>
      </c>
      <c r="J306" s="8">
        <v>6700</v>
      </c>
      <c r="K306" s="8">
        <f t="shared" si="41"/>
        <v>0</v>
      </c>
      <c r="L306" s="8">
        <f t="shared" si="42"/>
        <v>6700</v>
      </c>
      <c r="M306" s="57">
        <f t="shared" si="43"/>
        <v>0</v>
      </c>
      <c r="N306" s="41">
        <f t="shared" ref="N306:N312" si="44">ROUND(Dot_ex($D306,$E306,$F306,$G306,$H306,$I306,$L306,D$115,D$117,D$117),2)</f>
        <v>0</v>
      </c>
      <c r="O306" s="41">
        <f>ROUND(Dot_ex($D306,$E306,$F306,$G306,$H306,$I306,$L306+SUM($N306:N306),E$115,E$117,E$117),2)</f>
        <v>0</v>
      </c>
      <c r="P306" s="41">
        <f>ROUND(Dot_ex($D306,$E306,$F306,$G306,$H306,$I306,$L306+SUM($N306:O306),F$115,F$117,F$117),2)</f>
        <v>0</v>
      </c>
      <c r="Q306" s="41">
        <f>ROUND(Dot_ex($D306,$E306,$F306,$G306,$H306,$I306,$L306+SUM($N306:P306),G$115,G$117,G$117),2)</f>
        <v>0</v>
      </c>
      <c r="R306" s="57">
        <f>ROUND(Dot_ex($D306,$E306,$F306,$G306,$H306,$I306,$L306+SUM($N306:Q306),H$115,H$117,H$117),2)</f>
        <v>0</v>
      </c>
      <c r="S306" s="57">
        <f>ROUND(Dot_ex($D306,$E306,$F306,$G306,$H306,$I306,$L306+SUM($N306:R306),I$115,I$117,I$117),2)</f>
        <v>0</v>
      </c>
      <c r="T306" s="57">
        <f>ROUND(Dot_ex($D306,$E306,$F306,$G306,$H306,$I306,$L306+SUM($N306:S306),J$115,J$117,J$117),2)</f>
        <v>0</v>
      </c>
      <c r="U306" s="57">
        <f>ROUND(Dot_ex($D306,$E306,$F306,$G306,$H306,$I306,$L306+SUM($N306:T306),K$115,K$117,K$117),2)</f>
        <v>0</v>
      </c>
      <c r="V306" s="57">
        <f>ROUND(Dot_ex($D306,$E306,$F306,$G306,$H306,$I306,$L306+SUM($N306:U306),L$115,L$117,L$117),2)</f>
        <v>0</v>
      </c>
      <c r="W306" s="57">
        <f>ROUND(Dot_ex($D306,$E306,$F306,$G306,$H306,$I306,$L306+SUM($N306:V306),M$115,M$117,M$117),2)</f>
        <v>0</v>
      </c>
    </row>
    <row r="307" spans="1:23" x14ac:dyDescent="0.2">
      <c r="A307" s="107">
        <f t="shared" ref="A307:A316" ca="1" si="45">IF(ISNUMBER(A306),A306+1,OFFSET(A307,-Nbre_Ligne_Entre_Compte,0,1,1)+1)</f>
        <v>101</v>
      </c>
      <c r="B307" s="1" t="s">
        <v>255</v>
      </c>
      <c r="C307" s="1" t="s">
        <v>8</v>
      </c>
      <c r="D307" s="77">
        <v>38589</v>
      </c>
      <c r="E307" s="77">
        <v>38589</v>
      </c>
      <c r="F307" s="77"/>
      <c r="G307" s="8">
        <v>3200</v>
      </c>
      <c r="H307" s="1" t="s">
        <v>8</v>
      </c>
      <c r="I307" s="78">
        <v>5</v>
      </c>
      <c r="J307" s="8">
        <v>3200</v>
      </c>
      <c r="K307" s="8">
        <f t="shared" ref="K307:K311" si="46">ROUND(Dot_ex(D307,E307,F307,G307,H307,I307,J307,$G$6,$I$6,$I$8),2)</f>
        <v>0</v>
      </c>
      <c r="L307" s="8">
        <f t="shared" ref="L307:L311" si="47">J307+K307</f>
        <v>3200</v>
      </c>
      <c r="M307" s="57">
        <f t="shared" ref="M307:M311" si="48">G307-L307</f>
        <v>0</v>
      </c>
      <c r="N307" s="41">
        <f t="shared" si="44"/>
        <v>0</v>
      </c>
      <c r="O307" s="41">
        <f>ROUND(Dot_ex($D307,$E307,$F307,$G307,$H307,$I307,$L307+SUM($N307:N307),E$115,E$117,E$117),2)</f>
        <v>0</v>
      </c>
      <c r="P307" s="41">
        <f>ROUND(Dot_ex($D307,$E307,$F307,$G307,$H307,$I307,$L307+SUM($N307:O307),F$115,F$117,F$117),2)</f>
        <v>0</v>
      </c>
      <c r="Q307" s="41">
        <f>ROUND(Dot_ex($D307,$E307,$F307,$G307,$H307,$I307,$L307+SUM($N307:P307),G$115,G$117,G$117),2)</f>
        <v>0</v>
      </c>
      <c r="R307" s="57">
        <f>ROUND(Dot_ex($D307,$E307,$F307,$G307,$H307,$I307,$L307+SUM($N307:Q307),H$115,H$117,H$117),2)</f>
        <v>0</v>
      </c>
      <c r="S307" s="57">
        <f>ROUND(Dot_ex($D307,$E307,$F307,$G307,$H307,$I307,$L307+SUM($N307:R307),I$115,I$117,I$117),2)</f>
        <v>0</v>
      </c>
      <c r="T307" s="57">
        <f>ROUND(Dot_ex($D307,$E307,$F307,$G307,$H307,$I307,$L307+SUM($N307:S307),J$115,J$117,J$117),2)</f>
        <v>0</v>
      </c>
      <c r="U307" s="57">
        <f>ROUND(Dot_ex($D307,$E307,$F307,$G307,$H307,$I307,$L307+SUM($N307:T307),K$115,K$117,K$117),2)</f>
        <v>0</v>
      </c>
      <c r="V307" s="57">
        <f>ROUND(Dot_ex($D307,$E307,$F307,$G307,$H307,$I307,$L307+SUM($N307:U307),L$115,L$117,L$117),2)</f>
        <v>0</v>
      </c>
      <c r="W307" s="57">
        <f>ROUND(Dot_ex($D307,$E307,$F307,$G307,$H307,$I307,$L307+SUM($N307:V307),M$115,M$117,M$117),2)</f>
        <v>0</v>
      </c>
    </row>
    <row r="308" spans="1:23" x14ac:dyDescent="0.2">
      <c r="A308" s="107">
        <f t="shared" ca="1" si="45"/>
        <v>102</v>
      </c>
      <c r="B308" s="1" t="s">
        <v>258</v>
      </c>
      <c r="C308" s="1" t="s">
        <v>8</v>
      </c>
      <c r="D308" s="77">
        <v>38705</v>
      </c>
      <c r="E308" s="77">
        <v>38705</v>
      </c>
      <c r="F308" s="77"/>
      <c r="G308" s="8">
        <v>1846.2</v>
      </c>
      <c r="H308" s="1" t="s">
        <v>8</v>
      </c>
      <c r="I308" s="78">
        <v>5</v>
      </c>
      <c r="J308" s="8">
        <v>1846.2</v>
      </c>
      <c r="K308" s="8">
        <f t="shared" si="46"/>
        <v>0</v>
      </c>
      <c r="L308" s="8">
        <f t="shared" si="47"/>
        <v>1846.2</v>
      </c>
      <c r="M308" s="57">
        <f t="shared" si="48"/>
        <v>0</v>
      </c>
      <c r="N308" s="41">
        <f t="shared" si="44"/>
        <v>0</v>
      </c>
      <c r="O308" s="41">
        <f>ROUND(Dot_ex($D308,$E308,$F308,$G308,$H308,$I308,$L308+SUM($N308:N308),E$115,E$117,E$117),2)</f>
        <v>0</v>
      </c>
      <c r="P308" s="41">
        <f>ROUND(Dot_ex($D308,$E308,$F308,$G308,$H308,$I308,$L308+SUM($N308:O308),F$115,F$117,F$117),2)</f>
        <v>0</v>
      </c>
      <c r="Q308" s="41">
        <f>ROUND(Dot_ex($D308,$E308,$F308,$G308,$H308,$I308,$L308+SUM($N308:P308),G$115,G$117,G$117),2)</f>
        <v>0</v>
      </c>
      <c r="R308" s="57">
        <f>ROUND(Dot_ex($D308,$E308,$F308,$G308,$H308,$I308,$L308+SUM($N308:Q308),H$115,H$117,H$117),2)</f>
        <v>0</v>
      </c>
      <c r="S308" s="57">
        <f>ROUND(Dot_ex($D308,$E308,$F308,$G308,$H308,$I308,$L308+SUM($N308:R308),I$115,I$117,I$117),2)</f>
        <v>0</v>
      </c>
      <c r="T308" s="57">
        <f>ROUND(Dot_ex($D308,$E308,$F308,$G308,$H308,$I308,$L308+SUM($N308:S308),J$115,J$117,J$117),2)</f>
        <v>0</v>
      </c>
      <c r="U308" s="57">
        <f>ROUND(Dot_ex($D308,$E308,$F308,$G308,$H308,$I308,$L308+SUM($N308:T308),K$115,K$117,K$117),2)</f>
        <v>0</v>
      </c>
      <c r="V308" s="57">
        <f>ROUND(Dot_ex($D308,$E308,$F308,$G308,$H308,$I308,$L308+SUM($N308:U308),L$115,L$117,L$117),2)</f>
        <v>0</v>
      </c>
      <c r="W308" s="57">
        <f>ROUND(Dot_ex($D308,$E308,$F308,$G308,$H308,$I308,$L308+SUM($N308:V308),M$115,M$117,M$117),2)</f>
        <v>0</v>
      </c>
    </row>
    <row r="309" spans="1:23" x14ac:dyDescent="0.2">
      <c r="A309" s="107">
        <f t="shared" ca="1" si="45"/>
        <v>103</v>
      </c>
      <c r="B309" s="1" t="s">
        <v>259</v>
      </c>
      <c r="C309" s="1" t="s">
        <v>8</v>
      </c>
      <c r="D309" s="77">
        <v>38709</v>
      </c>
      <c r="E309" s="77">
        <v>38709</v>
      </c>
      <c r="F309" s="77"/>
      <c r="G309" s="8">
        <v>25385</v>
      </c>
      <c r="H309" s="1" t="s">
        <v>8</v>
      </c>
      <c r="I309" s="78">
        <v>5</v>
      </c>
      <c r="J309" s="8">
        <v>25385</v>
      </c>
      <c r="K309" s="8">
        <f t="shared" si="46"/>
        <v>0</v>
      </c>
      <c r="L309" s="8">
        <f t="shared" si="47"/>
        <v>25385</v>
      </c>
      <c r="M309" s="57">
        <f t="shared" si="48"/>
        <v>0</v>
      </c>
      <c r="N309" s="41">
        <f t="shared" si="44"/>
        <v>0</v>
      </c>
      <c r="O309" s="41">
        <f>ROUND(Dot_ex($D309,$E309,$F309,$G309,$H309,$I309,$L309+SUM($N309:N309),E$115,E$117,E$117),2)</f>
        <v>0</v>
      </c>
      <c r="P309" s="41">
        <f>ROUND(Dot_ex($D309,$E309,$F309,$G309,$H309,$I309,$L309+SUM($N309:O309),F$115,F$117,F$117),2)</f>
        <v>0</v>
      </c>
      <c r="Q309" s="41">
        <f>ROUND(Dot_ex($D309,$E309,$F309,$G309,$H309,$I309,$L309+SUM($N309:P309),G$115,G$117,G$117),2)</f>
        <v>0</v>
      </c>
      <c r="R309" s="57">
        <f>ROUND(Dot_ex($D309,$E309,$F309,$G309,$H309,$I309,$L309+SUM($N309:Q309),H$115,H$117,H$117),2)</f>
        <v>0</v>
      </c>
      <c r="S309" s="57">
        <f>ROUND(Dot_ex($D309,$E309,$F309,$G309,$H309,$I309,$L309+SUM($N309:R309),I$115,I$117,I$117),2)</f>
        <v>0</v>
      </c>
      <c r="T309" s="57">
        <f>ROUND(Dot_ex($D309,$E309,$F309,$G309,$H309,$I309,$L309+SUM($N309:S309),J$115,J$117,J$117),2)</f>
        <v>0</v>
      </c>
      <c r="U309" s="57">
        <f>ROUND(Dot_ex($D309,$E309,$F309,$G309,$H309,$I309,$L309+SUM($N309:T309),K$115,K$117,K$117),2)</f>
        <v>0</v>
      </c>
      <c r="V309" s="57">
        <f>ROUND(Dot_ex($D309,$E309,$F309,$G309,$H309,$I309,$L309+SUM($N309:U309),L$115,L$117,L$117),2)</f>
        <v>0</v>
      </c>
      <c r="W309" s="57">
        <f>ROUND(Dot_ex($D309,$E309,$F309,$G309,$H309,$I309,$L309+SUM($N309:V309),M$115,M$117,M$117),2)</f>
        <v>0</v>
      </c>
    </row>
    <row r="310" spans="1:23" x14ac:dyDescent="0.2">
      <c r="A310" s="107">
        <f t="shared" ca="1" si="45"/>
        <v>104</v>
      </c>
      <c r="B310" s="1" t="s">
        <v>259</v>
      </c>
      <c r="C310" s="1" t="s">
        <v>8</v>
      </c>
      <c r="D310" s="77">
        <v>38714</v>
      </c>
      <c r="E310" s="77">
        <v>38714</v>
      </c>
      <c r="F310" s="77"/>
      <c r="G310" s="8">
        <v>25385</v>
      </c>
      <c r="H310" s="1" t="s">
        <v>8</v>
      </c>
      <c r="I310" s="78">
        <v>5</v>
      </c>
      <c r="J310" s="8">
        <v>25385</v>
      </c>
      <c r="K310" s="8">
        <f t="shared" si="46"/>
        <v>0</v>
      </c>
      <c r="L310" s="8">
        <f t="shared" si="47"/>
        <v>25385</v>
      </c>
      <c r="M310" s="57">
        <f t="shared" si="48"/>
        <v>0</v>
      </c>
      <c r="N310" s="41">
        <f t="shared" si="44"/>
        <v>0</v>
      </c>
      <c r="O310" s="41">
        <f>ROUND(Dot_ex($D310,$E310,$F310,$G310,$H310,$I310,$L310+SUM($N310:N310),E$115,E$117,E$117),2)</f>
        <v>0</v>
      </c>
      <c r="P310" s="41">
        <f>ROUND(Dot_ex($D310,$E310,$F310,$G310,$H310,$I310,$L310+SUM($N310:O310),F$115,F$117,F$117),2)</f>
        <v>0</v>
      </c>
      <c r="Q310" s="41">
        <f>ROUND(Dot_ex($D310,$E310,$F310,$G310,$H310,$I310,$L310+SUM($N310:P310),G$115,G$117,G$117),2)</f>
        <v>0</v>
      </c>
      <c r="R310" s="57">
        <f>ROUND(Dot_ex($D310,$E310,$F310,$G310,$H310,$I310,$L310+SUM($N310:Q310),H$115,H$117,H$117),2)</f>
        <v>0</v>
      </c>
      <c r="S310" s="57">
        <f>ROUND(Dot_ex($D310,$E310,$F310,$G310,$H310,$I310,$L310+SUM($N310:R310),I$115,I$117,I$117),2)</f>
        <v>0</v>
      </c>
      <c r="T310" s="57">
        <f>ROUND(Dot_ex($D310,$E310,$F310,$G310,$H310,$I310,$L310+SUM($N310:S310),J$115,J$117,J$117),2)</f>
        <v>0</v>
      </c>
      <c r="U310" s="57">
        <f>ROUND(Dot_ex($D310,$E310,$F310,$G310,$H310,$I310,$L310+SUM($N310:T310),K$115,K$117,K$117),2)</f>
        <v>0</v>
      </c>
      <c r="V310" s="57">
        <f>ROUND(Dot_ex($D310,$E310,$F310,$G310,$H310,$I310,$L310+SUM($N310:U310),L$115,L$117,L$117),2)</f>
        <v>0</v>
      </c>
      <c r="W310" s="57">
        <f>ROUND(Dot_ex($D310,$E310,$F310,$G310,$H310,$I310,$L310+SUM($N310:V310),M$115,M$117,M$117),2)</f>
        <v>0</v>
      </c>
    </row>
    <row r="311" spans="1:23" x14ac:dyDescent="0.2">
      <c r="A311" s="107">
        <f ca="1">IF(ISNUMBER(#REF!),#REF!+1,OFFSET(A311,-Nbre_Ligne_Entre_Compte,0,1,1)+1)</f>
        <v>95</v>
      </c>
      <c r="B311" s="1" t="s">
        <v>260</v>
      </c>
      <c r="C311" s="1" t="s">
        <v>8</v>
      </c>
      <c r="D311" s="77">
        <v>38828</v>
      </c>
      <c r="E311" s="77">
        <v>38828</v>
      </c>
      <c r="F311" s="77"/>
      <c r="G311" s="8">
        <v>2551</v>
      </c>
      <c r="H311" s="1" t="s">
        <v>8</v>
      </c>
      <c r="I311" s="78">
        <v>5</v>
      </c>
      <c r="J311" s="8">
        <v>2551</v>
      </c>
      <c r="K311" s="8">
        <f t="shared" si="46"/>
        <v>0</v>
      </c>
      <c r="L311" s="8">
        <f t="shared" si="47"/>
        <v>2551</v>
      </c>
      <c r="M311" s="57">
        <f t="shared" si="48"/>
        <v>0</v>
      </c>
      <c r="N311" s="41">
        <f t="shared" si="44"/>
        <v>0</v>
      </c>
      <c r="O311" s="41">
        <f>ROUND(Dot_ex($D311,$E311,$F311,$G311,$H311,$I311,$L311+SUM($N311:N311),E$115,E$117,E$117),2)</f>
        <v>0</v>
      </c>
      <c r="P311" s="41">
        <f>ROUND(Dot_ex($D311,$E311,$F311,$G311,$H311,$I311,$L311+SUM($N311:O311),F$115,F$117,F$117),2)</f>
        <v>0</v>
      </c>
      <c r="Q311" s="41">
        <f>ROUND(Dot_ex($D311,$E311,$F311,$G311,$H311,$I311,$L311+SUM($N311:P311),G$115,G$117,G$117),2)</f>
        <v>0</v>
      </c>
      <c r="R311" s="57">
        <f>ROUND(Dot_ex($D311,$E311,$F311,$G311,$H311,$I311,$L311+SUM($N311:Q311),H$115,H$117,H$117),2)</f>
        <v>0</v>
      </c>
      <c r="S311" s="57">
        <f>ROUND(Dot_ex($D311,$E311,$F311,$G311,$H311,$I311,$L311+SUM($N311:R311),I$115,I$117,I$117),2)</f>
        <v>0</v>
      </c>
      <c r="T311" s="57">
        <f>ROUND(Dot_ex($D311,$E311,$F311,$G311,$H311,$I311,$L311+SUM($N311:S311),J$115,J$117,J$117),2)</f>
        <v>0</v>
      </c>
      <c r="U311" s="57">
        <f>ROUND(Dot_ex($D311,$E311,$F311,$G311,$H311,$I311,$L311+SUM($N311:T311),K$115,K$117,K$117),2)</f>
        <v>0</v>
      </c>
      <c r="V311" s="57">
        <f>ROUND(Dot_ex($D311,$E311,$F311,$G311,$H311,$I311,$L311+SUM($N311:U311),L$115,L$117,L$117),2)</f>
        <v>0</v>
      </c>
      <c r="W311" s="57">
        <f>ROUND(Dot_ex($D311,$E311,$F311,$G311,$H311,$I311,$L311+SUM($N311:V311),M$115,M$117,M$117),2)</f>
        <v>0</v>
      </c>
    </row>
    <row r="312" spans="1:23" x14ac:dyDescent="0.2">
      <c r="A312" s="107">
        <f t="shared" ca="1" si="45"/>
        <v>96</v>
      </c>
      <c r="B312" s="1" t="s">
        <v>276</v>
      </c>
      <c r="C312" s="1" t="s">
        <v>8</v>
      </c>
      <c r="D312" s="77">
        <v>39300</v>
      </c>
      <c r="E312" s="77">
        <v>39300</v>
      </c>
      <c r="F312" s="77"/>
      <c r="G312" s="8">
        <v>3130</v>
      </c>
      <c r="H312" s="1" t="s">
        <v>8</v>
      </c>
      <c r="I312" s="78">
        <v>5</v>
      </c>
      <c r="J312" s="8">
        <v>2442.4299999999998</v>
      </c>
      <c r="K312" s="8">
        <f>ROUND(Dot_ex(D312,E312,F312,G312,H312,I312,J312,$G$6,$I$6,$I$8),2)</f>
        <v>626</v>
      </c>
      <c r="L312" s="8">
        <f>J312+K312</f>
        <v>3068.43</v>
      </c>
      <c r="M312" s="57">
        <f>G312-L312</f>
        <v>61.570000000000164</v>
      </c>
      <c r="N312" s="41">
        <f t="shared" si="44"/>
        <v>61.57</v>
      </c>
      <c r="O312" s="41">
        <f>ROUND(Dot_ex($D312,$E312,$F312,$G312,$H312,$I312,$L312+SUM($N312:N312),E$115,E$117,E$117),2)</f>
        <v>0</v>
      </c>
      <c r="P312" s="41">
        <f>ROUND(Dot_ex($D312,$E312,$F312,$G312,$H312,$I312,$L312+SUM($N312:O312),F$115,F$117,F$117),2)</f>
        <v>0</v>
      </c>
      <c r="Q312" s="41">
        <f>ROUND(Dot_ex($D312,$E312,$F312,$G312,$H312,$I312,$L312+SUM($N312:P312),G$115,G$117,G$117),2)</f>
        <v>0</v>
      </c>
      <c r="R312" s="57">
        <f>ROUND(Dot_ex($D312,$E312,$F312,$G312,$H312,$I312,$L312+SUM($N312:Q312),H$115,H$117,H$117),2)</f>
        <v>0</v>
      </c>
      <c r="S312" s="57">
        <f>ROUND(Dot_ex($D312,$E312,$F312,$G312,$H312,$I312,$L312+SUM($N312:R312),I$115,I$117,I$117),2)</f>
        <v>0</v>
      </c>
      <c r="T312" s="57">
        <f>ROUND(Dot_ex($D312,$E312,$F312,$G312,$H312,$I312,$L312+SUM($N312:S312),J$115,J$117,J$117),2)</f>
        <v>0</v>
      </c>
      <c r="U312" s="57">
        <f>ROUND(Dot_ex($D312,$E312,$F312,$G312,$H312,$I312,$L312+SUM($N312:T312),K$115,K$117,K$117),2)</f>
        <v>0</v>
      </c>
      <c r="V312" s="57">
        <f>ROUND(Dot_ex($D312,$E312,$F312,$G312,$H312,$I312,$L312+SUM($N312:U312),L$115,L$117,L$117),2)</f>
        <v>0</v>
      </c>
      <c r="W312" s="57">
        <f>ROUND(Dot_ex($D312,$E312,$F312,$G312,$H312,$I312,$L312+SUM($N312:V312),M$115,M$117,M$117),2)</f>
        <v>0</v>
      </c>
    </row>
    <row r="313" spans="1:23" x14ac:dyDescent="0.2">
      <c r="A313" s="107">
        <f t="shared" ca="1" si="45"/>
        <v>97</v>
      </c>
      <c r="B313" s="1" t="s">
        <v>284</v>
      </c>
      <c r="C313" s="1" t="s">
        <v>8</v>
      </c>
      <c r="D313" s="77">
        <v>40001</v>
      </c>
      <c r="E313" s="77">
        <v>40001</v>
      </c>
      <c r="F313" s="77"/>
      <c r="G313" s="8">
        <v>1931.43</v>
      </c>
      <c r="H313" s="1" t="s">
        <v>8</v>
      </c>
      <c r="I313" s="78">
        <v>5</v>
      </c>
      <c r="J313" s="8">
        <v>766.23</v>
      </c>
      <c r="K313" s="8">
        <f>ROUND(Dot_ex(D313,E313,F313,G313,H313,I313,J313,$G$6,$I$6,$I$8),2)</f>
        <v>386.29</v>
      </c>
      <c r="L313" s="8">
        <f>J313+K313</f>
        <v>1152.52</v>
      </c>
      <c r="M313" s="57">
        <f>G313-L313</f>
        <v>778.91000000000008</v>
      </c>
      <c r="N313" s="41">
        <f>ROUND(Dot_ex($D313,$E313,$F313,$G313,$H313,$I313,$L313,D$115,D$117,D$117),2)</f>
        <v>386.29</v>
      </c>
      <c r="O313" s="41">
        <f>ROUND(Dot_ex($D313,$E313,$F313,$G313,$H313,$I313,$L313+SUM($N313:N313),E$115,E$117,E$117),2)</f>
        <v>386.29</v>
      </c>
      <c r="P313" s="41">
        <f>ROUND(Dot_ex($D313,$E313,$F313,$G313,$H313,$I313,$L313+SUM($N313:O313),F$115,F$117,F$117),2)</f>
        <v>6.33</v>
      </c>
      <c r="Q313" s="41">
        <f>ROUND(Dot_ex($D313,$E313,$F313,$G313,$H313,$I313,$L313+SUM($N313:P313),G$115,G$117,G$117),2)</f>
        <v>0</v>
      </c>
      <c r="R313" s="57">
        <f>ROUND(Dot_ex($D313,$E313,$F313,$G313,$H313,$I313,$L313+SUM($N313:Q313),H$115,H$117,H$117),2)</f>
        <v>0</v>
      </c>
      <c r="S313" s="57">
        <f>ROUND(Dot_ex($D313,$E313,$F313,$G313,$H313,$I313,$L313+SUM($N313:R313),I$115,I$117,I$117),2)</f>
        <v>0</v>
      </c>
      <c r="T313" s="57">
        <f>ROUND(Dot_ex($D313,$E313,$F313,$G313,$H313,$I313,$L313+SUM($N313:S313),J$115,J$117,J$117),2)</f>
        <v>0</v>
      </c>
      <c r="U313" s="57">
        <f>ROUND(Dot_ex($D313,$E313,$F313,$G313,$H313,$I313,$L313+SUM($N313:T313),K$115,K$117,K$117),2)</f>
        <v>0</v>
      </c>
      <c r="V313" s="57">
        <f>ROUND(Dot_ex($D313,$E313,$F313,$G313,$H313,$I313,$L313+SUM($N313:U313),L$115,L$117,L$117),2)</f>
        <v>0</v>
      </c>
      <c r="W313" s="57">
        <f>ROUND(Dot_ex($D313,$E313,$F313,$G313,$H313,$I313,$L313+SUM($N313:V313),M$115,M$117,M$117),2)</f>
        <v>0</v>
      </c>
    </row>
    <row r="314" spans="1:23" x14ac:dyDescent="0.2">
      <c r="A314" s="107">
        <f t="shared" ca="1" si="45"/>
        <v>98</v>
      </c>
      <c r="B314" s="1" t="s">
        <v>285</v>
      </c>
      <c r="C314" s="1" t="s">
        <v>8</v>
      </c>
      <c r="D314" s="77">
        <v>40330</v>
      </c>
      <c r="E314" s="77">
        <v>40330</v>
      </c>
      <c r="F314" s="77"/>
      <c r="G314" s="8">
        <v>8877</v>
      </c>
      <c r="H314" s="1" t="s">
        <v>8</v>
      </c>
      <c r="I314" s="78">
        <v>5</v>
      </c>
      <c r="J314" s="8">
        <v>1921.32</v>
      </c>
      <c r="K314" s="8">
        <f>ROUND(Dot_ex(D314,E314,F314,G314,H314,I314,J314,$G$6,$I$6,$I$8),2)</f>
        <v>1775.4</v>
      </c>
      <c r="L314" s="8">
        <f>J314+K314</f>
        <v>3696.7200000000003</v>
      </c>
      <c r="M314" s="57">
        <f>G314-L314</f>
        <v>5180.28</v>
      </c>
      <c r="N314" s="41">
        <f>ROUND(Dot_ex($D314,$E314,$F314,$G314,$H314,$I314,$L314,D$115,D$117,D$117),2)</f>
        <v>1775.4</v>
      </c>
      <c r="O314" s="41">
        <f>ROUND(Dot_ex($D314,$E314,$F314,$G314,$H314,$I314,$L314+SUM($N314:N314),E$115,E$117,E$117),2)</f>
        <v>1775.4</v>
      </c>
      <c r="P314" s="41">
        <f>ROUND(Dot_ex($D314,$E314,$F314,$G314,$H314,$I314,$L314+SUM($N314:O314),F$115,F$117,F$117),2)</f>
        <v>1629.48</v>
      </c>
      <c r="Q314" s="41">
        <f>ROUND(Dot_ex($D314,$E314,$F314,$G314,$H314,$I314,$L314+SUM($N314:P314),G$115,G$117,G$117),2)</f>
        <v>0</v>
      </c>
      <c r="R314" s="57">
        <f>ROUND(Dot_ex($D314,$E314,$F314,$G314,$H314,$I314,$L314+SUM($N314:Q314),H$115,H$117,H$117),2)</f>
        <v>0</v>
      </c>
      <c r="S314" s="57">
        <f>ROUND(Dot_ex($D314,$E314,$F314,$G314,$H314,$I314,$L314+SUM($N314:R314),I$115,I$117,I$117),2)</f>
        <v>0</v>
      </c>
      <c r="T314" s="57">
        <f>ROUND(Dot_ex($D314,$E314,$F314,$G314,$H314,$I314,$L314+SUM($N314:S314),J$115,J$117,J$117),2)</f>
        <v>0</v>
      </c>
      <c r="U314" s="57">
        <f>ROUND(Dot_ex($D314,$E314,$F314,$G314,$H314,$I314,$L314+SUM($N314:T314),K$115,K$117,K$117),2)</f>
        <v>0</v>
      </c>
      <c r="V314" s="57">
        <f>ROUND(Dot_ex($D314,$E314,$F314,$G314,$H314,$I314,$L314+SUM($N314:U314),L$115,L$117,L$117),2)</f>
        <v>0</v>
      </c>
      <c r="W314" s="57">
        <f>ROUND(Dot_ex($D314,$E314,$F314,$G314,$H314,$I314,$L314+SUM($N314:V314),M$115,M$117,M$117),2)</f>
        <v>0</v>
      </c>
    </row>
    <row r="315" spans="1:23" x14ac:dyDescent="0.2">
      <c r="A315" s="107">
        <f t="shared" ca="1" si="45"/>
        <v>99</v>
      </c>
      <c r="B315" s="1" t="s">
        <v>287</v>
      </c>
      <c r="C315" s="1" t="s">
        <v>8</v>
      </c>
      <c r="D315" s="77">
        <v>40346</v>
      </c>
      <c r="E315" s="77">
        <v>40330</v>
      </c>
      <c r="F315" s="77"/>
      <c r="G315" s="8">
        <v>316.08999999999997</v>
      </c>
      <c r="H315" s="1" t="s">
        <v>8</v>
      </c>
      <c r="I315" s="78">
        <v>1</v>
      </c>
      <c r="J315" s="8">
        <v>316.08999999999997</v>
      </c>
      <c r="K315" s="8">
        <f>ROUND(Dot_ex(D315,E315,F315,G315,H315,I315,J315,$G$6,$I$6,$I$8),2)</f>
        <v>0</v>
      </c>
      <c r="L315" s="8">
        <f>J315+K315</f>
        <v>316.08999999999997</v>
      </c>
      <c r="M315" s="57">
        <f>G315-L315</f>
        <v>0</v>
      </c>
      <c r="N315" s="41">
        <f>ROUND(Dot_ex($D315,$E315,$F315,$G315,$H315,$I315,$L315,D$115,D$117,D$117),2)</f>
        <v>0</v>
      </c>
      <c r="O315" s="41">
        <f>ROUND(Dot_ex($D315,$E315,$F315,$G315,$H315,$I315,$L315+SUM($N315:N315),E$115,E$117,E$117),2)</f>
        <v>0</v>
      </c>
      <c r="P315" s="41">
        <f>ROUND(Dot_ex($D315,$E315,$F315,$G315,$H315,$I315,$L315+SUM($N315:O315),F$115,F$117,F$117),2)</f>
        <v>0</v>
      </c>
      <c r="Q315" s="41">
        <f>ROUND(Dot_ex($D315,$E315,$F315,$G315,$H315,$I315,$L315+SUM($N315:P315),G$115,G$117,G$117),2)</f>
        <v>0</v>
      </c>
      <c r="R315" s="57">
        <f>ROUND(Dot_ex($D315,$E315,$F315,$G315,$H315,$I315,$L315+SUM($N315:Q315),H$115,H$117,H$117),2)</f>
        <v>0</v>
      </c>
      <c r="S315" s="57"/>
      <c r="T315" s="57"/>
      <c r="U315" s="57"/>
      <c r="V315" s="57"/>
      <c r="W315" s="57"/>
    </row>
    <row r="316" spans="1:23" x14ac:dyDescent="0.2">
      <c r="A316" s="107">
        <f t="shared" ca="1" si="45"/>
        <v>100</v>
      </c>
      <c r="B316" s="1" t="s">
        <v>289</v>
      </c>
      <c r="C316" s="1" t="s">
        <v>8</v>
      </c>
      <c r="D316" s="77">
        <v>40481</v>
      </c>
      <c r="E316" s="77">
        <v>40481</v>
      </c>
      <c r="F316" s="77"/>
      <c r="G316" s="8">
        <v>830</v>
      </c>
      <c r="H316" s="1" t="s">
        <v>12</v>
      </c>
      <c r="I316" s="78">
        <v>3</v>
      </c>
      <c r="J316" s="8">
        <v>258.66000000000003</v>
      </c>
      <c r="K316" s="8">
        <f>ROUND(Dot_ex(D316,E316,F316,G316,H316,I316,J316,$G$6,$I$6,$I$8),2)</f>
        <v>285.67</v>
      </c>
      <c r="L316" s="8">
        <f>J316+K316</f>
        <v>544.33000000000004</v>
      </c>
      <c r="M316" s="57">
        <f>G316-L316</f>
        <v>285.66999999999996</v>
      </c>
      <c r="N316" s="41">
        <f>ROUND(Dot_ex($D316,$E316,$F316,$G316,$H316,$I316,$L316,D$115,D$117,D$117),2)</f>
        <v>285.67</v>
      </c>
      <c r="O316" s="41">
        <f>ROUND(Dot_ex($D316,$E316,$F316,$G316,$H316,$I316,$L316+SUM($N316:N316),E$115,E$117,E$117),2)</f>
        <v>0</v>
      </c>
      <c r="P316" s="41">
        <f>ROUND(Dot_ex($D316,$E316,$F316,$G316,$H316,$I316,$L316+SUM($N316:O316),F$115,F$117,F$117),2)</f>
        <v>0</v>
      </c>
      <c r="Q316" s="41">
        <f>ROUND(Dot_ex($D316,$E316,$F316,$G316,$H316,$I316,$L316+SUM($N316:P316),G$115,G$117,G$117),2)</f>
        <v>0</v>
      </c>
      <c r="R316" s="57">
        <f>ROUND(Dot_ex($D316,$E316,$F316,$G316,$H316,$I316,$L316+SUM($N316:Q316),H$115,H$117,H$117),2)</f>
        <v>0</v>
      </c>
      <c r="S316" s="57">
        <f>ROUND(Dot_ex($D316,$E316,$F316,$G316,$H316,$I316,$L316+SUM($N316:R316),I$115,I$117,I$117),2)</f>
        <v>0</v>
      </c>
      <c r="T316" s="57">
        <f>ROUND(Dot_ex($D316,$E316,$F316,$G316,$H316,$I316,$L316+SUM($N316:S316),J$115,J$117,J$117),2)</f>
        <v>0</v>
      </c>
      <c r="U316" s="57">
        <f>ROUND(Dot_ex($D316,$E316,$F316,$G316,$H316,$I316,$L316+SUM($N316:T316),K$115,K$117,K$117),2)</f>
        <v>0</v>
      </c>
      <c r="V316" s="57">
        <f>ROUND(Dot_ex($D316,$E316,$F316,$G316,$H316,$I316,$L316+SUM($N316:U316),L$115,L$117,L$117),2)</f>
        <v>0</v>
      </c>
      <c r="W316" s="57">
        <f>ROUND(Dot_ex($D316,$E316,$F316,$G316,$H316,$I316,$L316+SUM($N316:V316),M$115,M$117,M$117),2)</f>
        <v>0</v>
      </c>
    </row>
    <row r="317" spans="1:23" x14ac:dyDescent="0.2">
      <c r="A317" s="107"/>
      <c r="B317" s="1"/>
      <c r="C317" s="1"/>
      <c r="D317" s="77"/>
      <c r="E317" s="77"/>
      <c r="F317" s="77"/>
      <c r="G317" s="8"/>
      <c r="H317" s="1"/>
      <c r="I317" s="78"/>
      <c r="J317" s="8"/>
      <c r="K317" s="8"/>
      <c r="L317" s="8"/>
      <c r="M317" s="57"/>
      <c r="N317" s="41"/>
      <c r="O317" s="41"/>
      <c r="P317" s="41"/>
      <c r="Q317" s="41"/>
      <c r="R317" s="57">
        <f>ROUND(Dot_ex($D317,$E317,$F317,$G317,$H317,$I317,$L317+SUM($N317:Q317),H$115,H$117,H$117),2)</f>
        <v>0</v>
      </c>
      <c r="S317" s="57">
        <f>ROUND(Dot_ex($D317,$E317,$F317,$G317,$H317,$I317,$L317+SUM($N317:R317),I$115,I$117,I$117),2)</f>
        <v>0</v>
      </c>
      <c r="T317" s="57">
        <f>ROUND(Dot_ex($D317,$E317,$F317,$G317,$H317,$I317,$L317+SUM($N317:S317),J$115,J$117,J$117),2)</f>
        <v>0</v>
      </c>
      <c r="U317" s="57">
        <f>ROUND(Dot_ex($D317,$E317,$F317,$G317,$H317,$I317,$L317+SUM($N317:T317),K$115,K$117,K$117),2)</f>
        <v>0</v>
      </c>
      <c r="V317" s="57">
        <f>ROUND(Dot_ex($D317,$E317,$F317,$G317,$H317,$I317,$L317+SUM($N317:U317),L$115,L$117,L$117),2)</f>
        <v>0</v>
      </c>
      <c r="W317" s="57">
        <f>ROUND(Dot_ex($D317,$E317,$F317,$G317,$H317,$I317,$L317+SUM($N317:V317),M$115,M$117,M$117),2)</f>
        <v>0</v>
      </c>
    </row>
    <row r="318" spans="1:23" x14ac:dyDescent="0.2">
      <c r="A318" s="101"/>
      <c r="E318" s="94" t="s">
        <v>14</v>
      </c>
      <c r="F318" s="95"/>
      <c r="G318" s="96">
        <f>SUM(G242:G317)</f>
        <v>412660.77999999997</v>
      </c>
      <c r="H318" s="94"/>
      <c r="I318" s="97"/>
      <c r="J318" s="96">
        <f t="shared" ref="J318:R318" si="49">SUM(J242:J317)</f>
        <v>403280.98999999993</v>
      </c>
      <c r="K318" s="96">
        <f t="shared" si="49"/>
        <v>3073.36</v>
      </c>
      <c r="L318" s="96">
        <f t="shared" si="49"/>
        <v>406354.35</v>
      </c>
      <c r="M318" s="203">
        <f t="shared" si="49"/>
        <v>6306.43</v>
      </c>
      <c r="N318" s="202">
        <f t="shared" si="49"/>
        <v>2508.9300000000003</v>
      </c>
      <c r="O318" s="202">
        <f t="shared" si="49"/>
        <v>2161.69</v>
      </c>
      <c r="P318" s="202">
        <f t="shared" si="49"/>
        <v>1635.81</v>
      </c>
      <c r="Q318" s="202">
        <f t="shared" si="49"/>
        <v>0</v>
      </c>
      <c r="R318" s="203">
        <f t="shared" si="49"/>
        <v>0</v>
      </c>
      <c r="S318" s="203">
        <f>SUM(S242:S317)</f>
        <v>0</v>
      </c>
      <c r="T318" s="203">
        <f>SUM(T242:T317)</f>
        <v>0</v>
      </c>
      <c r="U318" s="203">
        <f>SUM(U242:U317)</f>
        <v>0</v>
      </c>
      <c r="V318" s="203">
        <f>SUM(V242:V317)</f>
        <v>0</v>
      </c>
      <c r="W318" s="203">
        <f>SUM(W242:W317)</f>
        <v>0</v>
      </c>
    </row>
    <row r="319" spans="1:23" x14ac:dyDescent="0.2">
      <c r="A319" s="101"/>
      <c r="M319" s="14"/>
      <c r="N319" s="41"/>
      <c r="O319" s="41"/>
      <c r="P319" s="41"/>
      <c r="Q319" s="41"/>
      <c r="R319" s="57"/>
      <c r="S319" s="57"/>
      <c r="T319" s="57"/>
      <c r="U319" s="57"/>
      <c r="V319" s="57"/>
      <c r="W319" s="57"/>
    </row>
    <row r="320" spans="1:23" x14ac:dyDescent="0.2">
      <c r="A320" s="101"/>
      <c r="E320" s="1" t="s">
        <v>23</v>
      </c>
      <c r="G320" s="8">
        <f>SUMIF($D$242:$D$317,"&lt;"&amp;TEXT($G$6,"jj/mm/aa"),G$242:G$317)</f>
        <v>412660.77999999997</v>
      </c>
      <c r="J320" s="8">
        <f>SUMIF($D$242:$D$317,"&lt;"&amp;TEXT($G$6,"jj/mm/aa"),J$242:J$317)</f>
        <v>403280.98999999993</v>
      </c>
      <c r="K320" s="8">
        <f>SUMIF($D$242:$D$317,"&lt;"&amp;TEXT($G$6,"jj/mm/aa"),K$242:K$317)</f>
        <v>3073.36</v>
      </c>
      <c r="L320" s="8">
        <f>SUMIF($D$242:$D$317,"&lt;"&amp;TEXT($G$6,"jj/mm/aa"),L$242:L$317)</f>
        <v>406354.35</v>
      </c>
      <c r="M320" s="57">
        <f>SUMIF($D$242:$D$317,"&lt;"&amp;TEXT($G$6,"jj/mm/aa"),M$242:M$317)</f>
        <v>6306.43</v>
      </c>
      <c r="N320" s="41"/>
      <c r="O320" s="41"/>
      <c r="P320" s="41"/>
      <c r="Q320" s="41"/>
      <c r="R320" s="57"/>
      <c r="S320" s="57"/>
      <c r="T320" s="57"/>
      <c r="U320" s="57"/>
      <c r="V320" s="57"/>
      <c r="W320" s="57"/>
    </row>
    <row r="321" spans="1:23" x14ac:dyDescent="0.2">
      <c r="A321" s="101"/>
      <c r="E321" s="1" t="s">
        <v>38</v>
      </c>
      <c r="G321" s="8">
        <f>SUMIF($D$242:$D$317,"&gt;="&amp;TEXT($G$6,"jj/mm/aa"),G$242:G$317)</f>
        <v>0</v>
      </c>
      <c r="J321" s="8">
        <f>SUMIF($D$242:$D$317,"&gt;="&amp;TEXT($G$6,"jj/mm/aa"),J$242:J$317)</f>
        <v>0</v>
      </c>
      <c r="K321" s="8">
        <f>SUMIF($D$242:$D$317,"&gt;="&amp;TEXT($G$6,"jj/mm/aa"),K$242:K$317)</f>
        <v>0</v>
      </c>
      <c r="L321" s="8">
        <f>SUMIF($D$242:$D$317,"&gt;="&amp;TEXT($G$6,"jj/mm/aa"),L$242:L$317)</f>
        <v>0</v>
      </c>
      <c r="M321" s="57">
        <f>SUMIF($D$242:$D$317,"&gt;="&amp;TEXT($G$6,"jj/mm/aa"),M$242:M$317)</f>
        <v>0</v>
      </c>
      <c r="N321" s="41"/>
      <c r="O321" s="41"/>
      <c r="P321" s="41"/>
      <c r="Q321" s="41"/>
      <c r="R321" s="57"/>
      <c r="S321" s="57"/>
      <c r="T321" s="57"/>
      <c r="U321" s="57"/>
      <c r="V321" s="57"/>
      <c r="W321" s="57"/>
    </row>
    <row r="322" spans="1:23" x14ac:dyDescent="0.2">
      <c r="A322" s="101"/>
      <c r="E322" s="1" t="s">
        <v>39</v>
      </c>
      <c r="G322" s="8">
        <f>SUMIF($F$242:$F$317,"&gt;="&amp;TEXT($G$6,"jj/mm/aa"),G$242:G$317)</f>
        <v>0</v>
      </c>
      <c r="J322" s="8">
        <f>SUMIF($F$242:$F$317,"&gt;="&amp;TEXT($G$6,"jj/mm/aa"),J$242:J$317)</f>
        <v>0</v>
      </c>
      <c r="K322" s="8">
        <f>SUMIF($F$242:$F$317,"&gt;="&amp;TEXT($G$6,"jj/mm/aa"),K$242:K$317)</f>
        <v>0</v>
      </c>
      <c r="L322" s="8">
        <f>SUMIF($F$242:$F$317,"&gt;="&amp;TEXT($G$6,"jj/mm/aa"),L$242:L$317)</f>
        <v>0</v>
      </c>
      <c r="M322" s="57">
        <f>SUMIF($F$242:$F$317,"&gt;="&amp;TEXT($G$6,"jj/mm/aa"),M$242:M$317)</f>
        <v>0</v>
      </c>
      <c r="N322" s="41"/>
      <c r="O322" s="41"/>
      <c r="P322" s="41"/>
      <c r="Q322" s="41"/>
      <c r="R322" s="57"/>
      <c r="S322" s="57"/>
      <c r="T322" s="57"/>
      <c r="U322" s="57"/>
      <c r="V322" s="57"/>
      <c r="W322" s="57"/>
    </row>
    <row r="323" spans="1:23" x14ac:dyDescent="0.2">
      <c r="A323" s="101"/>
      <c r="E323" s="1" t="s">
        <v>15</v>
      </c>
      <c r="G323" s="8">
        <f>G320+G321-G322</f>
        <v>412660.77999999997</v>
      </c>
      <c r="J323" s="8">
        <f>J320+J321-J322</f>
        <v>403280.98999999993</v>
      </c>
      <c r="K323" s="8">
        <f>K320+K321-K322</f>
        <v>3073.36</v>
      </c>
      <c r="L323" s="8">
        <f>L320+L321-L322</f>
        <v>406354.35</v>
      </c>
      <c r="M323" s="57">
        <f>M320+M321-M322</f>
        <v>6306.43</v>
      </c>
      <c r="N323" s="41"/>
      <c r="O323" s="41"/>
      <c r="P323" s="41"/>
      <c r="Q323" s="41"/>
      <c r="R323" s="57"/>
      <c r="S323" s="57"/>
      <c r="T323" s="57"/>
      <c r="U323" s="57"/>
      <c r="V323" s="57"/>
      <c r="W323" s="57"/>
    </row>
    <row r="324" spans="1:23" x14ac:dyDescent="0.2">
      <c r="A324" s="101"/>
      <c r="M324" s="14"/>
      <c r="N324" s="41"/>
      <c r="O324" s="41"/>
      <c r="P324" s="41"/>
      <c r="Q324" s="41"/>
      <c r="R324" s="57"/>
      <c r="S324" s="57"/>
      <c r="T324" s="57"/>
      <c r="U324" s="57"/>
      <c r="V324" s="57"/>
      <c r="W324" s="57"/>
    </row>
    <row r="325" spans="1:23" x14ac:dyDescent="0.2">
      <c r="A325" s="101"/>
      <c r="M325" s="14"/>
      <c r="N325" s="41"/>
      <c r="O325" s="41"/>
      <c r="P325" s="41"/>
      <c r="Q325" s="41"/>
      <c r="R325" s="57"/>
      <c r="S325" s="57"/>
      <c r="T325" s="57"/>
      <c r="U325" s="57"/>
      <c r="V325" s="57"/>
      <c r="W325" s="57"/>
    </row>
    <row r="326" spans="1:23" ht="24.95" customHeight="1" x14ac:dyDescent="0.2">
      <c r="A326" s="208" t="s">
        <v>190</v>
      </c>
      <c r="B326" s="209"/>
      <c r="C326" s="209"/>
      <c r="D326" s="209"/>
      <c r="E326" s="210"/>
      <c r="F326" s="211"/>
      <c r="G326" s="211"/>
      <c r="H326" s="211"/>
      <c r="I326" s="211"/>
      <c r="J326" s="211"/>
      <c r="K326" s="211"/>
      <c r="L326" s="211"/>
      <c r="M326" s="226"/>
      <c r="N326" s="220" t="str">
        <f>A326 &amp; "   -   Dotations prévisionnelles"</f>
        <v>215410 MATERIEL ET OUTILLAGE ( CONTROLEURS &amp; DIVERS)   -   Dotations prévisionnelles</v>
      </c>
      <c r="O326" s="212"/>
      <c r="P326" s="212"/>
      <c r="Q326" s="212"/>
      <c r="R326" s="213"/>
      <c r="S326" s="212"/>
      <c r="T326" s="212"/>
      <c r="U326" s="212"/>
      <c r="V326" s="212"/>
      <c r="W326" s="213"/>
    </row>
    <row r="327" spans="1:23" x14ac:dyDescent="0.2">
      <c r="A327" s="107">
        <f t="shared" ref="A327:A345" ca="1" si="50">IF(ISNUMBER(A326),A326+1,OFFSET(A327,-Nbre_Ligne_Entre_Compte,0,1,1)+1)</f>
        <v>101</v>
      </c>
      <c r="B327" s="1" t="s">
        <v>106</v>
      </c>
      <c r="C327" s="1"/>
      <c r="D327" s="77">
        <v>31897</v>
      </c>
      <c r="E327" s="77">
        <v>31897</v>
      </c>
      <c r="F327" s="77"/>
      <c r="G327" s="8">
        <v>270.02999999999997</v>
      </c>
      <c r="H327" s="1" t="s">
        <v>8</v>
      </c>
      <c r="I327" s="78">
        <v>5</v>
      </c>
      <c r="J327" s="8">
        <v>270.02999999999997</v>
      </c>
      <c r="K327" s="8">
        <f t="shared" ref="K327:K345" si="51">ROUND(Dot_ex(D327,E327,F327,G327,H327,I327,J327,$G$6,$I$6,$I$8),2)</f>
        <v>0</v>
      </c>
      <c r="L327" s="8">
        <f t="shared" ref="L327:L345" si="52">J327+K327</f>
        <v>270.02999999999997</v>
      </c>
      <c r="M327" s="57">
        <f t="shared" ref="M327:M345" si="53">G327-L327</f>
        <v>0</v>
      </c>
      <c r="N327" s="41">
        <f t="shared" ref="N327:N345" si="54">ROUND(Dot_ex($D327,$E327,$F327,$G327,$H327,$I327,$L327,D$115,D$117,D$117),2)</f>
        <v>0</v>
      </c>
      <c r="O327" s="41">
        <f>ROUND(Dot_ex($D327,$E327,$F327,$G327,$H327,$I327,$L327+SUM($N327:N327),E$115,E$117,E$117),2)</f>
        <v>0</v>
      </c>
      <c r="P327" s="41">
        <f>ROUND(Dot_ex($D327,$E327,$F327,$G327,$H327,$I327,$L327+SUM($N327:O327),F$115,F$117,F$117),2)</f>
        <v>0</v>
      </c>
      <c r="Q327" s="41">
        <f>ROUND(Dot_ex($D327,$E327,$F327,$G327,$H327,$I327,$L327+SUM($N327:P327),G$115,G$117,G$117),2)</f>
        <v>0</v>
      </c>
      <c r="R327" s="57">
        <f>ROUND(Dot_ex($D327,$E327,$F327,$G327,$H327,$I327,$L327+SUM($N327:Q327),H$115,H$117,H$117),2)</f>
        <v>0</v>
      </c>
      <c r="S327" s="57">
        <f>ROUND(Dot_ex($D327,$E327,$F327,$G327,$H327,$I327,$L327+SUM($N327:R327),I$115,I$117,I$117),2)</f>
        <v>0</v>
      </c>
      <c r="T327" s="57">
        <f>ROUND(Dot_ex($D327,$E327,$F327,$G327,$H327,$I327,$L327+SUM($N327:S327),J$115,J$117,J$117),2)</f>
        <v>0</v>
      </c>
      <c r="U327" s="57">
        <f>ROUND(Dot_ex($D327,$E327,$F327,$G327,$H327,$I327,$L327+SUM($N327:T327),K$115,K$117,K$117),2)</f>
        <v>0</v>
      </c>
      <c r="V327" s="57">
        <f>ROUND(Dot_ex($D327,$E327,$F327,$G327,$H327,$I327,$L327+SUM($N327:U327),L$115,L$117,L$117),2)</f>
        <v>0</v>
      </c>
      <c r="W327" s="57">
        <f>ROUND(Dot_ex($D327,$E327,$F327,$G327,$H327,$I327,$L327+SUM($N327:V327),M$115,M$117,M$117),2)</f>
        <v>0</v>
      </c>
    </row>
    <row r="328" spans="1:23" x14ac:dyDescent="0.2">
      <c r="A328" s="107">
        <f t="shared" ca="1" si="50"/>
        <v>102</v>
      </c>
      <c r="B328" s="1" t="s">
        <v>107</v>
      </c>
      <c r="C328" s="1"/>
      <c r="D328" s="77">
        <v>32717</v>
      </c>
      <c r="E328" s="77">
        <v>32717</v>
      </c>
      <c r="F328" s="77"/>
      <c r="G328" s="8">
        <v>2075.17</v>
      </c>
      <c r="H328" s="1" t="s">
        <v>8</v>
      </c>
      <c r="I328" s="78">
        <v>5</v>
      </c>
      <c r="J328" s="8">
        <v>2075.17</v>
      </c>
      <c r="K328" s="8">
        <f t="shared" si="51"/>
        <v>0</v>
      </c>
      <c r="L328" s="8">
        <f t="shared" si="52"/>
        <v>2075.17</v>
      </c>
      <c r="M328" s="57">
        <f t="shared" si="53"/>
        <v>0</v>
      </c>
      <c r="N328" s="41">
        <f t="shared" si="54"/>
        <v>0</v>
      </c>
      <c r="O328" s="41">
        <f>ROUND(Dot_ex($D328,$E328,$F328,$G328,$H328,$I328,$L328+SUM($N328:N328),E$115,E$117,E$117),2)</f>
        <v>0</v>
      </c>
      <c r="P328" s="41">
        <f>ROUND(Dot_ex($D328,$E328,$F328,$G328,$H328,$I328,$L328+SUM($N328:O328),F$115,F$117,F$117),2)</f>
        <v>0</v>
      </c>
      <c r="Q328" s="41">
        <f>ROUND(Dot_ex($D328,$E328,$F328,$G328,$H328,$I328,$L328+SUM($N328:P328),G$115,G$117,G$117),2)</f>
        <v>0</v>
      </c>
      <c r="R328" s="57">
        <f>ROUND(Dot_ex($D328,$E328,$F328,$G328,$H328,$I328,$L328+SUM($N328:Q328),H$115,H$117,H$117),2)</f>
        <v>0</v>
      </c>
      <c r="S328" s="57">
        <f>ROUND(Dot_ex($D328,$E328,$F328,$G328,$H328,$I328,$L328+SUM($N328:R328),I$115,I$117,I$117),2)</f>
        <v>0</v>
      </c>
      <c r="T328" s="57">
        <f>ROUND(Dot_ex($D328,$E328,$F328,$G328,$H328,$I328,$L328+SUM($N328:S328),J$115,J$117,J$117),2)</f>
        <v>0</v>
      </c>
      <c r="U328" s="57">
        <f>ROUND(Dot_ex($D328,$E328,$F328,$G328,$H328,$I328,$L328+SUM($N328:T328),K$115,K$117,K$117),2)</f>
        <v>0</v>
      </c>
      <c r="V328" s="57">
        <f>ROUND(Dot_ex($D328,$E328,$F328,$G328,$H328,$I328,$L328+SUM($N328:U328),L$115,L$117,L$117),2)</f>
        <v>0</v>
      </c>
      <c r="W328" s="57">
        <f>ROUND(Dot_ex($D328,$E328,$F328,$G328,$H328,$I328,$L328+SUM($N328:V328),M$115,M$117,M$117),2)</f>
        <v>0</v>
      </c>
    </row>
    <row r="329" spans="1:23" x14ac:dyDescent="0.2">
      <c r="A329" s="107">
        <f t="shared" ca="1" si="50"/>
        <v>103</v>
      </c>
      <c r="B329" s="1" t="s">
        <v>108</v>
      </c>
      <c r="C329" s="1"/>
      <c r="D329" s="77">
        <v>32849</v>
      </c>
      <c r="E329" s="77">
        <v>32849</v>
      </c>
      <c r="F329" s="77"/>
      <c r="G329" s="8">
        <v>952.38</v>
      </c>
      <c r="H329" s="1" t="s">
        <v>8</v>
      </c>
      <c r="I329" s="78">
        <v>7</v>
      </c>
      <c r="J329" s="8">
        <v>952.38</v>
      </c>
      <c r="K329" s="8">
        <f t="shared" si="51"/>
        <v>0</v>
      </c>
      <c r="L329" s="8">
        <f t="shared" si="52"/>
        <v>952.38</v>
      </c>
      <c r="M329" s="57">
        <f t="shared" si="53"/>
        <v>0</v>
      </c>
      <c r="N329" s="41">
        <f t="shared" si="54"/>
        <v>0</v>
      </c>
      <c r="O329" s="41">
        <f>ROUND(Dot_ex($D329,$E329,$F329,$G329,$H329,$I329,$L329+SUM($N329:N329),E$115,E$117,E$117),2)</f>
        <v>0</v>
      </c>
      <c r="P329" s="41">
        <f>ROUND(Dot_ex($D329,$E329,$F329,$G329,$H329,$I329,$L329+SUM($N329:O329),F$115,F$117,F$117),2)</f>
        <v>0</v>
      </c>
      <c r="Q329" s="41">
        <f>ROUND(Dot_ex($D329,$E329,$F329,$G329,$H329,$I329,$L329+SUM($N329:P329),G$115,G$117,G$117),2)</f>
        <v>0</v>
      </c>
      <c r="R329" s="57">
        <f>ROUND(Dot_ex($D329,$E329,$F329,$G329,$H329,$I329,$L329+SUM($N329:Q329),H$115,H$117,H$117),2)</f>
        <v>0</v>
      </c>
      <c r="S329" s="57">
        <f>ROUND(Dot_ex($D329,$E329,$F329,$G329,$H329,$I329,$L329+SUM($N329:R329),I$115,I$117,I$117),2)</f>
        <v>0</v>
      </c>
      <c r="T329" s="57">
        <f>ROUND(Dot_ex($D329,$E329,$F329,$G329,$H329,$I329,$L329+SUM($N329:S329),J$115,J$117,J$117),2)</f>
        <v>0</v>
      </c>
      <c r="U329" s="57">
        <f>ROUND(Dot_ex($D329,$E329,$F329,$G329,$H329,$I329,$L329+SUM($N329:T329),K$115,K$117,K$117),2)</f>
        <v>0</v>
      </c>
      <c r="V329" s="57">
        <f>ROUND(Dot_ex($D329,$E329,$F329,$G329,$H329,$I329,$L329+SUM($N329:U329),L$115,L$117,L$117),2)</f>
        <v>0</v>
      </c>
      <c r="W329" s="57">
        <f>ROUND(Dot_ex($D329,$E329,$F329,$G329,$H329,$I329,$L329+SUM($N329:V329),M$115,M$117,M$117),2)</f>
        <v>0</v>
      </c>
    </row>
    <row r="330" spans="1:23" x14ac:dyDescent="0.2">
      <c r="A330" s="107">
        <f t="shared" ca="1" si="50"/>
        <v>104</v>
      </c>
      <c r="B330" s="1" t="s">
        <v>109</v>
      </c>
      <c r="C330" s="1"/>
      <c r="D330" s="77">
        <v>32849</v>
      </c>
      <c r="E330" s="77">
        <v>32849</v>
      </c>
      <c r="F330" s="77"/>
      <c r="G330" s="8">
        <v>1223.43</v>
      </c>
      <c r="H330" s="1" t="s">
        <v>8</v>
      </c>
      <c r="I330" s="78">
        <v>7</v>
      </c>
      <c r="J330" s="8">
        <v>1223.43</v>
      </c>
      <c r="K330" s="8">
        <f t="shared" si="51"/>
        <v>0</v>
      </c>
      <c r="L330" s="8">
        <f t="shared" si="52"/>
        <v>1223.43</v>
      </c>
      <c r="M330" s="57">
        <f t="shared" si="53"/>
        <v>0</v>
      </c>
      <c r="N330" s="41">
        <f t="shared" si="54"/>
        <v>0</v>
      </c>
      <c r="O330" s="41">
        <f>ROUND(Dot_ex($D330,$E330,$F330,$G330,$H330,$I330,$L330+SUM($N330:N330),E$115,E$117,E$117),2)</f>
        <v>0</v>
      </c>
      <c r="P330" s="41">
        <f>ROUND(Dot_ex($D330,$E330,$F330,$G330,$H330,$I330,$L330+SUM($N330:O330),F$115,F$117,F$117),2)</f>
        <v>0</v>
      </c>
      <c r="Q330" s="41">
        <f>ROUND(Dot_ex($D330,$E330,$F330,$G330,$H330,$I330,$L330+SUM($N330:P330),G$115,G$117,G$117),2)</f>
        <v>0</v>
      </c>
      <c r="R330" s="57">
        <f>ROUND(Dot_ex($D330,$E330,$F330,$G330,$H330,$I330,$L330+SUM($N330:Q330),H$115,H$117,H$117),2)</f>
        <v>0</v>
      </c>
      <c r="S330" s="57">
        <f>ROUND(Dot_ex($D330,$E330,$F330,$G330,$H330,$I330,$L330+SUM($N330:R330),I$115,I$117,I$117),2)</f>
        <v>0</v>
      </c>
      <c r="T330" s="57">
        <f>ROUND(Dot_ex($D330,$E330,$F330,$G330,$H330,$I330,$L330+SUM($N330:S330),J$115,J$117,J$117),2)</f>
        <v>0</v>
      </c>
      <c r="U330" s="57">
        <f>ROUND(Dot_ex($D330,$E330,$F330,$G330,$H330,$I330,$L330+SUM($N330:T330),K$115,K$117,K$117),2)</f>
        <v>0</v>
      </c>
      <c r="V330" s="57">
        <f>ROUND(Dot_ex($D330,$E330,$F330,$G330,$H330,$I330,$L330+SUM($N330:U330),L$115,L$117,L$117),2)</f>
        <v>0</v>
      </c>
      <c r="W330" s="57">
        <f>ROUND(Dot_ex($D330,$E330,$F330,$G330,$H330,$I330,$L330+SUM($N330:V330),M$115,M$117,M$117),2)</f>
        <v>0</v>
      </c>
    </row>
    <row r="331" spans="1:23" x14ac:dyDescent="0.2">
      <c r="A331" s="107">
        <f t="shared" ca="1" si="50"/>
        <v>105</v>
      </c>
      <c r="B331" s="1" t="s">
        <v>108</v>
      </c>
      <c r="C331" s="1"/>
      <c r="D331" s="77">
        <v>32849</v>
      </c>
      <c r="E331" s="77">
        <v>32849</v>
      </c>
      <c r="F331" s="77"/>
      <c r="G331" s="8">
        <v>952.38</v>
      </c>
      <c r="H331" s="1" t="s">
        <v>8</v>
      </c>
      <c r="I331" s="78">
        <v>7</v>
      </c>
      <c r="J331" s="8">
        <v>952.38</v>
      </c>
      <c r="K331" s="8">
        <f t="shared" si="51"/>
        <v>0</v>
      </c>
      <c r="L331" s="8">
        <f t="shared" si="52"/>
        <v>952.38</v>
      </c>
      <c r="M331" s="57">
        <f t="shared" si="53"/>
        <v>0</v>
      </c>
      <c r="N331" s="41">
        <f t="shared" si="54"/>
        <v>0</v>
      </c>
      <c r="O331" s="41">
        <f>ROUND(Dot_ex($D331,$E331,$F331,$G331,$H331,$I331,$L331+SUM($N331:N331),E$115,E$117,E$117),2)</f>
        <v>0</v>
      </c>
      <c r="P331" s="41">
        <f>ROUND(Dot_ex($D331,$E331,$F331,$G331,$H331,$I331,$L331+SUM($N331:O331),F$115,F$117,F$117),2)</f>
        <v>0</v>
      </c>
      <c r="Q331" s="41">
        <f>ROUND(Dot_ex($D331,$E331,$F331,$G331,$H331,$I331,$L331+SUM($N331:P331),G$115,G$117,G$117),2)</f>
        <v>0</v>
      </c>
      <c r="R331" s="57">
        <f>ROUND(Dot_ex($D331,$E331,$F331,$G331,$H331,$I331,$L331+SUM($N331:Q331),H$115,H$117,H$117),2)</f>
        <v>0</v>
      </c>
      <c r="S331" s="57">
        <f>ROUND(Dot_ex($D331,$E331,$F331,$G331,$H331,$I331,$L331+SUM($N331:R331),I$115,I$117,I$117),2)</f>
        <v>0</v>
      </c>
      <c r="T331" s="57">
        <f>ROUND(Dot_ex($D331,$E331,$F331,$G331,$H331,$I331,$L331+SUM($N331:S331),J$115,J$117,J$117),2)</f>
        <v>0</v>
      </c>
      <c r="U331" s="57">
        <f>ROUND(Dot_ex($D331,$E331,$F331,$G331,$H331,$I331,$L331+SUM($N331:T331),K$115,K$117,K$117),2)</f>
        <v>0</v>
      </c>
      <c r="V331" s="57">
        <f>ROUND(Dot_ex($D331,$E331,$F331,$G331,$H331,$I331,$L331+SUM($N331:U331),L$115,L$117,L$117),2)</f>
        <v>0</v>
      </c>
      <c r="W331" s="57">
        <f>ROUND(Dot_ex($D331,$E331,$F331,$G331,$H331,$I331,$L331+SUM($N331:V331),M$115,M$117,M$117),2)</f>
        <v>0</v>
      </c>
    </row>
    <row r="332" spans="1:23" x14ac:dyDescent="0.2">
      <c r="A332" s="107">
        <f t="shared" ca="1" si="50"/>
        <v>106</v>
      </c>
      <c r="B332" s="1" t="s">
        <v>108</v>
      </c>
      <c r="C332" s="1"/>
      <c r="D332" s="77">
        <v>32853</v>
      </c>
      <c r="E332" s="77">
        <v>32853</v>
      </c>
      <c r="F332" s="77"/>
      <c r="G332" s="8">
        <v>950.4</v>
      </c>
      <c r="H332" s="1" t="s">
        <v>8</v>
      </c>
      <c r="I332" s="78">
        <v>7</v>
      </c>
      <c r="J332" s="8">
        <v>950.4</v>
      </c>
      <c r="K332" s="8">
        <f t="shared" si="51"/>
        <v>0</v>
      </c>
      <c r="L332" s="8">
        <f t="shared" si="52"/>
        <v>950.4</v>
      </c>
      <c r="M332" s="57">
        <f t="shared" si="53"/>
        <v>0</v>
      </c>
      <c r="N332" s="41">
        <f t="shared" si="54"/>
        <v>0</v>
      </c>
      <c r="O332" s="41">
        <f>ROUND(Dot_ex($D332,$E332,$F332,$G332,$H332,$I332,$L332+SUM($N332:N332),E$115,E$117,E$117),2)</f>
        <v>0</v>
      </c>
      <c r="P332" s="41">
        <f>ROUND(Dot_ex($D332,$E332,$F332,$G332,$H332,$I332,$L332+SUM($N332:O332),F$115,F$117,F$117),2)</f>
        <v>0</v>
      </c>
      <c r="Q332" s="41">
        <f>ROUND(Dot_ex($D332,$E332,$F332,$G332,$H332,$I332,$L332+SUM($N332:P332),G$115,G$117,G$117),2)</f>
        <v>0</v>
      </c>
      <c r="R332" s="57">
        <f>ROUND(Dot_ex($D332,$E332,$F332,$G332,$H332,$I332,$L332+SUM($N332:Q332),H$115,H$117,H$117),2)</f>
        <v>0</v>
      </c>
      <c r="S332" s="57">
        <f>ROUND(Dot_ex($D332,$E332,$F332,$G332,$H332,$I332,$L332+SUM($N332:R332),I$115,I$117,I$117),2)</f>
        <v>0</v>
      </c>
      <c r="T332" s="57">
        <f>ROUND(Dot_ex($D332,$E332,$F332,$G332,$H332,$I332,$L332+SUM($N332:S332),J$115,J$117,J$117),2)</f>
        <v>0</v>
      </c>
      <c r="U332" s="57">
        <f>ROUND(Dot_ex($D332,$E332,$F332,$G332,$H332,$I332,$L332+SUM($N332:T332),K$115,K$117,K$117),2)</f>
        <v>0</v>
      </c>
      <c r="V332" s="57">
        <f>ROUND(Dot_ex($D332,$E332,$F332,$G332,$H332,$I332,$L332+SUM($N332:U332),L$115,L$117,L$117),2)</f>
        <v>0</v>
      </c>
      <c r="W332" s="57">
        <f>ROUND(Dot_ex($D332,$E332,$F332,$G332,$H332,$I332,$L332+SUM($N332:V332),M$115,M$117,M$117),2)</f>
        <v>0</v>
      </c>
    </row>
    <row r="333" spans="1:23" x14ac:dyDescent="0.2">
      <c r="A333" s="107">
        <f t="shared" ca="1" si="50"/>
        <v>107</v>
      </c>
      <c r="B333" s="1" t="s">
        <v>108</v>
      </c>
      <c r="C333" s="1"/>
      <c r="D333" s="77">
        <v>32897</v>
      </c>
      <c r="E333" s="77">
        <v>32897</v>
      </c>
      <c r="F333" s="77"/>
      <c r="G333" s="8">
        <v>955.86</v>
      </c>
      <c r="H333" s="1" t="s">
        <v>8</v>
      </c>
      <c r="I333" s="78">
        <v>7</v>
      </c>
      <c r="J333" s="8">
        <v>955.86</v>
      </c>
      <c r="K333" s="8">
        <f t="shared" si="51"/>
        <v>0</v>
      </c>
      <c r="L333" s="8">
        <f t="shared" si="52"/>
        <v>955.86</v>
      </c>
      <c r="M333" s="57">
        <f t="shared" si="53"/>
        <v>0</v>
      </c>
      <c r="N333" s="41">
        <f t="shared" si="54"/>
        <v>0</v>
      </c>
      <c r="O333" s="41">
        <f>ROUND(Dot_ex($D333,$E333,$F333,$G333,$H333,$I333,$L333+SUM($N333:N333),E$115,E$117,E$117),2)</f>
        <v>0</v>
      </c>
      <c r="P333" s="41">
        <f>ROUND(Dot_ex($D333,$E333,$F333,$G333,$H333,$I333,$L333+SUM($N333:O333),F$115,F$117,F$117),2)</f>
        <v>0</v>
      </c>
      <c r="Q333" s="41">
        <f>ROUND(Dot_ex($D333,$E333,$F333,$G333,$H333,$I333,$L333+SUM($N333:P333),G$115,G$117,G$117),2)</f>
        <v>0</v>
      </c>
      <c r="R333" s="57">
        <f>ROUND(Dot_ex($D333,$E333,$F333,$G333,$H333,$I333,$L333+SUM($N333:Q333),H$115,H$117,H$117),2)</f>
        <v>0</v>
      </c>
      <c r="S333" s="57">
        <f>ROUND(Dot_ex($D333,$E333,$F333,$G333,$H333,$I333,$L333+SUM($N333:R333),I$115,I$117,I$117),2)</f>
        <v>0</v>
      </c>
      <c r="T333" s="57">
        <f>ROUND(Dot_ex($D333,$E333,$F333,$G333,$H333,$I333,$L333+SUM($N333:S333),J$115,J$117,J$117),2)</f>
        <v>0</v>
      </c>
      <c r="U333" s="57">
        <f>ROUND(Dot_ex($D333,$E333,$F333,$G333,$H333,$I333,$L333+SUM($N333:T333),K$115,K$117,K$117),2)</f>
        <v>0</v>
      </c>
      <c r="V333" s="57">
        <f>ROUND(Dot_ex($D333,$E333,$F333,$G333,$H333,$I333,$L333+SUM($N333:U333),L$115,L$117,L$117),2)</f>
        <v>0</v>
      </c>
      <c r="W333" s="57">
        <f>ROUND(Dot_ex($D333,$E333,$F333,$G333,$H333,$I333,$L333+SUM($N333:V333),M$115,M$117,M$117),2)</f>
        <v>0</v>
      </c>
    </row>
    <row r="334" spans="1:23" x14ac:dyDescent="0.2">
      <c r="A334" s="107">
        <f t="shared" ca="1" si="50"/>
        <v>108</v>
      </c>
      <c r="B334" s="1" t="s">
        <v>108</v>
      </c>
      <c r="C334" s="1"/>
      <c r="D334" s="77">
        <v>32897</v>
      </c>
      <c r="E334" s="77">
        <v>32897</v>
      </c>
      <c r="F334" s="77"/>
      <c r="G334" s="8">
        <v>958.74</v>
      </c>
      <c r="H334" s="1" t="s">
        <v>8</v>
      </c>
      <c r="I334" s="78">
        <v>7</v>
      </c>
      <c r="J334" s="8">
        <v>958.74</v>
      </c>
      <c r="K334" s="8">
        <f t="shared" si="51"/>
        <v>0</v>
      </c>
      <c r="L334" s="8">
        <f t="shared" si="52"/>
        <v>958.74</v>
      </c>
      <c r="M334" s="57">
        <f t="shared" si="53"/>
        <v>0</v>
      </c>
      <c r="N334" s="41">
        <f t="shared" si="54"/>
        <v>0</v>
      </c>
      <c r="O334" s="41">
        <f>ROUND(Dot_ex($D334,$E334,$F334,$G334,$H334,$I334,$L334+SUM($N334:N334),E$115,E$117,E$117),2)</f>
        <v>0</v>
      </c>
      <c r="P334" s="41">
        <f>ROUND(Dot_ex($D334,$E334,$F334,$G334,$H334,$I334,$L334+SUM($N334:O334),F$115,F$117,F$117),2)</f>
        <v>0</v>
      </c>
      <c r="Q334" s="41">
        <f>ROUND(Dot_ex($D334,$E334,$F334,$G334,$H334,$I334,$L334+SUM($N334:P334),G$115,G$117,G$117),2)</f>
        <v>0</v>
      </c>
      <c r="R334" s="57">
        <f>ROUND(Dot_ex($D334,$E334,$F334,$G334,$H334,$I334,$L334+SUM($N334:Q334),H$115,H$117,H$117),2)</f>
        <v>0</v>
      </c>
      <c r="S334" s="57">
        <f>ROUND(Dot_ex($D334,$E334,$F334,$G334,$H334,$I334,$L334+SUM($N334:R334),I$115,I$117,I$117),2)</f>
        <v>0</v>
      </c>
      <c r="T334" s="57">
        <f>ROUND(Dot_ex($D334,$E334,$F334,$G334,$H334,$I334,$L334+SUM($N334:S334),J$115,J$117,J$117),2)</f>
        <v>0</v>
      </c>
      <c r="U334" s="57">
        <f>ROUND(Dot_ex($D334,$E334,$F334,$G334,$H334,$I334,$L334+SUM($N334:T334),K$115,K$117,K$117),2)</f>
        <v>0</v>
      </c>
      <c r="V334" s="57">
        <f>ROUND(Dot_ex($D334,$E334,$F334,$G334,$H334,$I334,$L334+SUM($N334:U334),L$115,L$117,L$117),2)</f>
        <v>0</v>
      </c>
      <c r="W334" s="57">
        <f>ROUND(Dot_ex($D334,$E334,$F334,$G334,$H334,$I334,$L334+SUM($N334:V334),M$115,M$117,M$117),2)</f>
        <v>0</v>
      </c>
    </row>
    <row r="335" spans="1:23" x14ac:dyDescent="0.2">
      <c r="A335" s="107">
        <f t="shared" ca="1" si="50"/>
        <v>109</v>
      </c>
      <c r="B335" s="1" t="s">
        <v>108</v>
      </c>
      <c r="C335" s="1"/>
      <c r="D335" s="77">
        <v>32897</v>
      </c>
      <c r="E335" s="77">
        <v>32897</v>
      </c>
      <c r="F335" s="77"/>
      <c r="G335" s="8">
        <v>961.63</v>
      </c>
      <c r="H335" s="1" t="s">
        <v>8</v>
      </c>
      <c r="I335" s="78">
        <v>7</v>
      </c>
      <c r="J335" s="8">
        <v>961.63</v>
      </c>
      <c r="K335" s="8">
        <f t="shared" si="51"/>
        <v>0</v>
      </c>
      <c r="L335" s="8">
        <f t="shared" si="52"/>
        <v>961.63</v>
      </c>
      <c r="M335" s="57">
        <f t="shared" si="53"/>
        <v>0</v>
      </c>
      <c r="N335" s="41">
        <f t="shared" si="54"/>
        <v>0</v>
      </c>
      <c r="O335" s="41">
        <f>ROUND(Dot_ex($D335,$E335,$F335,$G335,$H335,$I335,$L335+SUM($N335:N335),E$115,E$117,E$117),2)</f>
        <v>0</v>
      </c>
      <c r="P335" s="41">
        <f>ROUND(Dot_ex($D335,$E335,$F335,$G335,$H335,$I335,$L335+SUM($N335:O335),F$115,F$117,F$117),2)</f>
        <v>0</v>
      </c>
      <c r="Q335" s="41">
        <f>ROUND(Dot_ex($D335,$E335,$F335,$G335,$H335,$I335,$L335+SUM($N335:P335),G$115,G$117,G$117),2)</f>
        <v>0</v>
      </c>
      <c r="R335" s="57">
        <f>ROUND(Dot_ex($D335,$E335,$F335,$G335,$H335,$I335,$L335+SUM($N335:Q335),H$115,H$117,H$117),2)</f>
        <v>0</v>
      </c>
      <c r="S335" s="57">
        <f>ROUND(Dot_ex($D335,$E335,$F335,$G335,$H335,$I335,$L335+SUM($N335:R335),I$115,I$117,I$117),2)</f>
        <v>0</v>
      </c>
      <c r="T335" s="57">
        <f>ROUND(Dot_ex($D335,$E335,$F335,$G335,$H335,$I335,$L335+SUM($N335:S335),J$115,J$117,J$117),2)</f>
        <v>0</v>
      </c>
      <c r="U335" s="57">
        <f>ROUND(Dot_ex($D335,$E335,$F335,$G335,$H335,$I335,$L335+SUM($N335:T335),K$115,K$117,K$117),2)</f>
        <v>0</v>
      </c>
      <c r="V335" s="57">
        <f>ROUND(Dot_ex($D335,$E335,$F335,$G335,$H335,$I335,$L335+SUM($N335:U335),L$115,L$117,L$117),2)</f>
        <v>0</v>
      </c>
      <c r="W335" s="57">
        <f>ROUND(Dot_ex($D335,$E335,$F335,$G335,$H335,$I335,$L335+SUM($N335:V335),M$115,M$117,M$117),2)</f>
        <v>0</v>
      </c>
    </row>
    <row r="336" spans="1:23" x14ac:dyDescent="0.2">
      <c r="A336" s="107">
        <f t="shared" ca="1" si="50"/>
        <v>110</v>
      </c>
      <c r="B336" s="1" t="s">
        <v>110</v>
      </c>
      <c r="C336" s="1"/>
      <c r="D336" s="77">
        <v>32940</v>
      </c>
      <c r="E336" s="77">
        <v>32940</v>
      </c>
      <c r="F336" s="77"/>
      <c r="G336" s="8">
        <v>311.42</v>
      </c>
      <c r="H336" s="1" t="s">
        <v>8</v>
      </c>
      <c r="I336" s="78">
        <v>7</v>
      </c>
      <c r="J336" s="8">
        <v>311.42</v>
      </c>
      <c r="K336" s="8">
        <f t="shared" si="51"/>
        <v>0</v>
      </c>
      <c r="L336" s="8">
        <f t="shared" si="52"/>
        <v>311.42</v>
      </c>
      <c r="M336" s="57">
        <f t="shared" si="53"/>
        <v>0</v>
      </c>
      <c r="N336" s="41">
        <f t="shared" si="54"/>
        <v>0</v>
      </c>
      <c r="O336" s="41">
        <f>ROUND(Dot_ex($D336,$E336,$F336,$G336,$H336,$I336,$L336+SUM($N336:N336),E$115,E$117,E$117),2)</f>
        <v>0</v>
      </c>
      <c r="P336" s="41">
        <f>ROUND(Dot_ex($D336,$E336,$F336,$G336,$H336,$I336,$L336+SUM($N336:O336),F$115,F$117,F$117),2)</f>
        <v>0</v>
      </c>
      <c r="Q336" s="41">
        <f>ROUND(Dot_ex($D336,$E336,$F336,$G336,$H336,$I336,$L336+SUM($N336:P336),G$115,G$117,G$117),2)</f>
        <v>0</v>
      </c>
      <c r="R336" s="57">
        <f>ROUND(Dot_ex($D336,$E336,$F336,$G336,$H336,$I336,$L336+SUM($N336:Q336),H$115,H$117,H$117),2)</f>
        <v>0</v>
      </c>
      <c r="S336" s="57">
        <f>ROUND(Dot_ex($D336,$E336,$F336,$G336,$H336,$I336,$L336+SUM($N336:R336),I$115,I$117,I$117),2)</f>
        <v>0</v>
      </c>
      <c r="T336" s="57">
        <f>ROUND(Dot_ex($D336,$E336,$F336,$G336,$H336,$I336,$L336+SUM($N336:S336),J$115,J$117,J$117),2)</f>
        <v>0</v>
      </c>
      <c r="U336" s="57">
        <f>ROUND(Dot_ex($D336,$E336,$F336,$G336,$H336,$I336,$L336+SUM($N336:T336),K$115,K$117,K$117),2)</f>
        <v>0</v>
      </c>
      <c r="V336" s="57">
        <f>ROUND(Dot_ex($D336,$E336,$F336,$G336,$H336,$I336,$L336+SUM($N336:U336),L$115,L$117,L$117),2)</f>
        <v>0</v>
      </c>
      <c r="W336" s="57">
        <f>ROUND(Dot_ex($D336,$E336,$F336,$G336,$H336,$I336,$L336+SUM($N336:V336),M$115,M$117,M$117),2)</f>
        <v>0</v>
      </c>
    </row>
    <row r="337" spans="1:23" x14ac:dyDescent="0.2">
      <c r="A337" s="107">
        <f t="shared" ca="1" si="50"/>
        <v>111</v>
      </c>
      <c r="B337" s="1" t="s">
        <v>111</v>
      </c>
      <c r="C337" s="1"/>
      <c r="D337" s="77">
        <v>33012</v>
      </c>
      <c r="E337" s="77">
        <v>33012</v>
      </c>
      <c r="F337" s="77"/>
      <c r="G337" s="8">
        <v>3088.21</v>
      </c>
      <c r="H337" s="1" t="s">
        <v>8</v>
      </c>
      <c r="I337" s="78">
        <v>7</v>
      </c>
      <c r="J337" s="8">
        <v>3088.21</v>
      </c>
      <c r="K337" s="8">
        <f t="shared" si="51"/>
        <v>0</v>
      </c>
      <c r="L337" s="8">
        <f t="shared" si="52"/>
        <v>3088.21</v>
      </c>
      <c r="M337" s="57">
        <f t="shared" si="53"/>
        <v>0</v>
      </c>
      <c r="N337" s="41">
        <f t="shared" si="54"/>
        <v>0</v>
      </c>
      <c r="O337" s="41">
        <f>ROUND(Dot_ex($D337,$E337,$F337,$G337,$H337,$I337,$L337+SUM($N337:N337),E$115,E$117,E$117),2)</f>
        <v>0</v>
      </c>
      <c r="P337" s="41">
        <f>ROUND(Dot_ex($D337,$E337,$F337,$G337,$H337,$I337,$L337+SUM($N337:O337),F$115,F$117,F$117),2)</f>
        <v>0</v>
      </c>
      <c r="Q337" s="41">
        <f>ROUND(Dot_ex($D337,$E337,$F337,$G337,$H337,$I337,$L337+SUM($N337:P337),G$115,G$117,G$117),2)</f>
        <v>0</v>
      </c>
      <c r="R337" s="57">
        <f>ROUND(Dot_ex($D337,$E337,$F337,$G337,$H337,$I337,$L337+SUM($N337:Q337),H$115,H$117,H$117),2)</f>
        <v>0</v>
      </c>
      <c r="S337" s="57">
        <f>ROUND(Dot_ex($D337,$E337,$F337,$G337,$H337,$I337,$L337+SUM($N337:R337),I$115,I$117,I$117),2)</f>
        <v>0</v>
      </c>
      <c r="T337" s="57">
        <f>ROUND(Dot_ex($D337,$E337,$F337,$G337,$H337,$I337,$L337+SUM($N337:S337),J$115,J$117,J$117),2)</f>
        <v>0</v>
      </c>
      <c r="U337" s="57">
        <f>ROUND(Dot_ex($D337,$E337,$F337,$G337,$H337,$I337,$L337+SUM($N337:T337),K$115,K$117,K$117),2)</f>
        <v>0</v>
      </c>
      <c r="V337" s="57">
        <f>ROUND(Dot_ex($D337,$E337,$F337,$G337,$H337,$I337,$L337+SUM($N337:U337),L$115,L$117,L$117),2)</f>
        <v>0</v>
      </c>
      <c r="W337" s="57">
        <f>ROUND(Dot_ex($D337,$E337,$F337,$G337,$H337,$I337,$L337+SUM($N337:V337),M$115,M$117,M$117),2)</f>
        <v>0</v>
      </c>
    </row>
    <row r="338" spans="1:23" x14ac:dyDescent="0.2">
      <c r="A338" s="107">
        <f t="shared" ca="1" si="50"/>
        <v>112</v>
      </c>
      <c r="B338" s="1" t="s">
        <v>108</v>
      </c>
      <c r="C338" s="1"/>
      <c r="D338" s="77">
        <v>33066</v>
      </c>
      <c r="E338" s="77">
        <v>33066</v>
      </c>
      <c r="F338" s="77"/>
      <c r="G338" s="8">
        <v>1005.87</v>
      </c>
      <c r="H338" s="1" t="s">
        <v>8</v>
      </c>
      <c r="I338" s="78">
        <v>7</v>
      </c>
      <c r="J338" s="8">
        <v>1005.87</v>
      </c>
      <c r="K338" s="8">
        <f t="shared" si="51"/>
        <v>0</v>
      </c>
      <c r="L338" s="8">
        <f t="shared" si="52"/>
        <v>1005.87</v>
      </c>
      <c r="M338" s="57">
        <f t="shared" si="53"/>
        <v>0</v>
      </c>
      <c r="N338" s="41">
        <f t="shared" si="54"/>
        <v>0</v>
      </c>
      <c r="O338" s="41">
        <f>ROUND(Dot_ex($D338,$E338,$F338,$G338,$H338,$I338,$L338+SUM($N338:N338),E$115,E$117,E$117),2)</f>
        <v>0</v>
      </c>
      <c r="P338" s="41">
        <f>ROUND(Dot_ex($D338,$E338,$F338,$G338,$H338,$I338,$L338+SUM($N338:O338),F$115,F$117,F$117),2)</f>
        <v>0</v>
      </c>
      <c r="Q338" s="41">
        <f>ROUND(Dot_ex($D338,$E338,$F338,$G338,$H338,$I338,$L338+SUM($N338:P338),G$115,G$117,G$117),2)</f>
        <v>0</v>
      </c>
      <c r="R338" s="57">
        <f>ROUND(Dot_ex($D338,$E338,$F338,$G338,$H338,$I338,$L338+SUM($N338:Q338),H$115,H$117,H$117),2)</f>
        <v>0</v>
      </c>
      <c r="S338" s="57">
        <f>ROUND(Dot_ex($D338,$E338,$F338,$G338,$H338,$I338,$L338+SUM($N338:R338),I$115,I$117,I$117),2)</f>
        <v>0</v>
      </c>
      <c r="T338" s="57">
        <f>ROUND(Dot_ex($D338,$E338,$F338,$G338,$H338,$I338,$L338+SUM($N338:S338),J$115,J$117,J$117),2)</f>
        <v>0</v>
      </c>
      <c r="U338" s="57">
        <f>ROUND(Dot_ex($D338,$E338,$F338,$G338,$H338,$I338,$L338+SUM($N338:T338),K$115,K$117,K$117),2)</f>
        <v>0</v>
      </c>
      <c r="V338" s="57">
        <f>ROUND(Dot_ex($D338,$E338,$F338,$G338,$H338,$I338,$L338+SUM($N338:U338),L$115,L$117,L$117),2)</f>
        <v>0</v>
      </c>
      <c r="W338" s="57">
        <f>ROUND(Dot_ex($D338,$E338,$F338,$G338,$H338,$I338,$L338+SUM($N338:V338),M$115,M$117,M$117),2)</f>
        <v>0</v>
      </c>
    </row>
    <row r="339" spans="1:23" x14ac:dyDescent="0.2">
      <c r="A339" s="107">
        <f t="shared" ca="1" si="50"/>
        <v>113</v>
      </c>
      <c r="B339" s="1" t="s">
        <v>112</v>
      </c>
      <c r="C339" s="1"/>
      <c r="D339" s="77">
        <v>33144</v>
      </c>
      <c r="E339" s="77">
        <v>33144</v>
      </c>
      <c r="F339" s="77"/>
      <c r="G339" s="8">
        <v>1964.88</v>
      </c>
      <c r="H339" s="1" t="s">
        <v>8</v>
      </c>
      <c r="I339" s="78">
        <v>7</v>
      </c>
      <c r="J339" s="8">
        <v>1964.88</v>
      </c>
      <c r="K339" s="8">
        <f t="shared" si="51"/>
        <v>0</v>
      </c>
      <c r="L339" s="8">
        <f t="shared" si="52"/>
        <v>1964.88</v>
      </c>
      <c r="M339" s="57">
        <f t="shared" si="53"/>
        <v>0</v>
      </c>
      <c r="N339" s="41">
        <f t="shared" si="54"/>
        <v>0</v>
      </c>
      <c r="O339" s="41">
        <f>ROUND(Dot_ex($D339,$E339,$F339,$G339,$H339,$I339,$L339+SUM($N339:N339),E$115,E$117,E$117),2)</f>
        <v>0</v>
      </c>
      <c r="P339" s="41">
        <f>ROUND(Dot_ex($D339,$E339,$F339,$G339,$H339,$I339,$L339+SUM($N339:O339),F$115,F$117,F$117),2)</f>
        <v>0</v>
      </c>
      <c r="Q339" s="41">
        <f>ROUND(Dot_ex($D339,$E339,$F339,$G339,$H339,$I339,$L339+SUM($N339:P339),G$115,G$117,G$117),2)</f>
        <v>0</v>
      </c>
      <c r="R339" s="57">
        <f>ROUND(Dot_ex($D339,$E339,$F339,$G339,$H339,$I339,$L339+SUM($N339:Q339),H$115,H$117,H$117),2)</f>
        <v>0</v>
      </c>
      <c r="S339" s="57">
        <f>ROUND(Dot_ex($D339,$E339,$F339,$G339,$H339,$I339,$L339+SUM($N339:R339),I$115,I$117,I$117),2)</f>
        <v>0</v>
      </c>
      <c r="T339" s="57">
        <f>ROUND(Dot_ex($D339,$E339,$F339,$G339,$H339,$I339,$L339+SUM($N339:S339),J$115,J$117,J$117),2)</f>
        <v>0</v>
      </c>
      <c r="U339" s="57">
        <f>ROUND(Dot_ex($D339,$E339,$F339,$G339,$H339,$I339,$L339+SUM($N339:T339),K$115,K$117,K$117),2)</f>
        <v>0</v>
      </c>
      <c r="V339" s="57">
        <f>ROUND(Dot_ex($D339,$E339,$F339,$G339,$H339,$I339,$L339+SUM($N339:U339),L$115,L$117,L$117),2)</f>
        <v>0</v>
      </c>
      <c r="W339" s="57">
        <f>ROUND(Dot_ex($D339,$E339,$F339,$G339,$H339,$I339,$L339+SUM($N339:V339),M$115,M$117,M$117),2)</f>
        <v>0</v>
      </c>
    </row>
    <row r="340" spans="1:23" x14ac:dyDescent="0.2">
      <c r="A340" s="107">
        <f t="shared" ca="1" si="50"/>
        <v>114</v>
      </c>
      <c r="B340" s="1" t="s">
        <v>113</v>
      </c>
      <c r="C340" s="1"/>
      <c r="D340" s="77">
        <v>33802</v>
      </c>
      <c r="E340" s="77">
        <v>33802</v>
      </c>
      <c r="F340" s="77"/>
      <c r="G340" s="8">
        <v>11967.25</v>
      </c>
      <c r="H340" s="1" t="s">
        <v>8</v>
      </c>
      <c r="I340" s="78">
        <v>4</v>
      </c>
      <c r="J340" s="8">
        <v>11967.25</v>
      </c>
      <c r="K340" s="8">
        <f t="shared" si="51"/>
        <v>0</v>
      </c>
      <c r="L340" s="8">
        <f t="shared" si="52"/>
        <v>11967.25</v>
      </c>
      <c r="M340" s="57">
        <f t="shared" si="53"/>
        <v>0</v>
      </c>
      <c r="N340" s="41">
        <f t="shared" si="54"/>
        <v>0</v>
      </c>
      <c r="O340" s="41">
        <f>ROUND(Dot_ex($D340,$E340,$F340,$G340,$H340,$I340,$L340+SUM($N340:N340),E$115,E$117,E$117),2)</f>
        <v>0</v>
      </c>
      <c r="P340" s="41">
        <f>ROUND(Dot_ex($D340,$E340,$F340,$G340,$H340,$I340,$L340+SUM($N340:O340),F$115,F$117,F$117),2)</f>
        <v>0</v>
      </c>
      <c r="Q340" s="41">
        <f>ROUND(Dot_ex($D340,$E340,$F340,$G340,$H340,$I340,$L340+SUM($N340:P340),G$115,G$117,G$117),2)</f>
        <v>0</v>
      </c>
      <c r="R340" s="57">
        <f>ROUND(Dot_ex($D340,$E340,$F340,$G340,$H340,$I340,$L340+SUM($N340:Q340),H$115,H$117,H$117),2)</f>
        <v>0</v>
      </c>
      <c r="S340" s="57">
        <f>ROUND(Dot_ex($D340,$E340,$F340,$G340,$H340,$I340,$L340+SUM($N340:R340),I$115,I$117,I$117),2)</f>
        <v>0</v>
      </c>
      <c r="T340" s="57">
        <f>ROUND(Dot_ex($D340,$E340,$F340,$G340,$H340,$I340,$L340+SUM($N340:S340),J$115,J$117,J$117),2)</f>
        <v>0</v>
      </c>
      <c r="U340" s="57">
        <f>ROUND(Dot_ex($D340,$E340,$F340,$G340,$H340,$I340,$L340+SUM($N340:T340),K$115,K$117,K$117),2)</f>
        <v>0</v>
      </c>
      <c r="V340" s="57">
        <f>ROUND(Dot_ex($D340,$E340,$F340,$G340,$H340,$I340,$L340+SUM($N340:U340),L$115,L$117,L$117),2)</f>
        <v>0</v>
      </c>
      <c r="W340" s="57">
        <f>ROUND(Dot_ex($D340,$E340,$F340,$G340,$H340,$I340,$L340+SUM($N340:V340),M$115,M$117,M$117),2)</f>
        <v>0</v>
      </c>
    </row>
    <row r="341" spans="1:23" x14ac:dyDescent="0.2">
      <c r="A341" s="107">
        <f t="shared" ca="1" si="50"/>
        <v>115</v>
      </c>
      <c r="B341" s="1" t="s">
        <v>114</v>
      </c>
      <c r="C341" s="1"/>
      <c r="D341" s="77">
        <v>33858</v>
      </c>
      <c r="E341" s="77">
        <v>33858</v>
      </c>
      <c r="F341" s="77"/>
      <c r="G341" s="8">
        <v>1314.11</v>
      </c>
      <c r="H341" s="1" t="s">
        <v>8</v>
      </c>
      <c r="I341" s="78">
        <v>4</v>
      </c>
      <c r="J341" s="8">
        <v>1314.11</v>
      </c>
      <c r="K341" s="8">
        <f t="shared" si="51"/>
        <v>0</v>
      </c>
      <c r="L341" s="8">
        <f t="shared" si="52"/>
        <v>1314.11</v>
      </c>
      <c r="M341" s="57">
        <f t="shared" si="53"/>
        <v>0</v>
      </c>
      <c r="N341" s="41">
        <f t="shared" si="54"/>
        <v>0</v>
      </c>
      <c r="O341" s="41">
        <f>ROUND(Dot_ex($D341,$E341,$F341,$G341,$H341,$I341,$L341+SUM($N341:N341),E$115,E$117,E$117),2)</f>
        <v>0</v>
      </c>
      <c r="P341" s="41">
        <f>ROUND(Dot_ex($D341,$E341,$F341,$G341,$H341,$I341,$L341+SUM($N341:O341),F$115,F$117,F$117),2)</f>
        <v>0</v>
      </c>
      <c r="Q341" s="41">
        <f>ROUND(Dot_ex($D341,$E341,$F341,$G341,$H341,$I341,$L341+SUM($N341:P341),G$115,G$117,G$117),2)</f>
        <v>0</v>
      </c>
      <c r="R341" s="57">
        <f>ROUND(Dot_ex($D341,$E341,$F341,$G341,$H341,$I341,$L341+SUM($N341:Q341),H$115,H$117,H$117),2)</f>
        <v>0</v>
      </c>
      <c r="S341" s="57">
        <f>ROUND(Dot_ex($D341,$E341,$F341,$G341,$H341,$I341,$L341+SUM($N341:R341),I$115,I$117,I$117),2)</f>
        <v>0</v>
      </c>
      <c r="T341" s="57">
        <f>ROUND(Dot_ex($D341,$E341,$F341,$G341,$H341,$I341,$L341+SUM($N341:S341),J$115,J$117,J$117),2)</f>
        <v>0</v>
      </c>
      <c r="U341" s="57">
        <f>ROUND(Dot_ex($D341,$E341,$F341,$G341,$H341,$I341,$L341+SUM($N341:T341),K$115,K$117,K$117),2)</f>
        <v>0</v>
      </c>
      <c r="V341" s="57">
        <f>ROUND(Dot_ex($D341,$E341,$F341,$G341,$H341,$I341,$L341+SUM($N341:U341),L$115,L$117,L$117),2)</f>
        <v>0</v>
      </c>
      <c r="W341" s="57">
        <f>ROUND(Dot_ex($D341,$E341,$F341,$G341,$H341,$I341,$L341+SUM($N341:V341),M$115,M$117,M$117),2)</f>
        <v>0</v>
      </c>
    </row>
    <row r="342" spans="1:23" x14ac:dyDescent="0.2">
      <c r="A342" s="107">
        <f t="shared" ca="1" si="50"/>
        <v>116</v>
      </c>
      <c r="B342" s="1" t="s">
        <v>120</v>
      </c>
      <c r="C342" s="1"/>
      <c r="D342" s="77">
        <v>36060</v>
      </c>
      <c r="E342" s="77">
        <v>36060</v>
      </c>
      <c r="F342" s="77"/>
      <c r="G342" s="8">
        <v>2683.1</v>
      </c>
      <c r="H342" s="1" t="s">
        <v>8</v>
      </c>
      <c r="I342" s="78">
        <v>5</v>
      </c>
      <c r="J342" s="8">
        <v>2683.1</v>
      </c>
      <c r="K342" s="8">
        <f t="shared" si="51"/>
        <v>0</v>
      </c>
      <c r="L342" s="8">
        <f t="shared" si="52"/>
        <v>2683.1</v>
      </c>
      <c r="M342" s="57">
        <f t="shared" si="53"/>
        <v>0</v>
      </c>
      <c r="N342" s="41">
        <f t="shared" si="54"/>
        <v>0</v>
      </c>
      <c r="O342" s="41">
        <f>ROUND(Dot_ex($D342,$E342,$F342,$G342,$H342,$I342,$L342+SUM($N342:N342),E$115,E$117,E$117),2)</f>
        <v>0</v>
      </c>
      <c r="P342" s="41">
        <f>ROUND(Dot_ex($D342,$E342,$F342,$G342,$H342,$I342,$L342+SUM($N342:O342),F$115,F$117,F$117),2)</f>
        <v>0</v>
      </c>
      <c r="Q342" s="41">
        <f>ROUND(Dot_ex($D342,$E342,$F342,$G342,$H342,$I342,$L342+SUM($N342:P342),G$115,G$117,G$117),2)</f>
        <v>0</v>
      </c>
      <c r="R342" s="57">
        <f>ROUND(Dot_ex($D342,$E342,$F342,$G342,$H342,$I342,$L342+SUM($N342:Q342),H$115,H$117,H$117),2)</f>
        <v>0</v>
      </c>
      <c r="S342" s="57">
        <f>ROUND(Dot_ex($D342,$E342,$F342,$G342,$H342,$I342,$L342+SUM($N342:R342),I$115,I$117,I$117),2)</f>
        <v>0</v>
      </c>
      <c r="T342" s="57">
        <f>ROUND(Dot_ex($D342,$E342,$F342,$G342,$H342,$I342,$L342+SUM($N342:S342),J$115,J$117,J$117),2)</f>
        <v>0</v>
      </c>
      <c r="U342" s="57">
        <f>ROUND(Dot_ex($D342,$E342,$F342,$G342,$H342,$I342,$L342+SUM($N342:T342),K$115,K$117,K$117),2)</f>
        <v>0</v>
      </c>
      <c r="V342" s="57">
        <f>ROUND(Dot_ex($D342,$E342,$F342,$G342,$H342,$I342,$L342+SUM($N342:U342),L$115,L$117,L$117),2)</f>
        <v>0</v>
      </c>
      <c r="W342" s="57">
        <f>ROUND(Dot_ex($D342,$E342,$F342,$G342,$H342,$I342,$L342+SUM($N342:V342),M$115,M$117,M$117),2)</f>
        <v>0</v>
      </c>
    </row>
    <row r="343" spans="1:23" x14ac:dyDescent="0.2">
      <c r="A343" s="107">
        <f t="shared" ca="1" si="50"/>
        <v>117</v>
      </c>
      <c r="B343" s="1" t="s">
        <v>121</v>
      </c>
      <c r="C343" s="1"/>
      <c r="D343" s="77">
        <v>36089</v>
      </c>
      <c r="E343" s="77">
        <v>36089</v>
      </c>
      <c r="F343" s="77"/>
      <c r="G343" s="8">
        <v>632.66</v>
      </c>
      <c r="H343" s="1" t="s">
        <v>8</v>
      </c>
      <c r="I343" s="78">
        <v>5</v>
      </c>
      <c r="J343" s="8">
        <v>632.66</v>
      </c>
      <c r="K343" s="8">
        <f t="shared" si="51"/>
        <v>0</v>
      </c>
      <c r="L343" s="8">
        <f t="shared" si="52"/>
        <v>632.66</v>
      </c>
      <c r="M343" s="57">
        <f t="shared" si="53"/>
        <v>0</v>
      </c>
      <c r="N343" s="41">
        <f t="shared" si="54"/>
        <v>0</v>
      </c>
      <c r="O343" s="41">
        <f>ROUND(Dot_ex($D343,$E343,$F343,$G343,$H343,$I343,$L343+SUM($N343:N343),E$115,E$117,E$117),2)</f>
        <v>0</v>
      </c>
      <c r="P343" s="41">
        <f>ROUND(Dot_ex($D343,$E343,$F343,$G343,$H343,$I343,$L343+SUM($N343:O343),F$115,F$117,F$117),2)</f>
        <v>0</v>
      </c>
      <c r="Q343" s="41">
        <f>ROUND(Dot_ex($D343,$E343,$F343,$G343,$H343,$I343,$L343+SUM($N343:P343),G$115,G$117,G$117),2)</f>
        <v>0</v>
      </c>
      <c r="R343" s="57">
        <f>ROUND(Dot_ex($D343,$E343,$F343,$G343,$H343,$I343,$L343+SUM($N343:Q343),H$115,H$117,H$117),2)</f>
        <v>0</v>
      </c>
      <c r="S343" s="57">
        <f>ROUND(Dot_ex($D343,$E343,$F343,$G343,$H343,$I343,$L343+SUM($N343:R343),I$115,I$117,I$117),2)</f>
        <v>0</v>
      </c>
      <c r="T343" s="57">
        <f>ROUND(Dot_ex($D343,$E343,$F343,$G343,$H343,$I343,$L343+SUM($N343:S343),J$115,J$117,J$117),2)</f>
        <v>0</v>
      </c>
      <c r="U343" s="57">
        <f>ROUND(Dot_ex($D343,$E343,$F343,$G343,$H343,$I343,$L343+SUM($N343:T343),K$115,K$117,K$117),2)</f>
        <v>0</v>
      </c>
      <c r="V343" s="57">
        <f>ROUND(Dot_ex($D343,$E343,$F343,$G343,$H343,$I343,$L343+SUM($N343:U343),L$115,L$117,L$117),2)</f>
        <v>0</v>
      </c>
      <c r="W343" s="57">
        <f>ROUND(Dot_ex($D343,$E343,$F343,$G343,$H343,$I343,$L343+SUM($N343:V343),M$115,M$117,M$117),2)</f>
        <v>0</v>
      </c>
    </row>
    <row r="344" spans="1:23" x14ac:dyDescent="0.2">
      <c r="A344" s="107">
        <f t="shared" ca="1" si="50"/>
        <v>118</v>
      </c>
      <c r="B344" s="1" t="s">
        <v>191</v>
      </c>
      <c r="C344" s="1" t="s">
        <v>265</v>
      </c>
      <c r="D344" s="77">
        <v>37330</v>
      </c>
      <c r="E344" s="77">
        <v>37330</v>
      </c>
      <c r="F344" s="77"/>
      <c r="G344" s="8">
        <v>636.04999999999995</v>
      </c>
      <c r="H344" s="1" t="s">
        <v>8</v>
      </c>
      <c r="I344" s="78">
        <v>5</v>
      </c>
      <c r="J344" s="8">
        <v>636.04999999999995</v>
      </c>
      <c r="K344" s="8">
        <f t="shared" si="51"/>
        <v>0</v>
      </c>
      <c r="L344" s="8">
        <f t="shared" si="52"/>
        <v>636.04999999999995</v>
      </c>
      <c r="M344" s="57">
        <f t="shared" si="53"/>
        <v>0</v>
      </c>
      <c r="N344" s="41">
        <f t="shared" si="54"/>
        <v>0</v>
      </c>
      <c r="O344" s="41">
        <f>ROUND(Dot_ex($D344,$E344,$F344,$G344,$H344,$I344,$L344+SUM($N344:N344),E$115,E$117,E$117),2)</f>
        <v>0</v>
      </c>
      <c r="P344" s="41">
        <f>ROUND(Dot_ex($D344,$E344,$F344,$G344,$H344,$I344,$L344+SUM($N344:O344),F$115,F$117,F$117),2)</f>
        <v>0</v>
      </c>
      <c r="Q344" s="41">
        <f>ROUND(Dot_ex($D344,$E344,$F344,$G344,$H344,$I344,$L344+SUM($N344:P344),G$115,G$117,G$117),2)</f>
        <v>0</v>
      </c>
      <c r="R344" s="57">
        <f>ROUND(Dot_ex($D344,$E344,$F344,$G344,$H344,$I344,$L344+SUM($N344:Q344),H$115,H$117,H$117),2)</f>
        <v>0</v>
      </c>
      <c r="S344" s="57">
        <f>ROUND(Dot_ex($D344,$E344,$F344,$G344,$H344,$I344,$L344+SUM($N344:R344),I$115,I$117,I$117),2)</f>
        <v>0</v>
      </c>
      <c r="T344" s="57">
        <f>ROUND(Dot_ex($D344,$E344,$F344,$G344,$H344,$I344,$L344+SUM($N344:S344),J$115,J$117,J$117),2)</f>
        <v>0</v>
      </c>
      <c r="U344" s="57">
        <f>ROUND(Dot_ex($D344,$E344,$F344,$G344,$H344,$I344,$L344+SUM($N344:T344),K$115,K$117,K$117),2)</f>
        <v>0</v>
      </c>
      <c r="V344" s="57">
        <f>ROUND(Dot_ex($D344,$E344,$F344,$G344,$H344,$I344,$L344+SUM($N344:U344),L$115,L$117,L$117),2)</f>
        <v>0</v>
      </c>
      <c r="W344" s="57">
        <f>ROUND(Dot_ex($D344,$E344,$F344,$G344,$H344,$I344,$L344+SUM($N344:V344),M$115,M$117,M$117),2)</f>
        <v>0</v>
      </c>
    </row>
    <row r="345" spans="1:23" x14ac:dyDescent="0.2">
      <c r="A345" s="107">
        <f t="shared" ca="1" si="50"/>
        <v>119</v>
      </c>
      <c r="B345" s="1" t="s">
        <v>223</v>
      </c>
      <c r="C345" s="1" t="s">
        <v>269</v>
      </c>
      <c r="D345" s="77">
        <v>37726</v>
      </c>
      <c r="E345" s="77">
        <v>37726</v>
      </c>
      <c r="F345" s="77"/>
      <c r="G345" s="8">
        <v>2670.94</v>
      </c>
      <c r="H345" s="1" t="s">
        <v>8</v>
      </c>
      <c r="I345" s="78">
        <v>5</v>
      </c>
      <c r="J345" s="8">
        <v>2670.94</v>
      </c>
      <c r="K345" s="8">
        <f t="shared" si="51"/>
        <v>0</v>
      </c>
      <c r="L345" s="8">
        <f t="shared" si="52"/>
        <v>2670.94</v>
      </c>
      <c r="M345" s="57">
        <f t="shared" si="53"/>
        <v>0</v>
      </c>
      <c r="N345" s="41">
        <f t="shared" si="54"/>
        <v>0</v>
      </c>
      <c r="O345" s="41">
        <f>ROUND(Dot_ex($D345,$E345,$F345,$G345,$H345,$I345,$L345+SUM($N345:N345),E$115,E$117,E$117),2)</f>
        <v>0</v>
      </c>
      <c r="P345" s="41">
        <f>ROUND(Dot_ex($D345,$E345,$F345,$G345,$H345,$I345,$L345+SUM($N345:O345),F$115,F$117,F$117),2)</f>
        <v>0</v>
      </c>
      <c r="Q345" s="41">
        <f>ROUND(Dot_ex($D345,$E345,$F345,$G345,$H345,$I345,$L345+SUM($N345:P345),G$115,G$117,G$117),2)</f>
        <v>0</v>
      </c>
      <c r="R345" s="57">
        <f>ROUND(Dot_ex($D345,$E345,$F345,$G345,$H345,$I345,$L345+SUM($N345:Q345),H$115,H$117,H$117),2)</f>
        <v>0</v>
      </c>
      <c r="S345" s="57">
        <f>ROUND(Dot_ex($D345,$E345,$F345,$G345,$H345,$I345,$L345+SUM($N345:R345),I$115,I$117,I$117),2)</f>
        <v>0</v>
      </c>
      <c r="T345" s="57">
        <f>ROUND(Dot_ex($D345,$E345,$F345,$G345,$H345,$I345,$L345+SUM($N345:S345),J$115,J$117,J$117),2)</f>
        <v>0</v>
      </c>
      <c r="U345" s="57">
        <f>ROUND(Dot_ex($D345,$E345,$F345,$G345,$H345,$I345,$L345+SUM($N345:T345),K$115,K$117,K$117),2)</f>
        <v>0</v>
      </c>
      <c r="V345" s="57">
        <f>ROUND(Dot_ex($D345,$E345,$F345,$G345,$H345,$I345,$L345+SUM($N345:U345),L$115,L$117,L$117),2)</f>
        <v>0</v>
      </c>
      <c r="W345" s="57">
        <f>ROUND(Dot_ex($D345,$E345,$F345,$G345,$H345,$I345,$L345+SUM($N345:V345),M$115,M$117,M$117),2)</f>
        <v>0</v>
      </c>
    </row>
    <row r="346" spans="1:23" x14ac:dyDescent="0.2">
      <c r="A346" s="101"/>
      <c r="G346" s="8"/>
      <c r="H346" s="1"/>
      <c r="I346" s="78"/>
      <c r="J346" s="8"/>
      <c r="K346" s="8"/>
      <c r="L346" s="8"/>
      <c r="M346" s="57"/>
      <c r="N346" s="41"/>
      <c r="O346" s="41"/>
      <c r="P346" s="41"/>
      <c r="Q346" s="41"/>
      <c r="R346" s="57"/>
      <c r="S346" s="57"/>
      <c r="T346" s="57"/>
      <c r="U346" s="57"/>
      <c r="V346" s="57"/>
      <c r="W346" s="57"/>
    </row>
    <row r="347" spans="1:23" x14ac:dyDescent="0.2">
      <c r="A347" s="101"/>
      <c r="E347" s="94" t="s">
        <v>14</v>
      </c>
      <c r="F347" s="95"/>
      <c r="G347" s="96">
        <f>SUM(G327:G346)</f>
        <v>35574.51</v>
      </c>
      <c r="H347" s="94"/>
      <c r="I347" s="97"/>
      <c r="J347" s="96">
        <f t="shared" ref="J347:Q347" si="55">SUM(J327:J346)</f>
        <v>35574.51</v>
      </c>
      <c r="K347" s="96">
        <f t="shared" si="55"/>
        <v>0</v>
      </c>
      <c r="L347" s="96">
        <f t="shared" si="55"/>
        <v>35574.51</v>
      </c>
      <c r="M347" s="203">
        <f t="shared" si="55"/>
        <v>0</v>
      </c>
      <c r="N347" s="202">
        <f t="shared" si="55"/>
        <v>0</v>
      </c>
      <c r="O347" s="202">
        <f t="shared" si="55"/>
        <v>0</v>
      </c>
      <c r="P347" s="202">
        <f t="shared" si="55"/>
        <v>0</v>
      </c>
      <c r="Q347" s="202">
        <f t="shared" si="55"/>
        <v>0</v>
      </c>
      <c r="R347" s="57"/>
      <c r="S347" s="57"/>
      <c r="T347" s="57"/>
      <c r="U347" s="57"/>
      <c r="V347" s="57"/>
      <c r="W347" s="57"/>
    </row>
    <row r="348" spans="1:23" x14ac:dyDescent="0.2">
      <c r="A348" s="101"/>
      <c r="M348" s="14"/>
      <c r="N348" s="41"/>
      <c r="O348" s="41"/>
      <c r="P348" s="41"/>
      <c r="Q348" s="41"/>
      <c r="R348" s="57"/>
      <c r="S348" s="57"/>
      <c r="T348" s="57"/>
      <c r="U348" s="57"/>
      <c r="V348" s="57"/>
      <c r="W348" s="57"/>
    </row>
    <row r="349" spans="1:23" x14ac:dyDescent="0.2">
      <c r="A349" s="101"/>
      <c r="E349" s="1" t="s">
        <v>23</v>
      </c>
      <c r="G349" s="8">
        <f>SUMIF($D327:$D346,"&lt;"&amp;TEXT($G$6,"jj/mm/aa"),G$327:G$346)</f>
        <v>35574.51</v>
      </c>
      <c r="J349" s="8">
        <f>SUMIF($D327:$D346,"&lt;"&amp;TEXT($G$6,"jj/mm/aa"),J$327:J$346)</f>
        <v>35574.51</v>
      </c>
      <c r="K349" s="8">
        <f>SUMIF($D327:$D346,"&lt;"&amp;TEXT($G$6,"jj/mm/aa"),K$327:K$346)</f>
        <v>0</v>
      </c>
      <c r="L349" s="8">
        <f>SUMIF($D327:$D346,"&lt;"&amp;TEXT($G$6,"jj/mm/aa"),L$327:L$346)</f>
        <v>35574.51</v>
      </c>
      <c r="M349" s="57">
        <f>SUMIF($D327:$D346,"&lt;"&amp;TEXT($G$6,"jj/mm/aa"),M$327:M$346)</f>
        <v>0</v>
      </c>
      <c r="N349" s="41"/>
      <c r="O349" s="41"/>
      <c r="P349" s="41"/>
      <c r="Q349" s="41"/>
      <c r="R349" s="57"/>
      <c r="S349" s="57"/>
      <c r="T349" s="57"/>
      <c r="U349" s="57"/>
      <c r="V349" s="57"/>
      <c r="W349" s="57"/>
    </row>
    <row r="350" spans="1:23" x14ac:dyDescent="0.2">
      <c r="A350" s="101"/>
      <c r="E350" s="1" t="s">
        <v>38</v>
      </c>
      <c r="G350" s="8">
        <f>SUMIF($D327:$D346,"&gt;="&amp;TEXT($G$6,"jj/mm/aa"),G$327:G$346)</f>
        <v>0</v>
      </c>
      <c r="J350" s="8">
        <f>SUMIF($D327:$D346,"&gt;="&amp;TEXT($G$6,"jj/mm/aa"),J$327:J$346)</f>
        <v>0</v>
      </c>
      <c r="K350" s="8">
        <f>SUMIF($D327:$D346,"&gt;="&amp;TEXT($G$6,"jj/mm/aa"),K$327:K$346)</f>
        <v>0</v>
      </c>
      <c r="L350" s="8">
        <f>SUMIF($D327:$D346,"&gt;="&amp;TEXT($G$6,"jj/mm/aa"),L$327:L$346)</f>
        <v>0</v>
      </c>
      <c r="M350" s="57">
        <f>SUMIF($D327:$D346,"&gt;="&amp;TEXT($G$6,"jj/mm/aa"),M$327:M$346)</f>
        <v>0</v>
      </c>
      <c r="N350" s="41"/>
      <c r="O350" s="41"/>
      <c r="P350" s="41"/>
      <c r="Q350" s="41"/>
      <c r="R350" s="57"/>
      <c r="S350" s="57"/>
      <c r="T350" s="57"/>
      <c r="U350" s="57"/>
      <c r="V350" s="57"/>
      <c r="W350" s="57"/>
    </row>
    <row r="351" spans="1:23" x14ac:dyDescent="0.2">
      <c r="A351" s="101"/>
      <c r="E351" s="1" t="s">
        <v>39</v>
      </c>
      <c r="G351" s="8">
        <f>SUMIF($F327:$F346,"&gt;="&amp;TEXT($G$6,"jj/mm/aa"),G$327:G$346)</f>
        <v>0</v>
      </c>
      <c r="J351" s="8">
        <f>SUMIF($F327:$F346,"&gt;="&amp;TEXT($G$6,"jj/mm/aa"),J$327:J$346)</f>
        <v>0</v>
      </c>
      <c r="K351" s="8">
        <f>SUMIF($F327:$F346,"&gt;="&amp;TEXT($G$6,"jj/mm/aa"),K$327:K$346)</f>
        <v>0</v>
      </c>
      <c r="L351" s="8">
        <f>SUMIF($F327:$F346,"&gt;="&amp;TEXT($G$6,"jj/mm/aa"),L$327:L$346)</f>
        <v>0</v>
      </c>
      <c r="M351" s="57">
        <f>SUMIF($F327:$F346,"&gt;="&amp;TEXT($G$6,"jj/mm/aa"),M$327:M$346)</f>
        <v>0</v>
      </c>
      <c r="N351" s="41"/>
      <c r="O351" s="41"/>
      <c r="P351" s="41"/>
      <c r="Q351" s="41"/>
      <c r="R351" s="57"/>
      <c r="S351" s="57"/>
      <c r="T351" s="57"/>
      <c r="U351" s="57"/>
      <c r="V351" s="57"/>
      <c r="W351" s="57"/>
    </row>
    <row r="352" spans="1:23" x14ac:dyDescent="0.2">
      <c r="A352" s="101"/>
      <c r="E352" s="1" t="s">
        <v>15</v>
      </c>
      <c r="G352" s="8">
        <f>G349+G350-G351</f>
        <v>35574.51</v>
      </c>
      <c r="J352" s="8">
        <f>J349+J350-J351</f>
        <v>35574.51</v>
      </c>
      <c r="K352" s="8">
        <f>K349+K350-K351</f>
        <v>0</v>
      </c>
      <c r="L352" s="8">
        <f>L349+L350-L351</f>
        <v>35574.51</v>
      </c>
      <c r="M352" s="57">
        <f>M349+M350-M351</f>
        <v>0</v>
      </c>
      <c r="N352" s="41"/>
      <c r="O352" s="41"/>
      <c r="P352" s="41"/>
      <c r="Q352" s="41"/>
      <c r="R352" s="57"/>
      <c r="S352" s="57"/>
      <c r="T352" s="57"/>
      <c r="U352" s="57"/>
      <c r="V352" s="57"/>
      <c r="W352" s="57"/>
    </row>
    <row r="353" spans="1:23" x14ac:dyDescent="0.2">
      <c r="A353" s="101"/>
      <c r="E353" s="1"/>
      <c r="G353" s="8"/>
      <c r="J353" s="8"/>
      <c r="K353" s="8"/>
      <c r="L353" s="8"/>
      <c r="M353" s="57"/>
      <c r="N353" s="41"/>
      <c r="O353" s="41"/>
      <c r="P353" s="41"/>
      <c r="Q353" s="41"/>
      <c r="R353" s="57"/>
      <c r="S353" s="57"/>
      <c r="T353" s="57"/>
      <c r="U353" s="57"/>
      <c r="V353" s="57"/>
      <c r="W353" s="57"/>
    </row>
    <row r="354" spans="1:23" x14ac:dyDescent="0.2">
      <c r="A354" s="101"/>
      <c r="M354" s="14"/>
      <c r="N354" s="41"/>
      <c r="O354" s="41"/>
      <c r="P354" s="41"/>
      <c r="Q354" s="41"/>
      <c r="R354" s="57"/>
      <c r="S354" s="57"/>
      <c r="T354" s="57"/>
      <c r="U354" s="57"/>
      <c r="V354" s="57"/>
      <c r="W354" s="57"/>
    </row>
    <row r="355" spans="1:23" ht="24.95" customHeight="1" x14ac:dyDescent="0.2">
      <c r="A355" s="208" t="s">
        <v>252</v>
      </c>
      <c r="B355" s="209"/>
      <c r="C355" s="209"/>
      <c r="D355" s="209"/>
      <c r="E355" s="210"/>
      <c r="F355" s="211"/>
      <c r="G355" s="211"/>
      <c r="H355" s="211"/>
      <c r="I355" s="211"/>
      <c r="J355" s="211"/>
      <c r="K355" s="211"/>
      <c r="L355" s="211"/>
      <c r="M355" s="226"/>
      <c r="N355" s="220" t="str">
        <f>A355 &amp; "   -   Dotations prévisionnelles"</f>
        <v>218100 AMENAGEMENTS DIVERS   -   Dotations prévisionnelles</v>
      </c>
      <c r="O355" s="212"/>
      <c r="P355" s="212"/>
      <c r="Q355" s="212"/>
      <c r="R355" s="213"/>
      <c r="S355" s="212"/>
      <c r="T355" s="212"/>
      <c r="U355" s="212"/>
      <c r="V355" s="212"/>
      <c r="W355" s="213"/>
    </row>
    <row r="356" spans="1:23" x14ac:dyDescent="0.2">
      <c r="A356" s="107">
        <f ca="1">IF(ISNUMBER(A355),A355+1,OFFSET(A356,-Nbre_Ligne_Entre_Compte,0,1,1)+1)</f>
        <v>120</v>
      </c>
      <c r="B356" s="1" t="s">
        <v>253</v>
      </c>
      <c r="C356" s="1" t="s">
        <v>265</v>
      </c>
      <c r="D356" s="77">
        <v>38433</v>
      </c>
      <c r="E356" s="77">
        <v>38433</v>
      </c>
      <c r="F356" s="77"/>
      <c r="G356" s="8">
        <v>2120</v>
      </c>
      <c r="H356" s="1" t="s">
        <v>8</v>
      </c>
      <c r="I356" s="78">
        <v>10</v>
      </c>
      <c r="J356" s="8">
        <v>1330.66</v>
      </c>
      <c r="K356" s="8">
        <f>ROUND(Dot_ex(D356,E356,F356,G356,H356,I356,J356,$G$6,$I$6,$I$8),2)</f>
        <v>212</v>
      </c>
      <c r="L356" s="8">
        <f>J356+K356</f>
        <v>1542.66</v>
      </c>
      <c r="M356" s="57">
        <f>G356-L356</f>
        <v>577.33999999999992</v>
      </c>
      <c r="N356" s="41">
        <f>ROUND(Dot_ex($D356,$E356,$F356,$G356,$H356,$I356,$L356,D$115,D$117,D$117),2)</f>
        <v>212</v>
      </c>
      <c r="O356" s="41">
        <f>ROUND(Dot_ex($D356,$E356,$F356,$G356,$H356,$I356,$L356+SUM($N356:N356),E$115,E$117,E$117),2)</f>
        <v>212</v>
      </c>
      <c r="P356" s="41">
        <f>ROUND(Dot_ex($D356,$E356,$F356,$G356,$H356,$I356,$L356+SUM($N356:O356),F$115,F$117,F$117),2)</f>
        <v>153.34</v>
      </c>
      <c r="Q356" s="41">
        <f>ROUND(Dot_ex($D356,$E356,$F356,$G356,$H356,$I356,$L356+SUM($N356:P356),G$115,G$117,G$117),2)</f>
        <v>0</v>
      </c>
      <c r="R356" s="57">
        <f>ROUND(Dot_ex($D356,$E356,$F356,$G356,$H356,$I356,$L356+SUM($N356:Q356),H$115,H$117,H$117),2)</f>
        <v>0</v>
      </c>
      <c r="S356" s="57">
        <f>ROUND(Dot_ex($D356,$E356,$F356,$G356,$H356,$I356,$L356+SUM($N356:R356),I$115,I$117,I$117),2)</f>
        <v>0</v>
      </c>
      <c r="T356" s="57">
        <f>ROUND(Dot_ex($D356,$E356,$F356,$G356,$H356,$I356,$L356+SUM($N356:S356),J$115,J$117,J$117),2)</f>
        <v>0</v>
      </c>
      <c r="U356" s="57">
        <f>ROUND(Dot_ex($D356,$E356,$F356,$G356,$H356,$I356,$L356+SUM($N356:T356),K$115,K$117,K$117),2)</f>
        <v>0</v>
      </c>
      <c r="V356" s="57">
        <f>ROUND(Dot_ex($D356,$E356,$F356,$G356,$H356,$I356,$L356+SUM($N356:U356),L$115,L$117,L$117),2)</f>
        <v>0</v>
      </c>
      <c r="W356" s="57">
        <f>ROUND(Dot_ex($D356,$E356,$F356,$G356,$H356,$I356,$L356+SUM($N356:V356),M$115,M$117,M$117),2)</f>
        <v>0</v>
      </c>
    </row>
    <row r="357" spans="1:23" x14ac:dyDescent="0.2">
      <c r="A357" s="107"/>
      <c r="B357" s="1"/>
      <c r="C357" s="1"/>
      <c r="D357" s="77"/>
      <c r="E357" s="77"/>
      <c r="F357" s="77"/>
      <c r="G357" s="8"/>
      <c r="H357" s="1"/>
      <c r="I357" s="78"/>
      <c r="J357" s="8"/>
      <c r="K357" s="8"/>
      <c r="L357" s="8"/>
      <c r="M357" s="57"/>
      <c r="N357" s="41"/>
      <c r="O357" s="41"/>
      <c r="P357" s="41"/>
      <c r="Q357" s="41"/>
      <c r="R357" s="57"/>
      <c r="S357" s="57"/>
      <c r="T357" s="57"/>
      <c r="U357" s="57"/>
      <c r="V357" s="57"/>
      <c r="W357" s="57"/>
    </row>
    <row r="358" spans="1:23" x14ac:dyDescent="0.2">
      <c r="A358" s="101"/>
      <c r="E358" s="94" t="s">
        <v>14</v>
      </c>
      <c r="F358" s="95"/>
      <c r="G358" s="96">
        <f>SUM(G356:G357)</f>
        <v>2120</v>
      </c>
      <c r="H358" s="94"/>
      <c r="I358" s="97"/>
      <c r="J358" s="96">
        <f t="shared" ref="J358:R358" si="56">SUM(J356:J357)</f>
        <v>1330.66</v>
      </c>
      <c r="K358" s="96">
        <f t="shared" si="56"/>
        <v>212</v>
      </c>
      <c r="L358" s="96">
        <f t="shared" si="56"/>
        <v>1542.66</v>
      </c>
      <c r="M358" s="203">
        <f t="shared" si="56"/>
        <v>577.33999999999992</v>
      </c>
      <c r="N358" s="202">
        <f t="shared" si="56"/>
        <v>212</v>
      </c>
      <c r="O358" s="202">
        <f t="shared" si="56"/>
        <v>212</v>
      </c>
      <c r="P358" s="202">
        <f t="shared" si="56"/>
        <v>153.34</v>
      </c>
      <c r="Q358" s="202">
        <f t="shared" si="56"/>
        <v>0</v>
      </c>
      <c r="R358" s="203">
        <f t="shared" si="56"/>
        <v>0</v>
      </c>
      <c r="S358" s="203">
        <f>SUM(S356:S357)</f>
        <v>0</v>
      </c>
      <c r="T358" s="203">
        <f>SUM(T356:T357)</f>
        <v>0</v>
      </c>
      <c r="U358" s="203">
        <f>SUM(U356:U357)</f>
        <v>0</v>
      </c>
      <c r="V358" s="203">
        <f>SUM(V356:V357)</f>
        <v>0</v>
      </c>
      <c r="W358" s="203">
        <f>SUM(W356:W357)</f>
        <v>0</v>
      </c>
    </row>
    <row r="359" spans="1:23" x14ac:dyDescent="0.2">
      <c r="A359" s="101"/>
      <c r="M359" s="14"/>
      <c r="N359" s="41"/>
      <c r="O359" s="41"/>
      <c r="P359" s="41"/>
      <c r="Q359" s="41"/>
      <c r="R359" s="57"/>
      <c r="S359" s="57"/>
      <c r="T359" s="57"/>
      <c r="U359" s="57"/>
      <c r="V359" s="57"/>
      <c r="W359" s="57"/>
    </row>
    <row r="360" spans="1:23" x14ac:dyDescent="0.2">
      <c r="A360" s="101"/>
      <c r="E360" s="1" t="s">
        <v>23</v>
      </c>
      <c r="G360" s="8">
        <f>SUMIF($D$356:$D$357,"&lt;"&amp;TEXT($G$6,"jj/mm/aa"),G$356:G$357)</f>
        <v>2120</v>
      </c>
      <c r="J360" s="8">
        <f>SUMIF($D$356:$D$357,"&lt;"&amp;TEXT($G$6,"jj/mm/aa"),J$356:J$357)</f>
        <v>1330.66</v>
      </c>
      <c r="K360" s="8">
        <f>SUMIF($D$356:$D$357,"&lt;"&amp;TEXT($G$6,"jj/mm/aa"),K$356:K$357)</f>
        <v>212</v>
      </c>
      <c r="L360" s="8">
        <f>SUMIF($D$356:$D$357,"&lt;"&amp;TEXT($G$6,"jj/mm/aa"),L$356:L$357)</f>
        <v>1542.66</v>
      </c>
      <c r="M360" s="57">
        <f>SUMIF($D$356:$D$357,"&lt;"&amp;TEXT($G$6,"jj/mm/aa"),M$356:M$357)</f>
        <v>577.33999999999992</v>
      </c>
      <c r="N360" s="41"/>
      <c r="O360" s="41"/>
      <c r="P360" s="41"/>
      <c r="Q360" s="41"/>
      <c r="R360" s="57"/>
      <c r="S360" s="57"/>
      <c r="T360" s="57"/>
      <c r="U360" s="57"/>
      <c r="V360" s="57"/>
      <c r="W360" s="57"/>
    </row>
    <row r="361" spans="1:23" x14ac:dyDescent="0.2">
      <c r="A361" s="101"/>
      <c r="E361" s="1" t="s">
        <v>38</v>
      </c>
      <c r="G361" s="8">
        <f>SUMIF($D$356:$D$357,"&gt;="&amp;TEXT($G$6,"jj/mm/aa"),G$356:G$357)</f>
        <v>0</v>
      </c>
      <c r="J361" s="8">
        <f>SUMIF($D$356:$D$357,"&gt;="&amp;TEXT($G$6,"jj/mm/aa"),J$356:J$357)</f>
        <v>0</v>
      </c>
      <c r="K361" s="8">
        <f>SUMIF($D$356:$D$357,"&gt;="&amp;TEXT($G$6,"jj/mm/aa"),K$356:K$357)</f>
        <v>0</v>
      </c>
      <c r="L361" s="8">
        <f>SUMIF($D$356:$D$357,"&gt;="&amp;TEXT($G$6,"jj/mm/aa"),L$356:L$357)</f>
        <v>0</v>
      </c>
      <c r="M361" s="57">
        <f>SUMIF($D$356:$D$357,"&gt;="&amp;TEXT($G$6,"jj/mm/aa"),M$356:M$357)</f>
        <v>0</v>
      </c>
      <c r="N361" s="41"/>
      <c r="O361" s="41"/>
      <c r="P361" s="41"/>
      <c r="Q361" s="41"/>
      <c r="R361" s="57"/>
      <c r="S361" s="57"/>
      <c r="T361" s="57"/>
      <c r="U361" s="57"/>
      <c r="V361" s="57"/>
      <c r="W361" s="57"/>
    </row>
    <row r="362" spans="1:23" x14ac:dyDescent="0.2">
      <c r="A362" s="101"/>
      <c r="E362" s="1" t="s">
        <v>39</v>
      </c>
      <c r="G362" s="8">
        <f>SUMIF($F$356:$F$357,"&gt;="&amp;TEXT($G$6,"jj/mm/aa"),G$356:G$357)</f>
        <v>0</v>
      </c>
      <c r="J362" s="8">
        <f>SUMIF($F$356:$F$357,"&gt;="&amp;TEXT($G$6,"jj/mm/aa"),J$356:J$357)</f>
        <v>0</v>
      </c>
      <c r="K362" s="8">
        <f>SUMIF($F$356:$F$357,"&gt;="&amp;TEXT($G$6,"jj/mm/aa"),K$356:K$357)</f>
        <v>0</v>
      </c>
      <c r="L362" s="8">
        <f>SUMIF($F$356:$F$357,"&gt;="&amp;TEXT($G$6,"jj/mm/aa"),L$356:L$357)</f>
        <v>0</v>
      </c>
      <c r="M362" s="57">
        <f>SUMIF($F$356:$F$357,"&gt;="&amp;TEXT($G$6,"jj/mm/aa"),M$356:M$357)</f>
        <v>0</v>
      </c>
      <c r="N362" s="41"/>
      <c r="O362" s="41"/>
      <c r="P362" s="41"/>
      <c r="Q362" s="41"/>
      <c r="R362" s="57"/>
      <c r="S362" s="57"/>
      <c r="T362" s="57"/>
      <c r="U362" s="57"/>
      <c r="V362" s="57"/>
      <c r="W362" s="57"/>
    </row>
    <row r="363" spans="1:23" x14ac:dyDescent="0.2">
      <c r="A363" s="101"/>
      <c r="E363" s="1" t="s">
        <v>15</v>
      </c>
      <c r="G363" s="8">
        <f>G360+G361-G362</f>
        <v>2120</v>
      </c>
      <c r="J363" s="8">
        <f>J360+J361-J362</f>
        <v>1330.66</v>
      </c>
      <c r="K363" s="8">
        <f>K360+K361-K362</f>
        <v>212</v>
      </c>
      <c r="L363" s="8">
        <f>L360+L361-L362</f>
        <v>1542.66</v>
      </c>
      <c r="M363" s="57">
        <f>M360+M361-M362</f>
        <v>577.33999999999992</v>
      </c>
      <c r="N363" s="41"/>
      <c r="O363" s="41"/>
      <c r="P363" s="41"/>
      <c r="Q363" s="41"/>
      <c r="R363" s="57"/>
      <c r="S363" s="57"/>
      <c r="T363" s="57"/>
      <c r="U363" s="57"/>
      <c r="V363" s="57"/>
      <c r="W363" s="57"/>
    </row>
    <row r="364" spans="1:23" x14ac:dyDescent="0.2">
      <c r="A364" s="101"/>
      <c r="E364" s="1"/>
      <c r="G364" s="8"/>
      <c r="J364" s="8"/>
      <c r="K364" s="8"/>
      <c r="L364" s="8"/>
      <c r="M364" s="57"/>
      <c r="N364" s="41"/>
      <c r="O364" s="41"/>
      <c r="P364" s="41"/>
      <c r="Q364" s="41"/>
      <c r="R364" s="57"/>
      <c r="S364" s="57"/>
      <c r="T364" s="57"/>
      <c r="U364" s="57"/>
      <c r="V364" s="57"/>
      <c r="W364" s="57"/>
    </row>
    <row r="365" spans="1:23" x14ac:dyDescent="0.2">
      <c r="A365" s="101"/>
      <c r="M365" s="14"/>
      <c r="N365" s="41"/>
      <c r="O365" s="41"/>
      <c r="P365" s="41"/>
      <c r="Q365" s="41"/>
      <c r="R365" s="57"/>
      <c r="S365" s="57"/>
      <c r="T365" s="57"/>
      <c r="U365" s="57"/>
      <c r="V365" s="57"/>
      <c r="W365" s="57"/>
    </row>
    <row r="366" spans="1:23" ht="24.95" customHeight="1" x14ac:dyDescent="0.2">
      <c r="A366" s="208" t="s">
        <v>293</v>
      </c>
      <c r="B366" s="209"/>
      <c r="C366" s="209"/>
      <c r="D366" s="209"/>
      <c r="E366" s="210"/>
      <c r="F366" s="211"/>
      <c r="G366" s="211"/>
      <c r="H366" s="211"/>
      <c r="I366" s="211"/>
      <c r="J366" s="211"/>
      <c r="K366" s="211"/>
      <c r="L366" s="211"/>
      <c r="M366" s="226"/>
      <c r="N366" s="220" t="str">
        <f>A366 &amp; "   -   Dotations prévisionnelles"</f>
        <v>218200 MATERIEL DE TRANSPORT   -   Dotations prévisionnelles</v>
      </c>
      <c r="O366" s="212"/>
      <c r="P366" s="212"/>
      <c r="Q366" s="212"/>
      <c r="R366" s="213"/>
      <c r="S366" s="212"/>
      <c r="T366" s="212"/>
      <c r="U366" s="212"/>
      <c r="V366" s="212"/>
      <c r="W366" s="213"/>
    </row>
    <row r="367" spans="1:23" x14ac:dyDescent="0.2">
      <c r="A367" s="107">
        <f t="shared" ref="A367:A374" ca="1" si="57">IF(ISNUMBER(A366),A366+1,OFFSET(A367,-Nbre_Ligne_Entre_Compte,0,1,1)+1)</f>
        <v>121</v>
      </c>
      <c r="B367" s="1" t="s">
        <v>294</v>
      </c>
      <c r="C367" s="1" t="s">
        <v>269</v>
      </c>
      <c r="D367" s="77">
        <v>40724</v>
      </c>
      <c r="E367" s="77">
        <v>40724</v>
      </c>
      <c r="F367" s="77"/>
      <c r="G367" s="8">
        <v>9880</v>
      </c>
      <c r="H367" s="1" t="s">
        <v>8</v>
      </c>
      <c r="I367" s="78">
        <v>3</v>
      </c>
      <c r="J367" s="8">
        <v>9.02</v>
      </c>
      <c r="K367" s="8">
        <f t="shared" ref="K367:K374" si="58">ROUND(Dot_ex(D367,E367,F367,G367,H367,I367,J367,$G$6,$I$6,$I$8),2)</f>
        <v>3293.33</v>
      </c>
      <c r="L367" s="8">
        <f t="shared" ref="L367:L374" si="59">J367+K367</f>
        <v>3302.35</v>
      </c>
      <c r="M367" s="57">
        <f t="shared" ref="M367:M374" si="60">G367-L367</f>
        <v>6577.65</v>
      </c>
      <c r="N367" s="41">
        <f t="shared" ref="N367:N374" si="61">ROUND(Dot_ex($D367,$E367,$F367,$G367,$H367,$I367,$L367,D$115,D$117,D$117),2)</f>
        <v>3293.33</v>
      </c>
      <c r="O367" s="41">
        <f>ROUND(Dot_ex($D367,$E367,$F367,$G367,$H367,$I367,$L367+SUM($N367:N367),E$115,E$117,E$117),2)</f>
        <v>3284.32</v>
      </c>
      <c r="P367" s="41">
        <f>ROUND(Dot_ex($D367,$E367,$F367,$G367,$H367,$I367,$L367+SUM($N367:O367),F$115,F$117,F$117),2)</f>
        <v>0</v>
      </c>
      <c r="Q367" s="41">
        <f>ROUND(Dot_ex($D367,$E367,$F367,$G367,$H367,$I367,$L367+SUM($N367:P367),G$115,G$117,G$117),2)</f>
        <v>0</v>
      </c>
      <c r="R367" s="57">
        <f>ROUND(Dot_ex($D367,$E367,$F367,$G367,$H367,$I367,$L367+SUM($N367:Q367),H$115,H$117,H$117),2)</f>
        <v>0</v>
      </c>
      <c r="S367" s="57">
        <f>ROUND(Dot_ex($D367,$E367,$F367,$G367,$H367,$I367,$L367+SUM($N367:R367),I$115,I$117,I$117),2)</f>
        <v>0</v>
      </c>
      <c r="T367" s="57">
        <f>ROUND(Dot_ex($D367,$E367,$F367,$G367,$H367,$I367,$L367+SUM($N367:S367),J$115,J$117,J$117),2)</f>
        <v>0</v>
      </c>
      <c r="U367" s="57">
        <f>ROUND(Dot_ex($D367,$E367,$F367,$G367,$H367,$I367,$L367+SUM($N367:T367),K$115,K$117,K$117),2)</f>
        <v>0</v>
      </c>
      <c r="V367" s="57">
        <f>ROUND(Dot_ex($D367,$E367,$F367,$G367,$H367,$I367,$L367+SUM($N367:U367),L$115,L$117,L$117),2)</f>
        <v>0</v>
      </c>
      <c r="W367" s="57">
        <f>ROUND(Dot_ex($D367,$E367,$F367,$G367,$H367,$I367,$L367+SUM($N367:V367),M$115,M$117,M$117),2)</f>
        <v>0</v>
      </c>
    </row>
    <row r="368" spans="1:23" x14ac:dyDescent="0.2">
      <c r="A368" s="107">
        <f t="shared" ca="1" si="57"/>
        <v>122</v>
      </c>
      <c r="B368" s="1" t="s">
        <v>295</v>
      </c>
      <c r="C368" s="1" t="s">
        <v>269</v>
      </c>
      <c r="D368" s="77">
        <v>40724</v>
      </c>
      <c r="E368" s="77">
        <v>40724</v>
      </c>
      <c r="F368" s="77"/>
      <c r="G368" s="8">
        <v>9880</v>
      </c>
      <c r="H368" s="1" t="s">
        <v>8</v>
      </c>
      <c r="I368" s="78">
        <v>3</v>
      </c>
      <c r="J368" s="8">
        <v>9.02</v>
      </c>
      <c r="K368" s="8">
        <f t="shared" si="58"/>
        <v>3293.33</v>
      </c>
      <c r="L368" s="8">
        <f t="shared" si="59"/>
        <v>3302.35</v>
      </c>
      <c r="M368" s="57">
        <f t="shared" si="60"/>
        <v>6577.65</v>
      </c>
      <c r="N368" s="41">
        <f t="shared" si="61"/>
        <v>3293.33</v>
      </c>
      <c r="O368" s="41">
        <f>ROUND(Dot_ex($D368,$E368,$F368,$G368,$H368,$I368,$L368+SUM($N368:N368),E$115,E$117,E$117),2)</f>
        <v>3284.32</v>
      </c>
      <c r="P368" s="41">
        <f>ROUND(Dot_ex($D368,$E368,$F368,$G368,$H368,$I368,$L368+SUM($N368:O368),F$115,F$117,F$117),2)</f>
        <v>0</v>
      </c>
      <c r="Q368" s="41">
        <f>ROUND(Dot_ex($D368,$E368,$F368,$G368,$H368,$I368,$L368+SUM($N368:P368),G$115,G$117,G$117),2)</f>
        <v>0</v>
      </c>
      <c r="R368" s="57">
        <f>ROUND(Dot_ex($D368,$E368,$F368,$G368,$H368,$I368,$L368+SUM($N368:Q368),H$115,H$117,H$117),2)</f>
        <v>0</v>
      </c>
      <c r="S368" s="57">
        <f>ROUND(Dot_ex($D368,$E368,$F368,$G368,$H368,$I368,$L368+SUM($N368:R368),I$115,I$117,I$117),2)</f>
        <v>0</v>
      </c>
      <c r="T368" s="57">
        <f>ROUND(Dot_ex($D368,$E368,$F368,$G368,$H368,$I368,$L368+SUM($N368:S368),J$115,J$117,J$117),2)</f>
        <v>0</v>
      </c>
      <c r="U368" s="57">
        <f>ROUND(Dot_ex($D368,$E368,$F368,$G368,$H368,$I368,$L368+SUM($N368:T368),K$115,K$117,K$117),2)</f>
        <v>0</v>
      </c>
      <c r="V368" s="57">
        <f>ROUND(Dot_ex($D368,$E368,$F368,$G368,$H368,$I368,$L368+SUM($N368:U368),L$115,L$117,L$117),2)</f>
        <v>0</v>
      </c>
      <c r="W368" s="57">
        <f>ROUND(Dot_ex($D368,$E368,$F368,$G368,$H368,$I368,$L368+SUM($N368:V368),M$115,M$117,M$117),2)</f>
        <v>0</v>
      </c>
    </row>
    <row r="369" spans="1:23" x14ac:dyDescent="0.2">
      <c r="A369" s="107">
        <f t="shared" ca="1" si="57"/>
        <v>123</v>
      </c>
      <c r="B369" s="1" t="s">
        <v>296</v>
      </c>
      <c r="C369" s="1" t="s">
        <v>269</v>
      </c>
      <c r="D369" s="77">
        <v>40724</v>
      </c>
      <c r="E369" s="77">
        <v>40724</v>
      </c>
      <c r="F369" s="77"/>
      <c r="G369" s="8">
        <v>9880</v>
      </c>
      <c r="H369" s="1" t="s">
        <v>8</v>
      </c>
      <c r="I369" s="78">
        <v>3</v>
      </c>
      <c r="J369" s="8">
        <v>9.02</v>
      </c>
      <c r="K369" s="8">
        <f t="shared" si="58"/>
        <v>3293.33</v>
      </c>
      <c r="L369" s="8">
        <f t="shared" si="59"/>
        <v>3302.35</v>
      </c>
      <c r="M369" s="57">
        <f t="shared" si="60"/>
        <v>6577.65</v>
      </c>
      <c r="N369" s="41">
        <f t="shared" si="61"/>
        <v>3293.33</v>
      </c>
      <c r="O369" s="41">
        <f>ROUND(Dot_ex($D369,$E369,$F369,$G369,$H369,$I369,$L369+SUM($N369:N369),E$115,E$117,E$117),2)</f>
        <v>3284.32</v>
      </c>
      <c r="P369" s="41">
        <f>ROUND(Dot_ex($D369,$E369,$F369,$G369,$H369,$I369,$L369+SUM($N369:O369),F$115,F$117,F$117),2)</f>
        <v>0</v>
      </c>
      <c r="Q369" s="41">
        <f>ROUND(Dot_ex($D369,$E369,$F369,$G369,$H369,$I369,$L369+SUM($N369:P369),G$115,G$117,G$117),2)</f>
        <v>0</v>
      </c>
      <c r="R369" s="57">
        <f>ROUND(Dot_ex($D369,$E369,$F369,$G369,$H369,$I369,$L369+SUM($N369:Q369),H$115,H$117,H$117),2)</f>
        <v>0</v>
      </c>
      <c r="S369" s="57">
        <f>ROUND(Dot_ex($D369,$E369,$F369,$G369,$H369,$I369,$L369+SUM($N369:R369),I$115,I$117,I$117),2)</f>
        <v>0</v>
      </c>
      <c r="T369" s="57">
        <f>ROUND(Dot_ex($D369,$E369,$F369,$G369,$H369,$I369,$L369+SUM($N369:S369),J$115,J$117,J$117),2)</f>
        <v>0</v>
      </c>
      <c r="U369" s="57">
        <f>ROUND(Dot_ex($D369,$E369,$F369,$G369,$H369,$I369,$L369+SUM($N369:T369),K$115,K$117,K$117),2)</f>
        <v>0</v>
      </c>
      <c r="V369" s="57">
        <f>ROUND(Dot_ex($D369,$E369,$F369,$G369,$H369,$I369,$L369+SUM($N369:U369),L$115,L$117,L$117),2)</f>
        <v>0</v>
      </c>
      <c r="W369" s="57">
        <f>ROUND(Dot_ex($D369,$E369,$F369,$G369,$H369,$I369,$L369+SUM($N369:V369),M$115,M$117,M$117),2)</f>
        <v>0</v>
      </c>
    </row>
    <row r="370" spans="1:23" x14ac:dyDescent="0.2">
      <c r="A370" s="107">
        <f t="shared" ca="1" si="57"/>
        <v>124</v>
      </c>
      <c r="B370" s="1" t="s">
        <v>297</v>
      </c>
      <c r="C370" s="1" t="s">
        <v>269</v>
      </c>
      <c r="D370" s="77">
        <v>40724</v>
      </c>
      <c r="E370" s="77">
        <v>40724</v>
      </c>
      <c r="F370" s="77"/>
      <c r="G370" s="8">
        <v>9880</v>
      </c>
      <c r="H370" s="1" t="s">
        <v>8</v>
      </c>
      <c r="I370" s="78">
        <v>3</v>
      </c>
      <c r="J370" s="8">
        <v>9.02</v>
      </c>
      <c r="K370" s="8">
        <f t="shared" si="58"/>
        <v>3293.33</v>
      </c>
      <c r="L370" s="8">
        <f t="shared" si="59"/>
        <v>3302.35</v>
      </c>
      <c r="M370" s="57">
        <f t="shared" si="60"/>
        <v>6577.65</v>
      </c>
      <c r="N370" s="41">
        <f t="shared" si="61"/>
        <v>3293.33</v>
      </c>
      <c r="O370" s="41">
        <f>ROUND(Dot_ex($D370,$E370,$F370,$G370,$H370,$I370,$L370+SUM($N370:N370),E$115,E$117,E$117),2)</f>
        <v>3284.32</v>
      </c>
      <c r="P370" s="41">
        <f>ROUND(Dot_ex($D370,$E370,$F370,$G370,$H370,$I370,$L370+SUM($N370:O370),F$115,F$117,F$117),2)</f>
        <v>0</v>
      </c>
      <c r="Q370" s="41">
        <f>ROUND(Dot_ex($D370,$E370,$F370,$G370,$H370,$I370,$L370+SUM($N370:P370),G$115,G$117,G$117),2)</f>
        <v>0</v>
      </c>
      <c r="R370" s="57">
        <f>ROUND(Dot_ex($D370,$E370,$F370,$G370,$H370,$I370,$L370+SUM($N370:Q370),H$115,H$117,H$117),2)</f>
        <v>0</v>
      </c>
      <c r="S370" s="57">
        <f>ROUND(Dot_ex($D370,$E370,$F370,$G370,$H370,$I370,$L370+SUM($N370:R370),I$115,I$117,I$117),2)</f>
        <v>0</v>
      </c>
      <c r="T370" s="57">
        <f>ROUND(Dot_ex($D370,$E370,$F370,$G370,$H370,$I370,$L370+SUM($N370:S370),J$115,J$117,J$117),2)</f>
        <v>0</v>
      </c>
      <c r="U370" s="57">
        <f>ROUND(Dot_ex($D370,$E370,$F370,$G370,$H370,$I370,$L370+SUM($N370:T370),K$115,K$117,K$117),2)</f>
        <v>0</v>
      </c>
      <c r="V370" s="57">
        <f>ROUND(Dot_ex($D370,$E370,$F370,$G370,$H370,$I370,$L370+SUM($N370:U370),L$115,L$117,L$117),2)</f>
        <v>0</v>
      </c>
      <c r="W370" s="57">
        <f>ROUND(Dot_ex($D370,$E370,$F370,$G370,$H370,$I370,$L370+SUM($N370:V370),M$115,M$117,M$117),2)</f>
        <v>0</v>
      </c>
    </row>
    <row r="371" spans="1:23" x14ac:dyDescent="0.2">
      <c r="A371" s="107">
        <f t="shared" ca="1" si="57"/>
        <v>125</v>
      </c>
      <c r="B371" s="1" t="s">
        <v>298</v>
      </c>
      <c r="C371" s="1" t="s">
        <v>269</v>
      </c>
      <c r="D371" s="77">
        <v>40724</v>
      </c>
      <c r="E371" s="77">
        <v>40724</v>
      </c>
      <c r="F371" s="77"/>
      <c r="G371" s="8">
        <v>9880</v>
      </c>
      <c r="H371" s="1" t="s">
        <v>8</v>
      </c>
      <c r="I371" s="78">
        <v>3</v>
      </c>
      <c r="J371" s="8">
        <v>9.02</v>
      </c>
      <c r="K371" s="8">
        <f t="shared" si="58"/>
        <v>3293.33</v>
      </c>
      <c r="L371" s="8">
        <f t="shared" si="59"/>
        <v>3302.35</v>
      </c>
      <c r="M371" s="57">
        <f t="shared" si="60"/>
        <v>6577.65</v>
      </c>
      <c r="N371" s="41">
        <f t="shared" si="61"/>
        <v>3293.33</v>
      </c>
      <c r="O371" s="41">
        <f>ROUND(Dot_ex($D371,$E371,$F371,$G371,$H371,$I371,$L371+SUM($N371:N371),E$115,E$117,E$117),2)</f>
        <v>3284.32</v>
      </c>
      <c r="P371" s="41">
        <f>ROUND(Dot_ex($D371,$E371,$F371,$G371,$H371,$I371,$L371+SUM($N371:O371),F$115,F$117,F$117),2)</f>
        <v>0</v>
      </c>
      <c r="Q371" s="41">
        <f>ROUND(Dot_ex($D371,$E371,$F371,$G371,$H371,$I371,$L371+SUM($N371:P371),G$115,G$117,G$117),2)</f>
        <v>0</v>
      </c>
      <c r="R371" s="57">
        <f>ROUND(Dot_ex($D371,$E371,$F371,$G371,$H371,$I371,$L371+SUM($N371:Q371),H$115,H$117,H$117),2)</f>
        <v>0</v>
      </c>
      <c r="S371" s="57">
        <f>ROUND(Dot_ex($D371,$E371,$F371,$G371,$H371,$I371,$L371+SUM($N371:R371),I$115,I$117,I$117),2)</f>
        <v>0</v>
      </c>
      <c r="T371" s="57">
        <f>ROUND(Dot_ex($D371,$E371,$F371,$G371,$H371,$I371,$L371+SUM($N371:S371),J$115,J$117,J$117),2)</f>
        <v>0</v>
      </c>
      <c r="U371" s="57">
        <f>ROUND(Dot_ex($D371,$E371,$F371,$G371,$H371,$I371,$L371+SUM($N371:T371),K$115,K$117,K$117),2)</f>
        <v>0</v>
      </c>
      <c r="V371" s="57">
        <f>ROUND(Dot_ex($D371,$E371,$F371,$G371,$H371,$I371,$L371+SUM($N371:U371),L$115,L$117,L$117),2)</f>
        <v>0</v>
      </c>
      <c r="W371" s="57">
        <f>ROUND(Dot_ex($D371,$E371,$F371,$G371,$H371,$I371,$L371+SUM($N371:V371),M$115,M$117,M$117),2)</f>
        <v>0</v>
      </c>
    </row>
    <row r="372" spans="1:23" x14ac:dyDescent="0.2">
      <c r="A372" s="107">
        <f t="shared" ca="1" si="57"/>
        <v>126</v>
      </c>
      <c r="B372" s="1" t="s">
        <v>299</v>
      </c>
      <c r="C372" s="1" t="s">
        <v>269</v>
      </c>
      <c r="D372" s="77">
        <v>40732</v>
      </c>
      <c r="E372" s="77">
        <v>40732</v>
      </c>
      <c r="F372" s="77"/>
      <c r="G372" s="8">
        <v>9880</v>
      </c>
      <c r="H372" s="1" t="s">
        <v>8</v>
      </c>
      <c r="I372" s="78">
        <v>3</v>
      </c>
      <c r="J372" s="8"/>
      <c r="K372" s="8">
        <f t="shared" si="58"/>
        <v>3230.35</v>
      </c>
      <c r="L372" s="8">
        <f t="shared" si="59"/>
        <v>3230.35</v>
      </c>
      <c r="M372" s="57">
        <f t="shared" si="60"/>
        <v>6649.65</v>
      </c>
      <c r="N372" s="41">
        <f t="shared" si="61"/>
        <v>3293.33</v>
      </c>
      <c r="O372" s="41">
        <f>ROUND(Dot_ex($D372,$E372,$F372,$G372,$H372,$I372,$L372+SUM($N372:N372),E$115,E$117,E$117),2)</f>
        <v>3293.33</v>
      </c>
      <c r="P372" s="41">
        <f>ROUND(Dot_ex($D372,$E372,$F372,$G372,$H372,$I372,$L372+SUM($N372:O372),F$115,F$117,F$117),2)</f>
        <v>62.99</v>
      </c>
      <c r="Q372" s="41">
        <f>ROUND(Dot_ex($D372,$E372,$F372,$G372,$H372,$I372,$L372+SUM($N372:P372),G$115,G$117,G$117),2)</f>
        <v>0</v>
      </c>
      <c r="R372" s="57">
        <f>ROUND(Dot_ex($D372,$E372,$F372,$G372,$H372,$I372,$L372+SUM($N372:Q372),H$115,H$117,H$117),2)</f>
        <v>0</v>
      </c>
      <c r="S372" s="57">
        <f>ROUND(Dot_ex($D372,$E372,$F372,$G372,$H372,$I372,$L372+SUM($N372:R372),I$115,I$117,I$117),2)</f>
        <v>0</v>
      </c>
      <c r="T372" s="57">
        <f>ROUND(Dot_ex($D372,$E372,$F372,$G372,$H372,$I372,$L372+SUM($N372:S372),J$115,J$117,J$117),2)</f>
        <v>0</v>
      </c>
      <c r="U372" s="57">
        <f>ROUND(Dot_ex($D372,$E372,$F372,$G372,$H372,$I372,$L372+SUM($N372:T372),K$115,K$117,K$117),2)</f>
        <v>0</v>
      </c>
      <c r="V372" s="57">
        <f>ROUND(Dot_ex($D372,$E372,$F372,$G372,$H372,$I372,$L372+SUM($N372:U372),L$115,L$117,L$117),2)</f>
        <v>0</v>
      </c>
      <c r="W372" s="57">
        <f>ROUND(Dot_ex($D372,$E372,$F372,$G372,$H372,$I372,$L372+SUM($N372:V372),M$115,M$117,M$117),2)</f>
        <v>0</v>
      </c>
    </row>
    <row r="373" spans="1:23" x14ac:dyDescent="0.2">
      <c r="A373" s="107">
        <f t="shared" ca="1" si="57"/>
        <v>127</v>
      </c>
      <c r="B373" s="1" t="s">
        <v>301</v>
      </c>
      <c r="C373" s="1" t="s">
        <v>269</v>
      </c>
      <c r="D373" s="77">
        <v>40893</v>
      </c>
      <c r="E373" s="77">
        <v>40893</v>
      </c>
      <c r="F373" s="77"/>
      <c r="G373" s="8">
        <v>15994</v>
      </c>
      <c r="H373" s="1" t="s">
        <v>8</v>
      </c>
      <c r="I373" s="78">
        <v>3</v>
      </c>
      <c r="J373" s="8"/>
      <c r="K373" s="8">
        <f t="shared" si="58"/>
        <v>2884.16</v>
      </c>
      <c r="L373" s="8">
        <f t="shared" si="59"/>
        <v>2884.16</v>
      </c>
      <c r="M373" s="57">
        <f t="shared" si="60"/>
        <v>13109.84</v>
      </c>
      <c r="N373" s="41">
        <f t="shared" si="61"/>
        <v>5331.33</v>
      </c>
      <c r="O373" s="41">
        <f>ROUND(Dot_ex($D373,$E373,$F373,$G373,$H373,$I373,$L373+SUM($N373:N373),E$115,E$117,E$117),2)</f>
        <v>5331.33</v>
      </c>
      <c r="P373" s="41">
        <f>ROUND(Dot_ex($D373,$E373,$F373,$G373,$H373,$I373,$L373+SUM($N373:O373),F$115,F$117,F$117),2)</f>
        <v>2447.1799999999998</v>
      </c>
      <c r="Q373" s="41">
        <f>ROUND(Dot_ex($D373,$E373,$F373,$G373,$H373,$I373,$L373+SUM($N373:P373),G$115,G$117,G$117),2)</f>
        <v>0</v>
      </c>
      <c r="R373" s="57">
        <f>ROUND(Dot_ex($D373,$E373,$F373,$G373,$H373,$I373,$L373+SUM($N373:Q373),H$115,H$117,H$117),2)</f>
        <v>0</v>
      </c>
      <c r="S373" s="57">
        <f>ROUND(Dot_ex($D373,$E373,$F373,$G373,$H373,$I373,$L373+SUM($N373:R373),I$115,I$117,I$117),2)</f>
        <v>0</v>
      </c>
      <c r="T373" s="57">
        <f>ROUND(Dot_ex($D373,$E373,$F373,$G373,$H373,$I373,$L373+SUM($N373:S373),J$115,J$117,J$117),2)</f>
        <v>0</v>
      </c>
      <c r="U373" s="57">
        <f>ROUND(Dot_ex($D373,$E373,$F373,$G373,$H373,$I373,$L373+SUM($N373:T373),K$115,K$117,K$117),2)</f>
        <v>0</v>
      </c>
      <c r="V373" s="57">
        <f>ROUND(Dot_ex($D373,$E373,$F373,$G373,$H373,$I373,$L373+SUM($N373:U373),L$115,L$117,L$117),2)</f>
        <v>0</v>
      </c>
      <c r="W373" s="57">
        <f>ROUND(Dot_ex($D373,$E373,$F373,$G373,$H373,$I373,$L373+SUM($N373:V373),M$115,M$117,M$117),2)</f>
        <v>0</v>
      </c>
    </row>
    <row r="374" spans="1:23" x14ac:dyDescent="0.2">
      <c r="A374" s="107">
        <f t="shared" ca="1" si="57"/>
        <v>128</v>
      </c>
      <c r="B374" s="1" t="s">
        <v>300</v>
      </c>
      <c r="C374" s="1" t="s">
        <v>269</v>
      </c>
      <c r="D374" s="77">
        <v>40893</v>
      </c>
      <c r="E374" s="77">
        <v>40893</v>
      </c>
      <c r="F374" s="77"/>
      <c r="G374" s="8">
        <v>15994</v>
      </c>
      <c r="H374" s="1" t="s">
        <v>8</v>
      </c>
      <c r="I374" s="78">
        <v>3</v>
      </c>
      <c r="J374" s="8"/>
      <c r="K374" s="8">
        <f t="shared" si="58"/>
        <v>2884.16</v>
      </c>
      <c r="L374" s="8">
        <f t="shared" si="59"/>
        <v>2884.16</v>
      </c>
      <c r="M374" s="57">
        <f t="shared" si="60"/>
        <v>13109.84</v>
      </c>
      <c r="N374" s="41">
        <f t="shared" si="61"/>
        <v>5331.33</v>
      </c>
      <c r="O374" s="41">
        <f>ROUND(Dot_ex($D374,$E374,$F374,$G374,$H374,$I374,$L374+SUM($N374:N374),E$115,E$117,E$117),2)</f>
        <v>5331.33</v>
      </c>
      <c r="P374" s="41">
        <f>ROUND(Dot_ex($D374,$E374,$F374,$G374,$H374,$I374,$L374+SUM($N374:O374),F$115,F$117,F$117),2)</f>
        <v>2447.1799999999998</v>
      </c>
      <c r="Q374" s="41">
        <f>ROUND(Dot_ex($D374,$E374,$F374,$G374,$H374,$I374,$L374+SUM($N374:P374),G$115,G$117,G$117),2)</f>
        <v>0</v>
      </c>
      <c r="R374" s="57">
        <f>ROUND(Dot_ex($D374,$E374,$F374,$G374,$H374,$I374,$L374+SUM($N374:Q374),H$115,H$117,H$117),2)</f>
        <v>0</v>
      </c>
      <c r="S374" s="57">
        <f>ROUND(Dot_ex($D374,$E374,$F374,$G374,$H374,$I374,$L374+SUM($N374:R374),I$115,I$117,I$117),2)</f>
        <v>0</v>
      </c>
      <c r="T374" s="57">
        <f>ROUND(Dot_ex($D374,$E374,$F374,$G374,$H374,$I374,$L374+SUM($N374:S374),J$115,J$117,J$117),2)</f>
        <v>0</v>
      </c>
      <c r="U374" s="57">
        <f>ROUND(Dot_ex($D374,$E374,$F374,$G374,$H374,$I374,$L374+SUM($N374:T374),K$115,K$117,K$117),2)</f>
        <v>0</v>
      </c>
      <c r="V374" s="57">
        <f>ROUND(Dot_ex($D374,$E374,$F374,$G374,$H374,$I374,$L374+SUM($N374:U374),L$115,L$117,L$117),2)</f>
        <v>0</v>
      </c>
      <c r="W374" s="57">
        <f>ROUND(Dot_ex($D374,$E374,$F374,$G374,$H374,$I374,$L374+SUM($N374:V374),M$115,M$117,M$117),2)</f>
        <v>0</v>
      </c>
    </row>
    <row r="375" spans="1:23" x14ac:dyDescent="0.2">
      <c r="A375" s="101"/>
      <c r="H375" s="1"/>
      <c r="I375" s="1"/>
      <c r="J375" s="8"/>
      <c r="K375" s="8"/>
      <c r="M375" s="14"/>
      <c r="N375" s="41"/>
      <c r="O375" s="41"/>
      <c r="P375" s="41"/>
      <c r="Q375" s="41"/>
      <c r="R375" s="57"/>
      <c r="S375" s="57"/>
      <c r="T375" s="57"/>
      <c r="U375" s="57"/>
      <c r="V375" s="57"/>
      <c r="W375" s="57"/>
    </row>
    <row r="376" spans="1:23" x14ac:dyDescent="0.2">
      <c r="A376" s="101"/>
      <c r="E376" s="94" t="s">
        <v>14</v>
      </c>
      <c r="F376" s="95"/>
      <c r="G376" s="96">
        <f>SUM(G367:G375)</f>
        <v>91268</v>
      </c>
      <c r="H376" s="94"/>
      <c r="I376" s="97"/>
      <c r="J376" s="96">
        <f t="shared" ref="J376:W376" si="62">SUM(J367:J375)</f>
        <v>45.099999999999994</v>
      </c>
      <c r="K376" s="96">
        <f t="shared" si="62"/>
        <v>25465.32</v>
      </c>
      <c r="L376" s="96">
        <f t="shared" si="62"/>
        <v>25510.42</v>
      </c>
      <c r="M376" s="203">
        <f t="shared" si="62"/>
        <v>65757.58</v>
      </c>
      <c r="N376" s="202">
        <f t="shared" si="62"/>
        <v>30422.640000000007</v>
      </c>
      <c r="O376" s="202">
        <f t="shared" si="62"/>
        <v>30377.590000000004</v>
      </c>
      <c r="P376" s="202">
        <f t="shared" si="62"/>
        <v>4957.3499999999995</v>
      </c>
      <c r="Q376" s="202">
        <f t="shared" si="62"/>
        <v>0</v>
      </c>
      <c r="R376" s="203">
        <f t="shared" si="62"/>
        <v>0</v>
      </c>
      <c r="S376" s="203">
        <f t="shared" si="62"/>
        <v>0</v>
      </c>
      <c r="T376" s="203">
        <f t="shared" si="62"/>
        <v>0</v>
      </c>
      <c r="U376" s="203">
        <f t="shared" si="62"/>
        <v>0</v>
      </c>
      <c r="V376" s="203">
        <f t="shared" si="62"/>
        <v>0</v>
      </c>
      <c r="W376" s="203">
        <f t="shared" si="62"/>
        <v>0</v>
      </c>
    </row>
    <row r="377" spans="1:23" x14ac:dyDescent="0.2">
      <c r="A377" s="101"/>
      <c r="E377" s="94"/>
      <c r="F377" s="95"/>
      <c r="G377" s="96"/>
      <c r="H377" s="94"/>
      <c r="I377" s="97"/>
      <c r="J377" s="96"/>
      <c r="K377" s="96"/>
      <c r="L377" s="96"/>
      <c r="M377" s="203"/>
      <c r="N377" s="41"/>
      <c r="O377" s="41"/>
      <c r="P377" s="41"/>
      <c r="Q377" s="41"/>
      <c r="R377" s="57"/>
      <c r="S377" s="57"/>
      <c r="T377" s="57"/>
      <c r="U377" s="57"/>
      <c r="V377" s="57"/>
      <c r="W377" s="57"/>
    </row>
    <row r="378" spans="1:23" x14ac:dyDescent="0.2">
      <c r="A378" s="101"/>
      <c r="E378" s="1" t="s">
        <v>23</v>
      </c>
      <c r="G378" s="8">
        <f>SUMIF($D367:$D375,"&lt;"&amp;TEXT($G$6,"jj/mm/aa"),G367:G375)</f>
        <v>49400</v>
      </c>
      <c r="H378" s="1"/>
      <c r="I378" s="78"/>
      <c r="J378" s="8">
        <v>3355.27</v>
      </c>
      <c r="K378" s="8">
        <f>SUMIF($D367:$D375,"&lt;"&amp;TEXT($G$6,"jj/mm/aa"),K367:K375)</f>
        <v>16466.650000000001</v>
      </c>
      <c r="L378" s="8">
        <f>SUMIF($D367:$D375,"&lt;"&amp;TEXT($G$6,"jj/mm/aa"),L367:L375)</f>
        <v>16511.75</v>
      </c>
      <c r="M378" s="57">
        <f>SUMIF($D367:$D375,"&lt;"&amp;TEXT($G$6,"jj/mm/aa"),M367:M375)</f>
        <v>32888.25</v>
      </c>
      <c r="N378" s="41"/>
      <c r="O378" s="41"/>
      <c r="P378" s="41"/>
      <c r="Q378" s="41"/>
      <c r="R378" s="57"/>
      <c r="S378" s="57"/>
      <c r="T378" s="57"/>
      <c r="U378" s="57"/>
      <c r="V378" s="57"/>
      <c r="W378" s="57"/>
    </row>
    <row r="379" spans="1:23" x14ac:dyDescent="0.2">
      <c r="A379" s="101"/>
      <c r="E379" s="1" t="s">
        <v>38</v>
      </c>
      <c r="G379" s="8">
        <f>SUMIF($D367:$D375,"&gt;="&amp;TEXT($G$6,"jj/mm/aa"),G367:G375)</f>
        <v>41868</v>
      </c>
      <c r="J379" s="8">
        <f>SUMIF($D367:$D375,"&gt;="&amp;TEXT($G$6,"jj/mm/aa"),J367:J375)</f>
        <v>0</v>
      </c>
      <c r="K379" s="8">
        <f>SUMIF($D367:$D375,"&gt;="&amp;TEXT($G$6,"jj/mm/aa"),K367:K375)</f>
        <v>8998.67</v>
      </c>
      <c r="L379" s="8">
        <f>SUMIF($D367:$D375,"&gt;="&amp;TEXT($G$6,"jj/mm/aa"),L367:L375)</f>
        <v>8998.67</v>
      </c>
      <c r="M379" s="57">
        <f>SUMIF($D367:$D375,"&gt;="&amp;TEXT($G$6,"jj/mm/aa"),M367:M375)</f>
        <v>32869.33</v>
      </c>
      <c r="N379" s="41"/>
      <c r="O379" s="41"/>
      <c r="P379" s="41"/>
      <c r="Q379" s="41"/>
      <c r="R379" s="57"/>
      <c r="S379" s="57"/>
      <c r="T379" s="57"/>
      <c r="U379" s="57"/>
      <c r="V379" s="57"/>
      <c r="W379" s="57"/>
    </row>
    <row r="380" spans="1:23" x14ac:dyDescent="0.2">
      <c r="A380" s="101"/>
      <c r="E380" s="1" t="s">
        <v>39</v>
      </c>
      <c r="G380" s="8">
        <f>SUMIF($F367:$F375,"&gt;="&amp;TEXT($G$6,"jj/mm/aa"),G367:G375)</f>
        <v>0</v>
      </c>
      <c r="J380" s="8">
        <f>SUMIF($F367:$F375,"&gt;="&amp;TEXT($G$6,"jj/mm/aa"),J367:J375)</f>
        <v>0</v>
      </c>
      <c r="K380" s="8">
        <f>SUMIF($F367:$F375,"&gt;="&amp;TEXT($G$6,"jj/mm/aa"),K367:K375)</f>
        <v>0</v>
      </c>
      <c r="L380" s="8">
        <f>SUMIF($F367:$F375,"&gt;="&amp;TEXT($G$6,"jj/mm/aa"),L367:L375)</f>
        <v>0</v>
      </c>
      <c r="M380" s="57">
        <f>SUMIF($F367:$F375,"&gt;="&amp;TEXT($G$6,"jj/mm/aa"),M367:M375)</f>
        <v>0</v>
      </c>
      <c r="N380" s="41"/>
      <c r="O380" s="41"/>
      <c r="P380" s="41"/>
      <c r="Q380" s="41"/>
      <c r="R380" s="57"/>
      <c r="S380" s="57"/>
      <c r="T380" s="57"/>
      <c r="U380" s="57"/>
      <c r="V380" s="57"/>
      <c r="W380" s="57"/>
    </row>
    <row r="381" spans="1:23" x14ac:dyDescent="0.2">
      <c r="A381" s="101"/>
      <c r="E381" s="1" t="s">
        <v>15</v>
      </c>
      <c r="G381" s="8">
        <f>G378+G379-G380</f>
        <v>91268</v>
      </c>
      <c r="J381" s="8">
        <f>J378+J379-J380</f>
        <v>3355.27</v>
      </c>
      <c r="K381" s="8">
        <f>K378+K379-K380</f>
        <v>25465.32</v>
      </c>
      <c r="L381" s="8">
        <f>L378+L379-L380</f>
        <v>25510.42</v>
      </c>
      <c r="M381" s="57">
        <f>M378+M379-M380</f>
        <v>65757.58</v>
      </c>
      <c r="N381" s="41"/>
      <c r="O381" s="41"/>
      <c r="P381" s="41"/>
      <c r="Q381" s="41"/>
      <c r="R381" s="57"/>
      <c r="S381" s="57"/>
      <c r="T381" s="57"/>
      <c r="U381" s="57"/>
      <c r="V381" s="57"/>
      <c r="W381" s="57"/>
    </row>
    <row r="382" spans="1:23" x14ac:dyDescent="0.2">
      <c r="A382" s="101"/>
      <c r="M382" s="14"/>
      <c r="N382" s="41"/>
      <c r="O382" s="41"/>
      <c r="P382" s="41"/>
      <c r="Q382" s="41"/>
      <c r="R382" s="57"/>
      <c r="S382" s="57"/>
      <c r="T382" s="57"/>
      <c r="U382" s="57"/>
      <c r="V382" s="57"/>
      <c r="W382" s="57"/>
    </row>
    <row r="383" spans="1:23" x14ac:dyDescent="0.2">
      <c r="A383" s="101"/>
      <c r="M383" s="14"/>
      <c r="N383" s="41"/>
      <c r="O383" s="41"/>
      <c r="P383" s="41"/>
      <c r="Q383" s="41"/>
      <c r="R383" s="57"/>
      <c r="S383" s="57"/>
      <c r="T383" s="57"/>
      <c r="U383" s="57"/>
      <c r="V383" s="57"/>
      <c r="W383" s="57"/>
    </row>
    <row r="384" spans="1:23" ht="24.95" customHeight="1" x14ac:dyDescent="0.2">
      <c r="A384" s="208" t="s">
        <v>125</v>
      </c>
      <c r="B384" s="209"/>
      <c r="C384" s="209"/>
      <c r="D384" s="209"/>
      <c r="E384" s="210"/>
      <c r="F384" s="211"/>
      <c r="G384" s="211"/>
      <c r="H384" s="211"/>
      <c r="I384" s="211"/>
      <c r="J384" s="211"/>
      <c r="K384" s="211"/>
      <c r="L384" s="211"/>
      <c r="M384" s="226"/>
      <c r="N384" s="220" t="str">
        <f>A384 &amp; "   -   Dotations prévisionnelles"</f>
        <v>218300 MATERIEL DE BUREAU   -   Dotations prévisionnelles</v>
      </c>
      <c r="O384" s="212"/>
      <c r="P384" s="212"/>
      <c r="Q384" s="212"/>
      <c r="R384" s="213"/>
      <c r="S384" s="212"/>
      <c r="T384" s="212"/>
      <c r="U384" s="212"/>
      <c r="V384" s="212"/>
      <c r="W384" s="213"/>
    </row>
    <row r="385" spans="1:23" x14ac:dyDescent="0.2">
      <c r="A385" s="107">
        <f ca="1">IF(ISNUMBER(A384),A384+1,OFFSET(A385,-Nbre_Ligne_Entre_Compte,0,1,1)+1)</f>
        <v>129</v>
      </c>
      <c r="B385" s="1" t="s">
        <v>154</v>
      </c>
      <c r="C385" s="1" t="s">
        <v>265</v>
      </c>
      <c r="D385" s="77">
        <v>36433</v>
      </c>
      <c r="E385" s="77">
        <v>36433</v>
      </c>
      <c r="F385" s="77"/>
      <c r="G385" s="8">
        <v>972.07</v>
      </c>
      <c r="H385" s="1" t="s">
        <v>12</v>
      </c>
      <c r="I385" s="78">
        <v>3</v>
      </c>
      <c r="J385" s="8">
        <v>972.07</v>
      </c>
      <c r="K385" s="8">
        <f t="shared" ref="K385:K401" si="63">ROUND(Dot_ex(D385,E385,F385,G385,H385,I385,J385,$G$6,$I$6,$I$8),2)</f>
        <v>0</v>
      </c>
      <c r="L385" s="8">
        <f t="shared" ref="L385:L401" si="64">J385+K385</f>
        <v>972.07</v>
      </c>
      <c r="M385" s="57">
        <f t="shared" ref="M385:M401" si="65">G385-L385</f>
        <v>0</v>
      </c>
      <c r="N385" s="41">
        <f t="shared" ref="N385:N405" si="66">ROUND(Dot_ex($D385,$E385,$F385,$G385,$H385,$I385,$L385,D$115,D$117,D$117),2)</f>
        <v>0</v>
      </c>
      <c r="O385" s="41">
        <f>ROUND(Dot_ex($D385,$E385,$F385,$G385,$H385,$I385,$L385+SUM($N385:N385),E$115,E$117,E$117),2)</f>
        <v>0</v>
      </c>
      <c r="P385" s="41">
        <f>ROUND(Dot_ex($D385,$E385,$F385,$G385,$H385,$I385,$L385+SUM($N385:O385),F$115,F$117,F$117),2)</f>
        <v>0</v>
      </c>
      <c r="Q385" s="41">
        <f>ROUND(Dot_ex($D385,$E385,$F385,$G385,$H385,$I385,$L385+SUM($N385:P385),G$115,G$117,G$117),2)</f>
        <v>0</v>
      </c>
      <c r="R385" s="57">
        <f>ROUND(Dot_ex($D385,$E385,$F385,$G385,$H385,$I385,$L385+SUM($N385:Q385),H$115,H$117,H$117),2)</f>
        <v>0</v>
      </c>
      <c r="S385" s="57">
        <f>ROUND(Dot_ex($D385,$E385,$F385,$G385,$H385,$I385,$L385+SUM($N385:R385),I$115,I$117,I$117),2)</f>
        <v>0</v>
      </c>
      <c r="T385" s="57">
        <f>ROUND(Dot_ex($D385,$E385,$F385,$G385,$H385,$I385,$L385+SUM($N385:S385),J$115,J$117,J$117),2)</f>
        <v>0</v>
      </c>
      <c r="U385" s="57">
        <f>ROUND(Dot_ex($D385,$E385,$F385,$G385,$H385,$I385,$L385+SUM($N385:T385),K$115,K$117,K$117),2)</f>
        <v>0</v>
      </c>
      <c r="V385" s="57">
        <f>ROUND(Dot_ex($D385,$E385,$F385,$G385,$H385,$I385,$L385+SUM($N385:U385),L$115,L$117,L$117),2)</f>
        <v>0</v>
      </c>
      <c r="W385" s="57">
        <f>ROUND(Dot_ex($D385,$E385,$F385,$G385,$H385,$I385,$L385+SUM($N385:V385),M$115,M$117,M$117),2)</f>
        <v>0</v>
      </c>
    </row>
    <row r="386" spans="1:23" x14ac:dyDescent="0.2">
      <c r="A386" s="107">
        <f ca="1">IF(ISNUMBER(A385),A385+1,OFFSET(A386,-Nbre_Ligne_Entre_Compte,0,1,1)+1)</f>
        <v>130</v>
      </c>
      <c r="B386" s="1" t="s">
        <v>194</v>
      </c>
      <c r="C386" s="1" t="s">
        <v>265</v>
      </c>
      <c r="D386" s="77">
        <v>37349</v>
      </c>
      <c r="E386" s="77">
        <v>37349</v>
      </c>
      <c r="F386" s="77"/>
      <c r="G386" s="8">
        <v>3876.81</v>
      </c>
      <c r="H386" s="1" t="s">
        <v>8</v>
      </c>
      <c r="I386" s="78">
        <v>5</v>
      </c>
      <c r="J386" s="8">
        <v>3876.81</v>
      </c>
      <c r="K386" s="8">
        <f t="shared" si="63"/>
        <v>0</v>
      </c>
      <c r="L386" s="8">
        <f t="shared" si="64"/>
        <v>3876.81</v>
      </c>
      <c r="M386" s="57">
        <f t="shared" si="65"/>
        <v>0</v>
      </c>
      <c r="N386" s="41">
        <f t="shared" si="66"/>
        <v>0</v>
      </c>
      <c r="O386" s="41">
        <f>ROUND(Dot_ex($D386,$E386,$F386,$G386,$H386,$I386,$L386+SUM($N386:N386),E$115,E$117,E$117),2)</f>
        <v>0</v>
      </c>
      <c r="P386" s="41">
        <f>ROUND(Dot_ex($D386,$E386,$F386,$G386,$H386,$I386,$L386+SUM($N386:O386),F$115,F$117,F$117),2)</f>
        <v>0</v>
      </c>
      <c r="Q386" s="41">
        <f>ROUND(Dot_ex($D386,$E386,$F386,$G386,$H386,$I386,$L386+SUM($N386:P386),G$115,G$117,G$117),2)</f>
        <v>0</v>
      </c>
      <c r="R386" s="57">
        <f>ROUND(Dot_ex($D386,$E386,$F386,$G386,$H386,$I386,$L386+SUM($N386:Q386),H$115,H$117,H$117),2)</f>
        <v>0</v>
      </c>
      <c r="S386" s="57">
        <f>ROUND(Dot_ex($D386,$E386,$F386,$G386,$H386,$I386,$L386+SUM($N386:R386),I$115,I$117,I$117),2)</f>
        <v>0</v>
      </c>
      <c r="T386" s="57">
        <f>ROUND(Dot_ex($D386,$E386,$F386,$G386,$H386,$I386,$L386+SUM($N386:S386),J$115,J$117,J$117),2)</f>
        <v>0</v>
      </c>
      <c r="U386" s="57">
        <f>ROUND(Dot_ex($D386,$E386,$F386,$G386,$H386,$I386,$L386+SUM($N386:T386),K$115,K$117,K$117),2)</f>
        <v>0</v>
      </c>
      <c r="V386" s="57">
        <f>ROUND(Dot_ex($D386,$E386,$F386,$G386,$H386,$I386,$L386+SUM($N386:U386),L$115,L$117,L$117),2)</f>
        <v>0</v>
      </c>
      <c r="W386" s="57">
        <f>ROUND(Dot_ex($D386,$E386,$F386,$G386,$H386,$I386,$L386+SUM($N386:V386),M$115,M$117,M$117),2)</f>
        <v>0</v>
      </c>
    </row>
    <row r="387" spans="1:23" x14ac:dyDescent="0.2">
      <c r="A387" s="107">
        <f t="shared" ref="A387:A400" ca="1" si="67">IF(ISNUMBER(A386),A386+1,OFFSET(A387,-Nbre_Ligne_Entre_Compte,0,1,1)+1)</f>
        <v>131</v>
      </c>
      <c r="B387" s="1" t="s">
        <v>192</v>
      </c>
      <c r="C387" s="1" t="s">
        <v>269</v>
      </c>
      <c r="D387" s="77">
        <v>37358</v>
      </c>
      <c r="E387" s="77">
        <v>37358</v>
      </c>
      <c r="F387" s="77"/>
      <c r="G387" s="8">
        <v>1245</v>
      </c>
      <c r="H387" s="1" t="s">
        <v>12</v>
      </c>
      <c r="I387" s="78">
        <v>3</v>
      </c>
      <c r="J387" s="8">
        <v>1245</v>
      </c>
      <c r="K387" s="8">
        <f t="shared" si="63"/>
        <v>0</v>
      </c>
      <c r="L387" s="8">
        <f t="shared" si="64"/>
        <v>1245</v>
      </c>
      <c r="M387" s="57">
        <f t="shared" si="65"/>
        <v>0</v>
      </c>
      <c r="N387" s="41">
        <f t="shared" si="66"/>
        <v>0</v>
      </c>
      <c r="O387" s="41">
        <f>ROUND(Dot_ex($D387,$E387,$F387,$G387,$H387,$I387,$L387+SUM($N387:N387),E$115,E$117,E$117),2)</f>
        <v>0</v>
      </c>
      <c r="P387" s="41">
        <f>ROUND(Dot_ex($D387,$E387,$F387,$G387,$H387,$I387,$L387+SUM($N387:O387),F$115,F$117,F$117),2)</f>
        <v>0</v>
      </c>
      <c r="Q387" s="41">
        <f>ROUND(Dot_ex($D387,$E387,$F387,$G387,$H387,$I387,$L387+SUM($N387:P387),G$115,G$117,G$117),2)</f>
        <v>0</v>
      </c>
      <c r="R387" s="57">
        <f>ROUND(Dot_ex($D387,$E387,$F387,$G387,$H387,$I387,$L387+SUM($N387:Q387),H$115,H$117,H$117),2)</f>
        <v>0</v>
      </c>
      <c r="S387" s="57">
        <f>ROUND(Dot_ex($D387,$E387,$F387,$G387,$H387,$I387,$L387+SUM($N387:R387),I$115,I$117,I$117),2)</f>
        <v>0</v>
      </c>
      <c r="T387" s="57">
        <f>ROUND(Dot_ex($D387,$E387,$F387,$G387,$H387,$I387,$L387+SUM($N387:S387),J$115,J$117,J$117),2)</f>
        <v>0</v>
      </c>
      <c r="U387" s="57">
        <f>ROUND(Dot_ex($D387,$E387,$F387,$G387,$H387,$I387,$L387+SUM($N387:T387),K$115,K$117,K$117),2)</f>
        <v>0</v>
      </c>
      <c r="V387" s="57">
        <f>ROUND(Dot_ex($D387,$E387,$F387,$G387,$H387,$I387,$L387+SUM($N387:U387),L$115,L$117,L$117),2)</f>
        <v>0</v>
      </c>
      <c r="W387" s="57">
        <f>ROUND(Dot_ex($D387,$E387,$F387,$G387,$H387,$I387,$L387+SUM($N387:V387),M$115,M$117,M$117),2)</f>
        <v>0</v>
      </c>
    </row>
    <row r="388" spans="1:23" x14ac:dyDescent="0.2">
      <c r="A388" s="107">
        <f t="shared" ca="1" si="67"/>
        <v>132</v>
      </c>
      <c r="B388" s="1" t="s">
        <v>193</v>
      </c>
      <c r="C388" s="1" t="s">
        <v>269</v>
      </c>
      <c r="D388" s="77">
        <v>37434</v>
      </c>
      <c r="E388" s="77">
        <v>37434</v>
      </c>
      <c r="F388" s="77"/>
      <c r="G388" s="8">
        <v>618.73</v>
      </c>
      <c r="H388" s="1" t="s">
        <v>12</v>
      </c>
      <c r="I388" s="78">
        <v>3</v>
      </c>
      <c r="J388" s="8">
        <v>618.73</v>
      </c>
      <c r="K388" s="8">
        <f t="shared" si="63"/>
        <v>0</v>
      </c>
      <c r="L388" s="8">
        <f t="shared" si="64"/>
        <v>618.73</v>
      </c>
      <c r="M388" s="57">
        <f t="shared" si="65"/>
        <v>0</v>
      </c>
      <c r="N388" s="41">
        <f t="shared" si="66"/>
        <v>0</v>
      </c>
      <c r="O388" s="41">
        <f>ROUND(Dot_ex($D388,$E388,$F388,$G388,$H388,$I388,$L388+SUM($N388:N388),E$115,E$117,E$117),2)</f>
        <v>0</v>
      </c>
      <c r="P388" s="41">
        <f>ROUND(Dot_ex($D388,$E388,$F388,$G388,$H388,$I388,$L388+SUM($N388:O388),F$115,F$117,F$117),2)</f>
        <v>0</v>
      </c>
      <c r="Q388" s="41">
        <f>ROUND(Dot_ex($D388,$E388,$F388,$G388,$H388,$I388,$L388+SUM($N388:P388),G$115,G$117,G$117),2)</f>
        <v>0</v>
      </c>
      <c r="R388" s="57">
        <f>ROUND(Dot_ex($D388,$E388,$F388,$G388,$H388,$I388,$L388+SUM($N388:Q388),H$115,H$117,H$117),2)</f>
        <v>0</v>
      </c>
      <c r="S388" s="57">
        <f>ROUND(Dot_ex($D388,$E388,$F388,$G388,$H388,$I388,$L388+SUM($N388:R388),I$115,I$117,I$117),2)</f>
        <v>0</v>
      </c>
      <c r="T388" s="57">
        <f>ROUND(Dot_ex($D388,$E388,$F388,$G388,$H388,$I388,$L388+SUM($N388:S388),J$115,J$117,J$117),2)</f>
        <v>0</v>
      </c>
      <c r="U388" s="57">
        <f>ROUND(Dot_ex($D388,$E388,$F388,$G388,$H388,$I388,$L388+SUM($N388:T388),K$115,K$117,K$117),2)</f>
        <v>0</v>
      </c>
      <c r="V388" s="57">
        <f>ROUND(Dot_ex($D388,$E388,$F388,$G388,$H388,$I388,$L388+SUM($N388:U388),L$115,L$117,L$117),2)</f>
        <v>0</v>
      </c>
      <c r="W388" s="57">
        <f>ROUND(Dot_ex($D388,$E388,$F388,$G388,$H388,$I388,$L388+SUM($N388:V388),M$115,M$117,M$117),2)</f>
        <v>0</v>
      </c>
    </row>
    <row r="389" spans="1:23" x14ac:dyDescent="0.2">
      <c r="A389" s="107">
        <f t="shared" ca="1" si="67"/>
        <v>133</v>
      </c>
      <c r="B389" s="1" t="s">
        <v>224</v>
      </c>
      <c r="C389" s="1" t="s">
        <v>265</v>
      </c>
      <c r="D389" s="77">
        <v>37589</v>
      </c>
      <c r="E389" s="77">
        <v>37589</v>
      </c>
      <c r="F389" s="77"/>
      <c r="G389" s="8">
        <v>2107</v>
      </c>
      <c r="H389" s="1" t="s">
        <v>12</v>
      </c>
      <c r="I389" s="78">
        <v>3</v>
      </c>
      <c r="J389" s="8">
        <v>2107</v>
      </c>
      <c r="K389" s="8">
        <f t="shared" si="63"/>
        <v>0</v>
      </c>
      <c r="L389" s="8">
        <f t="shared" si="64"/>
        <v>2107</v>
      </c>
      <c r="M389" s="57">
        <f t="shared" si="65"/>
        <v>0</v>
      </c>
      <c r="N389" s="41">
        <f t="shared" si="66"/>
        <v>0</v>
      </c>
      <c r="O389" s="41">
        <f>ROUND(Dot_ex($D389,$E389,$F389,$G389,$H389,$I389,$L389+SUM($N389:N389),E$115,E$117,E$117),2)</f>
        <v>0</v>
      </c>
      <c r="P389" s="41">
        <f>ROUND(Dot_ex($D389,$E389,$F389,$G389,$H389,$I389,$L389+SUM($N389:O389),F$115,F$117,F$117),2)</f>
        <v>0</v>
      </c>
      <c r="Q389" s="41">
        <f>ROUND(Dot_ex($D389,$E389,$F389,$G389,$H389,$I389,$L389+SUM($N389:P389),G$115,G$117,G$117),2)</f>
        <v>0</v>
      </c>
      <c r="R389" s="57">
        <f>ROUND(Dot_ex($D389,$E389,$F389,$G389,$H389,$I389,$L389+SUM($N389:Q389),H$115,H$117,H$117),2)</f>
        <v>0</v>
      </c>
      <c r="S389" s="57">
        <f>ROUND(Dot_ex($D389,$E389,$F389,$G389,$H389,$I389,$L389+SUM($N389:R389),I$115,I$117,I$117),2)</f>
        <v>0</v>
      </c>
      <c r="T389" s="57">
        <f>ROUND(Dot_ex($D389,$E389,$F389,$G389,$H389,$I389,$L389+SUM($N389:S389),J$115,J$117,J$117),2)</f>
        <v>0</v>
      </c>
      <c r="U389" s="57">
        <f>ROUND(Dot_ex($D389,$E389,$F389,$G389,$H389,$I389,$L389+SUM($N389:T389),K$115,K$117,K$117),2)</f>
        <v>0</v>
      </c>
      <c r="V389" s="57">
        <f>ROUND(Dot_ex($D389,$E389,$F389,$G389,$H389,$I389,$L389+SUM($N389:U389),L$115,L$117,L$117),2)</f>
        <v>0</v>
      </c>
      <c r="W389" s="57">
        <f>ROUND(Dot_ex($D389,$E389,$F389,$G389,$H389,$I389,$L389+SUM($N389:V389),M$115,M$117,M$117),2)</f>
        <v>0</v>
      </c>
    </row>
    <row r="390" spans="1:23" x14ac:dyDescent="0.2">
      <c r="A390" s="107">
        <f t="shared" ca="1" si="67"/>
        <v>134</v>
      </c>
      <c r="B390" s="1" t="s">
        <v>225</v>
      </c>
      <c r="C390" s="1" t="s">
        <v>265</v>
      </c>
      <c r="D390" s="77">
        <v>37718</v>
      </c>
      <c r="E390" s="77">
        <v>37718</v>
      </c>
      <c r="F390" s="77"/>
      <c r="G390" s="8">
        <v>2000</v>
      </c>
      <c r="H390" s="1" t="s">
        <v>12</v>
      </c>
      <c r="I390" s="78">
        <v>3</v>
      </c>
      <c r="J390" s="8">
        <v>2000</v>
      </c>
      <c r="K390" s="8">
        <f t="shared" si="63"/>
        <v>0</v>
      </c>
      <c r="L390" s="8">
        <f t="shared" si="64"/>
        <v>2000</v>
      </c>
      <c r="M390" s="57">
        <f t="shared" si="65"/>
        <v>0</v>
      </c>
      <c r="N390" s="41">
        <f t="shared" si="66"/>
        <v>0</v>
      </c>
      <c r="O390" s="41">
        <f>ROUND(Dot_ex($D390,$E390,$F390,$G390,$H390,$I390,$L390+SUM($N390:N390),E$115,E$117,E$117),2)</f>
        <v>0</v>
      </c>
      <c r="P390" s="41">
        <f>ROUND(Dot_ex($D390,$E390,$F390,$G390,$H390,$I390,$L390+SUM($N390:O390),F$115,F$117,F$117),2)</f>
        <v>0</v>
      </c>
      <c r="Q390" s="41">
        <f>ROUND(Dot_ex($D390,$E390,$F390,$G390,$H390,$I390,$L390+SUM($N390:P390),G$115,G$117,G$117),2)</f>
        <v>0</v>
      </c>
      <c r="R390" s="57">
        <f>ROUND(Dot_ex($D390,$E390,$F390,$G390,$H390,$I390,$L390+SUM($N390:Q390),H$115,H$117,H$117),2)</f>
        <v>0</v>
      </c>
      <c r="S390" s="57">
        <f>ROUND(Dot_ex($D390,$E390,$F390,$G390,$H390,$I390,$L390+SUM($N390:R390),I$115,I$117,I$117),2)</f>
        <v>0</v>
      </c>
      <c r="T390" s="57">
        <f>ROUND(Dot_ex($D390,$E390,$F390,$G390,$H390,$I390,$L390+SUM($N390:S390),J$115,J$117,J$117),2)</f>
        <v>0</v>
      </c>
      <c r="U390" s="57">
        <f>ROUND(Dot_ex($D390,$E390,$F390,$G390,$H390,$I390,$L390+SUM($N390:T390),K$115,K$117,K$117),2)</f>
        <v>0</v>
      </c>
      <c r="V390" s="57">
        <f>ROUND(Dot_ex($D390,$E390,$F390,$G390,$H390,$I390,$L390+SUM($N390:U390),L$115,L$117,L$117),2)</f>
        <v>0</v>
      </c>
      <c r="W390" s="57">
        <f>ROUND(Dot_ex($D390,$E390,$F390,$G390,$H390,$I390,$L390+SUM($N390:V390),M$115,M$117,M$117),2)</f>
        <v>0</v>
      </c>
    </row>
    <row r="391" spans="1:23" x14ac:dyDescent="0.2">
      <c r="A391" s="107">
        <f t="shared" ca="1" si="67"/>
        <v>135</v>
      </c>
      <c r="B391" s="1" t="s">
        <v>226</v>
      </c>
      <c r="C391" s="1" t="s">
        <v>269</v>
      </c>
      <c r="D391" s="77">
        <v>37802</v>
      </c>
      <c r="E391" s="77">
        <v>37802</v>
      </c>
      <c r="F391" s="77"/>
      <c r="G391" s="8">
        <v>1614</v>
      </c>
      <c r="H391" s="1" t="s">
        <v>12</v>
      </c>
      <c r="I391" s="78">
        <v>3</v>
      </c>
      <c r="J391" s="8">
        <v>1614</v>
      </c>
      <c r="K391" s="8">
        <f t="shared" si="63"/>
        <v>0</v>
      </c>
      <c r="L391" s="8">
        <f t="shared" si="64"/>
        <v>1614</v>
      </c>
      <c r="M391" s="57">
        <f t="shared" si="65"/>
        <v>0</v>
      </c>
      <c r="N391" s="41">
        <f t="shared" si="66"/>
        <v>0</v>
      </c>
      <c r="O391" s="41">
        <f>ROUND(Dot_ex($D391,$E391,$F391,$G391,$H391,$I391,$L391+SUM($N391:N391),E$115,E$117,E$117),2)</f>
        <v>0</v>
      </c>
      <c r="P391" s="41">
        <f>ROUND(Dot_ex($D391,$E391,$F391,$G391,$H391,$I391,$L391+SUM($N391:O391),F$115,F$117,F$117),2)</f>
        <v>0</v>
      </c>
      <c r="Q391" s="41">
        <f>ROUND(Dot_ex($D391,$E391,$F391,$G391,$H391,$I391,$L391+SUM($N391:P391),G$115,G$117,G$117),2)</f>
        <v>0</v>
      </c>
      <c r="R391" s="57">
        <f>ROUND(Dot_ex($D391,$E391,$F391,$G391,$H391,$I391,$L391+SUM($N391:Q391),H$115,H$117,H$117),2)</f>
        <v>0</v>
      </c>
      <c r="S391" s="57">
        <f>ROUND(Dot_ex($D391,$E391,$F391,$G391,$H391,$I391,$L391+SUM($N391:R391),I$115,I$117,I$117),2)</f>
        <v>0</v>
      </c>
      <c r="T391" s="57">
        <f>ROUND(Dot_ex($D391,$E391,$F391,$G391,$H391,$I391,$L391+SUM($N391:S391),J$115,J$117,J$117),2)</f>
        <v>0</v>
      </c>
      <c r="U391" s="57">
        <f>ROUND(Dot_ex($D391,$E391,$F391,$G391,$H391,$I391,$L391+SUM($N391:T391),K$115,K$117,K$117),2)</f>
        <v>0</v>
      </c>
      <c r="V391" s="57">
        <f>ROUND(Dot_ex($D391,$E391,$F391,$G391,$H391,$I391,$L391+SUM($N391:U391),L$115,L$117,L$117),2)</f>
        <v>0</v>
      </c>
      <c r="W391" s="57">
        <f>ROUND(Dot_ex($D391,$E391,$F391,$G391,$H391,$I391,$L391+SUM($N391:V391),M$115,M$117,M$117),2)</f>
        <v>0</v>
      </c>
    </row>
    <row r="392" spans="1:23" x14ac:dyDescent="0.2">
      <c r="A392" s="107">
        <f t="shared" ca="1" si="67"/>
        <v>136</v>
      </c>
      <c r="B392" s="1" t="s">
        <v>251</v>
      </c>
      <c r="C392" s="1" t="s">
        <v>269</v>
      </c>
      <c r="D392" s="77">
        <v>38321</v>
      </c>
      <c r="E392" s="77">
        <v>38321</v>
      </c>
      <c r="F392" s="77"/>
      <c r="G392" s="8">
        <f>1059-80</f>
        <v>979</v>
      </c>
      <c r="H392" s="1" t="s">
        <v>12</v>
      </c>
      <c r="I392" s="78">
        <v>3</v>
      </c>
      <c r="J392" s="8">
        <v>979</v>
      </c>
      <c r="K392" s="8">
        <f t="shared" si="63"/>
        <v>0</v>
      </c>
      <c r="L392" s="8">
        <f t="shared" si="64"/>
        <v>979</v>
      </c>
      <c r="M392" s="57">
        <f t="shared" si="65"/>
        <v>0</v>
      </c>
      <c r="N392" s="41">
        <f t="shared" si="66"/>
        <v>0</v>
      </c>
      <c r="O392" s="41">
        <f>ROUND(Dot_ex($D392,$E392,$F392,$G392,$H392,$I392,$L392+SUM($N392:N392),E$115,E$117,E$117),2)</f>
        <v>0</v>
      </c>
      <c r="P392" s="41">
        <f>ROUND(Dot_ex($D392,$E392,$F392,$G392,$H392,$I392,$L392+SUM($N392:O392),F$115,F$117,F$117),2)</f>
        <v>0</v>
      </c>
      <c r="Q392" s="41">
        <f>ROUND(Dot_ex($D392,$E392,$F392,$G392,$H392,$I392,$L392+SUM($N392:P392),G$115,G$117,G$117),2)</f>
        <v>0</v>
      </c>
      <c r="R392" s="57">
        <f>ROUND(Dot_ex($D392,$E392,$F392,$G392,$H392,$I392,$L392+SUM($N392:Q392),H$115,H$117,H$117),2)</f>
        <v>0</v>
      </c>
      <c r="S392" s="57">
        <f>ROUND(Dot_ex($D392,$E392,$F392,$G392,$H392,$I392,$L392+SUM($N392:R392),I$115,I$117,I$117),2)</f>
        <v>0</v>
      </c>
      <c r="T392" s="57">
        <f>ROUND(Dot_ex($D392,$E392,$F392,$G392,$H392,$I392,$L392+SUM($N392:S392),J$115,J$117,J$117),2)</f>
        <v>0</v>
      </c>
      <c r="U392" s="57">
        <f>ROUND(Dot_ex($D392,$E392,$F392,$G392,$H392,$I392,$L392+SUM($N392:T392),K$115,K$117,K$117),2)</f>
        <v>0</v>
      </c>
      <c r="V392" s="57">
        <f>ROUND(Dot_ex($D392,$E392,$F392,$G392,$H392,$I392,$L392+SUM($N392:U392),L$115,L$117,L$117),2)</f>
        <v>0</v>
      </c>
      <c r="W392" s="57">
        <f>ROUND(Dot_ex($D392,$E392,$F392,$G392,$H392,$I392,$L392+SUM($N392:V392),M$115,M$117,M$117),2)</f>
        <v>0</v>
      </c>
    </row>
    <row r="393" spans="1:23" x14ac:dyDescent="0.2">
      <c r="A393" s="107">
        <f t="shared" ca="1" si="67"/>
        <v>137</v>
      </c>
      <c r="B393" s="1" t="s">
        <v>250</v>
      </c>
      <c r="C393" s="1" t="s">
        <v>269</v>
      </c>
      <c r="D393" s="77">
        <v>38428</v>
      </c>
      <c r="E393" s="77">
        <v>38428</v>
      </c>
      <c r="F393" s="77"/>
      <c r="G393" s="8">
        <v>559.70000000000005</v>
      </c>
      <c r="H393" s="1" t="s">
        <v>12</v>
      </c>
      <c r="I393" s="78">
        <v>3</v>
      </c>
      <c r="J393" s="8">
        <v>559.70000000000005</v>
      </c>
      <c r="K393" s="8">
        <f t="shared" si="63"/>
        <v>0</v>
      </c>
      <c r="L393" s="8">
        <f t="shared" si="64"/>
        <v>559.70000000000005</v>
      </c>
      <c r="M393" s="57">
        <f t="shared" si="65"/>
        <v>0</v>
      </c>
      <c r="N393" s="41">
        <f t="shared" si="66"/>
        <v>0</v>
      </c>
      <c r="O393" s="41">
        <f>ROUND(Dot_ex($D393,$E393,$F393,$G393,$H393,$I393,$L393+SUM($N393:N393),E$115,E$117,E$117),2)</f>
        <v>0</v>
      </c>
      <c r="P393" s="41">
        <f>ROUND(Dot_ex($D393,$E393,$F393,$G393,$H393,$I393,$L393+SUM($N393:O393),F$115,F$117,F$117),2)</f>
        <v>0</v>
      </c>
      <c r="Q393" s="41">
        <f>ROUND(Dot_ex($D393,$E393,$F393,$G393,$H393,$I393,$L393+SUM($N393:P393),G$115,G$117,G$117),2)</f>
        <v>0</v>
      </c>
      <c r="R393" s="57">
        <f>ROUND(Dot_ex($D393,$E393,$F393,$G393,$H393,$I393,$L393+SUM($N393:Q393),H$115,H$117,H$117),2)</f>
        <v>0</v>
      </c>
      <c r="S393" s="57">
        <f>ROUND(Dot_ex($D393,$E393,$F393,$G393,$H393,$I393,$L393+SUM($N393:R393),I$115,I$117,I$117),2)</f>
        <v>0</v>
      </c>
      <c r="T393" s="57">
        <f>ROUND(Dot_ex($D393,$E393,$F393,$G393,$H393,$I393,$L393+SUM($N393:S393),J$115,J$117,J$117),2)</f>
        <v>0</v>
      </c>
      <c r="U393" s="57">
        <f>ROUND(Dot_ex($D393,$E393,$F393,$G393,$H393,$I393,$L393+SUM($N393:T393),K$115,K$117,K$117),2)</f>
        <v>0</v>
      </c>
      <c r="V393" s="57">
        <f>ROUND(Dot_ex($D393,$E393,$F393,$G393,$H393,$I393,$L393+SUM($N393:U393),L$115,L$117,L$117),2)</f>
        <v>0</v>
      </c>
      <c r="W393" s="57">
        <f>ROUND(Dot_ex($D393,$E393,$F393,$G393,$H393,$I393,$L393+SUM($N393:V393),M$115,M$117,M$117),2)</f>
        <v>0</v>
      </c>
    </row>
    <row r="394" spans="1:23" x14ac:dyDescent="0.2">
      <c r="A394" s="107">
        <f t="shared" ca="1" si="67"/>
        <v>138</v>
      </c>
      <c r="B394" s="1" t="s">
        <v>261</v>
      </c>
      <c r="C394" s="1" t="s">
        <v>269</v>
      </c>
      <c r="D394" s="77">
        <v>38783</v>
      </c>
      <c r="E394" s="77">
        <v>38796</v>
      </c>
      <c r="F394" s="77">
        <v>40982</v>
      </c>
      <c r="G394" s="8">
        <v>1500.89</v>
      </c>
      <c r="H394" s="1" t="s">
        <v>12</v>
      </c>
      <c r="I394" s="78">
        <v>3</v>
      </c>
      <c r="J394" s="8">
        <v>1500.89</v>
      </c>
      <c r="K394" s="8">
        <f t="shared" si="63"/>
        <v>0</v>
      </c>
      <c r="L394" s="8">
        <f t="shared" si="64"/>
        <v>1500.89</v>
      </c>
      <c r="M394" s="57">
        <f t="shared" si="65"/>
        <v>0</v>
      </c>
      <c r="N394" s="41">
        <f t="shared" si="66"/>
        <v>0</v>
      </c>
      <c r="O394" s="41">
        <f>ROUND(Dot_ex($D394,$E394,$F394,$G394,$H394,$I394,$L394+SUM($N394:N394),E$115,E$117,E$117),2)</f>
        <v>0</v>
      </c>
      <c r="P394" s="41">
        <f>ROUND(Dot_ex($D394,$E394,$F394,$G394,$H394,$I394,$L394+SUM($N394:O394),F$115,F$117,F$117),2)</f>
        <v>0</v>
      </c>
      <c r="Q394" s="41">
        <f>ROUND(Dot_ex($D394,$E394,$F394,$G394,$H394,$I394,$L394+SUM($N394:P394),G$115,G$117,G$117),2)</f>
        <v>0</v>
      </c>
      <c r="R394" s="57">
        <f>ROUND(Dot_ex($D394,$E394,$F394,$G394,$H394,$I394,$L394+SUM($N394:Q394),H$115,H$117,H$117),2)</f>
        <v>0</v>
      </c>
      <c r="S394" s="57">
        <f>ROUND(Dot_ex($D394,$E394,$F394,$G394,$H394,$I394,$L394+SUM($N394:R394),I$115,I$117,I$117),2)</f>
        <v>0</v>
      </c>
      <c r="T394" s="57">
        <f>ROUND(Dot_ex($D394,$E394,$F394,$G394,$H394,$I394,$L394+SUM($N394:S394),J$115,J$117,J$117),2)</f>
        <v>0</v>
      </c>
      <c r="U394" s="57">
        <f>ROUND(Dot_ex($D394,$E394,$F394,$G394,$H394,$I394,$L394+SUM($N394:T394),K$115,K$117,K$117),2)</f>
        <v>0</v>
      </c>
      <c r="V394" s="57">
        <f>ROUND(Dot_ex($D394,$E394,$F394,$G394,$H394,$I394,$L394+SUM($N394:U394),L$115,L$117,L$117),2)</f>
        <v>0</v>
      </c>
      <c r="W394" s="57">
        <f>ROUND(Dot_ex($D394,$E394,$F394,$G394,$H394,$I394,$L394+SUM($N394:V394),M$115,M$117,M$117),2)</f>
        <v>0</v>
      </c>
    </row>
    <row r="395" spans="1:23" x14ac:dyDescent="0.2">
      <c r="A395" s="107">
        <f t="shared" ca="1" si="67"/>
        <v>139</v>
      </c>
      <c r="B395" s="1" t="s">
        <v>262</v>
      </c>
      <c r="C395" s="1" t="s">
        <v>269</v>
      </c>
      <c r="D395" s="77">
        <v>38796</v>
      </c>
      <c r="E395" s="77">
        <v>38796</v>
      </c>
      <c r="F395" s="77">
        <v>40982</v>
      </c>
      <c r="G395" s="8">
        <v>2160</v>
      </c>
      <c r="H395" s="1" t="s">
        <v>12</v>
      </c>
      <c r="I395" s="78">
        <v>3</v>
      </c>
      <c r="J395" s="8">
        <v>2160</v>
      </c>
      <c r="K395" s="8">
        <f t="shared" si="63"/>
        <v>0</v>
      </c>
      <c r="L395" s="8">
        <f t="shared" si="64"/>
        <v>2160</v>
      </c>
      <c r="M395" s="57">
        <f t="shared" si="65"/>
        <v>0</v>
      </c>
      <c r="N395" s="41">
        <f t="shared" si="66"/>
        <v>0</v>
      </c>
      <c r="O395" s="41">
        <f>ROUND(Dot_ex($D395,$E395,$F395,$G395,$H395,$I395,$L395+SUM($N395:N395),E$115,E$117,E$117),2)</f>
        <v>0</v>
      </c>
      <c r="P395" s="41">
        <f>ROUND(Dot_ex($D395,$E395,$F395,$G395,$H395,$I395,$L395+SUM($N395:O395),F$115,F$117,F$117),2)</f>
        <v>0</v>
      </c>
      <c r="Q395" s="41">
        <f>ROUND(Dot_ex($D395,$E395,$F395,$G395,$H395,$I395,$L395+SUM($N395:P395),G$115,G$117,G$117),2)</f>
        <v>0</v>
      </c>
      <c r="R395" s="57">
        <f>ROUND(Dot_ex($D395,$E395,$F395,$G395,$H395,$I395,$L395+SUM($N395:Q395),H$115,H$117,H$117),2)</f>
        <v>0</v>
      </c>
      <c r="S395" s="57">
        <f>ROUND(Dot_ex($D395,$E395,$F395,$G395,$H395,$I395,$L395+SUM($N395:R395),I$115,I$117,I$117),2)</f>
        <v>0</v>
      </c>
      <c r="T395" s="57">
        <f>ROUND(Dot_ex($D395,$E395,$F395,$G395,$H395,$I395,$L395+SUM($N395:S395),J$115,J$117,J$117),2)</f>
        <v>0</v>
      </c>
      <c r="U395" s="57">
        <f>ROUND(Dot_ex($D395,$E395,$F395,$G395,$H395,$I395,$L395+SUM($N395:T395),K$115,K$117,K$117),2)</f>
        <v>0</v>
      </c>
      <c r="V395" s="57">
        <f>ROUND(Dot_ex($D395,$E395,$F395,$G395,$H395,$I395,$L395+SUM($N395:U395),L$115,L$117,L$117),2)</f>
        <v>0</v>
      </c>
      <c r="W395" s="57">
        <f>ROUND(Dot_ex($D395,$E395,$F395,$G395,$H395,$I395,$L395+SUM($N395:V395),M$115,M$117,M$117),2)</f>
        <v>0</v>
      </c>
    </row>
    <row r="396" spans="1:23" x14ac:dyDescent="0.2">
      <c r="A396" s="107">
        <f t="shared" ca="1" si="67"/>
        <v>140</v>
      </c>
      <c r="B396" s="1" t="s">
        <v>275</v>
      </c>
      <c r="C396" s="1" t="s">
        <v>265</v>
      </c>
      <c r="D396" s="77">
        <v>38947</v>
      </c>
      <c r="E396" s="77">
        <v>38947</v>
      </c>
      <c r="F396" s="77"/>
      <c r="G396" s="8">
        <v>851.85</v>
      </c>
      <c r="H396" s="1" t="s">
        <v>8</v>
      </c>
      <c r="I396" s="78">
        <v>5</v>
      </c>
      <c r="J396" s="8">
        <v>829.45</v>
      </c>
      <c r="K396" s="8">
        <f t="shared" si="63"/>
        <v>22.4</v>
      </c>
      <c r="L396" s="8">
        <f t="shared" si="64"/>
        <v>851.85</v>
      </c>
      <c r="M396" s="57">
        <f t="shared" si="65"/>
        <v>0</v>
      </c>
      <c r="N396" s="41">
        <f t="shared" si="66"/>
        <v>0</v>
      </c>
      <c r="O396" s="41">
        <f>ROUND(Dot_ex($D396,$E396,$F396,$G396,$H396,$I396,$L396+SUM($N396:N396),E$115,E$117,E$117),2)</f>
        <v>0</v>
      </c>
      <c r="P396" s="41">
        <f>ROUND(Dot_ex($D396,$E396,$F396,$G396,$H396,$I396,$L396+SUM($N396:O396),F$115,F$117,F$117),2)</f>
        <v>0</v>
      </c>
      <c r="Q396" s="41">
        <f>ROUND(Dot_ex($D396,$E396,$F396,$G396,$H396,$I396,$L396+SUM($N396:P396),G$115,G$117,G$117),2)</f>
        <v>0</v>
      </c>
      <c r="R396" s="57">
        <f>ROUND(Dot_ex($D396,$E396,$F396,$G396,$H396,$I396,$L396+SUM($N396:Q396),H$115,H$117,H$117),2)</f>
        <v>0</v>
      </c>
      <c r="S396" s="57">
        <f>ROUND(Dot_ex($D396,$E396,$F396,$G396,$H396,$I396,$L396+SUM($N396:R396),I$115,I$117,I$117),2)</f>
        <v>0</v>
      </c>
      <c r="T396" s="57">
        <f>ROUND(Dot_ex($D396,$E396,$F396,$G396,$H396,$I396,$L396+SUM($N396:S396),J$115,J$117,J$117),2)</f>
        <v>0</v>
      </c>
      <c r="U396" s="57">
        <f>ROUND(Dot_ex($D396,$E396,$F396,$G396,$H396,$I396,$L396+SUM($N396:T396),K$115,K$117,K$117),2)</f>
        <v>0</v>
      </c>
      <c r="V396" s="57">
        <f>ROUND(Dot_ex($D396,$E396,$F396,$G396,$H396,$I396,$L396+SUM($N396:U396),L$115,L$117,L$117),2)</f>
        <v>0</v>
      </c>
      <c r="W396" s="57">
        <f>ROUND(Dot_ex($D396,$E396,$F396,$G396,$H396,$I396,$L396+SUM($N396:V396),M$115,M$117,M$117),2)</f>
        <v>0</v>
      </c>
    </row>
    <row r="397" spans="1:23" x14ac:dyDescent="0.2">
      <c r="A397" s="107">
        <f t="shared" ca="1" si="67"/>
        <v>141</v>
      </c>
      <c r="B397" s="1" t="s">
        <v>279</v>
      </c>
      <c r="C397" s="1" t="s">
        <v>265</v>
      </c>
      <c r="D397" s="77">
        <v>39976</v>
      </c>
      <c r="E397" s="77">
        <v>39976</v>
      </c>
      <c r="F397" s="77"/>
      <c r="G397" s="8">
        <f>675*2</f>
        <v>1350</v>
      </c>
      <c r="H397" s="1" t="s">
        <v>12</v>
      </c>
      <c r="I397" s="78">
        <v>3</v>
      </c>
      <c r="J397" s="8">
        <v>1350</v>
      </c>
      <c r="K397" s="8">
        <f t="shared" si="63"/>
        <v>0</v>
      </c>
      <c r="L397" s="8">
        <f t="shared" si="64"/>
        <v>1350</v>
      </c>
      <c r="M397" s="57">
        <f t="shared" si="65"/>
        <v>0</v>
      </c>
      <c r="N397" s="41">
        <f t="shared" si="66"/>
        <v>0</v>
      </c>
      <c r="O397" s="41">
        <f>ROUND(Dot_ex($D397,$E397,$F397,$G397,$H397,$I397,$L397+SUM($N397:N397),E$115,E$117,E$117),2)</f>
        <v>0</v>
      </c>
      <c r="P397" s="41">
        <f>ROUND(Dot_ex($D397,$E397,$F397,$G397,$H397,$I397,$L397+SUM($N397:O397),F$115,F$117,F$117),2)</f>
        <v>0</v>
      </c>
      <c r="Q397" s="41">
        <f>ROUND(Dot_ex($D397,$E397,$F397,$G397,$H397,$I397,$L397+SUM($N397:P397),G$115,G$117,G$117),2)</f>
        <v>0</v>
      </c>
      <c r="R397" s="57">
        <f>ROUND(Dot_ex($D397,$E397,$F397,$G397,$H397,$I397,$L397+SUM($N397:Q397),H$115,H$117,H$117),2)</f>
        <v>0</v>
      </c>
      <c r="S397" s="57">
        <f>ROUND(Dot_ex($D397,$E397,$F397,$G397,$H397,$I397,$L397+SUM($N397:R397),I$115,I$117,I$117),2)</f>
        <v>0</v>
      </c>
      <c r="T397" s="57">
        <f>ROUND(Dot_ex($D397,$E397,$F397,$G397,$H397,$I397,$L397+SUM($N397:S397),J$115,J$117,J$117),2)</f>
        <v>0</v>
      </c>
      <c r="U397" s="57">
        <f>ROUND(Dot_ex($D397,$E397,$F397,$G397,$H397,$I397,$L397+SUM($N397:T397),K$115,K$117,K$117),2)</f>
        <v>0</v>
      </c>
      <c r="V397" s="57">
        <f>ROUND(Dot_ex($D397,$E397,$F397,$G397,$H397,$I397,$L397+SUM($N397:U397),L$115,L$117,L$117),2)</f>
        <v>0</v>
      </c>
      <c r="W397" s="57">
        <f>ROUND(Dot_ex($D397,$E397,$F397,$G397,$H397,$I397,$L397+SUM($N397:V397),M$115,M$117,M$117),2)</f>
        <v>0</v>
      </c>
    </row>
    <row r="398" spans="1:23" x14ac:dyDescent="0.2">
      <c r="A398" s="107">
        <f t="shared" ca="1" si="67"/>
        <v>142</v>
      </c>
      <c r="B398" s="1" t="s">
        <v>280</v>
      </c>
      <c r="C398" s="1" t="s">
        <v>8</v>
      </c>
      <c r="D398" s="77">
        <v>39976</v>
      </c>
      <c r="E398" s="77">
        <v>39976</v>
      </c>
      <c r="F398" s="77"/>
      <c r="G398" s="8">
        <f>675*1</f>
        <v>675</v>
      </c>
      <c r="H398" s="1" t="s">
        <v>12</v>
      </c>
      <c r="I398" s="78">
        <v>3</v>
      </c>
      <c r="J398" s="8">
        <v>675</v>
      </c>
      <c r="K398" s="8">
        <f t="shared" si="63"/>
        <v>0</v>
      </c>
      <c r="L398" s="8">
        <f t="shared" si="64"/>
        <v>675</v>
      </c>
      <c r="M398" s="57">
        <f t="shared" si="65"/>
        <v>0</v>
      </c>
      <c r="N398" s="41">
        <f t="shared" si="66"/>
        <v>0</v>
      </c>
      <c r="O398" s="41">
        <f>ROUND(Dot_ex($D398,$E398,$F398,$G398,$H398,$I398,$L398+SUM($N398:N398),E$115,E$117,E$117),2)</f>
        <v>0</v>
      </c>
      <c r="P398" s="41">
        <f>ROUND(Dot_ex($D398,$E398,$F398,$G398,$H398,$I398,$L398+SUM($N398:O398),F$115,F$117,F$117),2)</f>
        <v>0</v>
      </c>
      <c r="Q398" s="41">
        <f>ROUND(Dot_ex($D398,$E398,$F398,$G398,$H398,$I398,$L398+SUM($N398:P398),G$115,G$117,G$117),2)</f>
        <v>0</v>
      </c>
      <c r="R398" s="57">
        <f>ROUND(Dot_ex($D398,$E398,$F398,$G398,$H398,$I398,$L398+SUM($N398:Q398),H$115,H$117,H$117),2)</f>
        <v>0</v>
      </c>
      <c r="S398" s="57">
        <f>ROUND(Dot_ex($D398,$E398,$F398,$G398,$H398,$I398,$L398+SUM($N398:R398),I$115,I$117,I$117),2)</f>
        <v>0</v>
      </c>
      <c r="T398" s="57">
        <f>ROUND(Dot_ex($D398,$E398,$F398,$G398,$H398,$I398,$L398+SUM($N398:S398),J$115,J$117,J$117),2)</f>
        <v>0</v>
      </c>
      <c r="U398" s="57">
        <f>ROUND(Dot_ex($D398,$E398,$F398,$G398,$H398,$I398,$L398+SUM($N398:T398),K$115,K$117,K$117),2)</f>
        <v>0</v>
      </c>
      <c r="V398" s="57">
        <f>ROUND(Dot_ex($D398,$E398,$F398,$G398,$H398,$I398,$L398+SUM($N398:U398),L$115,L$117,L$117),2)</f>
        <v>0</v>
      </c>
      <c r="W398" s="57">
        <f>ROUND(Dot_ex($D398,$E398,$F398,$G398,$H398,$I398,$L398+SUM($N398:V398),M$115,M$117,M$117),2)</f>
        <v>0</v>
      </c>
    </row>
    <row r="399" spans="1:23" x14ac:dyDescent="0.2">
      <c r="A399" s="107">
        <f t="shared" ca="1" si="67"/>
        <v>143</v>
      </c>
      <c r="B399" s="1" t="s">
        <v>281</v>
      </c>
      <c r="C399" s="1" t="s">
        <v>265</v>
      </c>
      <c r="D399" s="77">
        <v>39976</v>
      </c>
      <c r="E399" s="77">
        <v>39976</v>
      </c>
      <c r="F399" s="77"/>
      <c r="G399" s="8">
        <v>225</v>
      </c>
      <c r="H399" s="1" t="s">
        <v>12</v>
      </c>
      <c r="I399" s="78">
        <v>1</v>
      </c>
      <c r="J399" s="8">
        <v>225</v>
      </c>
      <c r="K399" s="8">
        <f t="shared" si="63"/>
        <v>0</v>
      </c>
      <c r="L399" s="8">
        <f t="shared" si="64"/>
        <v>225</v>
      </c>
      <c r="M399" s="57">
        <f t="shared" si="65"/>
        <v>0</v>
      </c>
      <c r="N399" s="41">
        <f t="shared" si="66"/>
        <v>0</v>
      </c>
      <c r="O399" s="41">
        <f>ROUND(Dot_ex($D399,$E399,$F399,$G399,$H399,$I399,$L399+SUM($N399:N399),E$115,E$117,E$117),2)</f>
        <v>0</v>
      </c>
      <c r="P399" s="41">
        <f>ROUND(Dot_ex($D399,$E399,$F399,$G399,$H399,$I399,$L399+SUM($N399:O399),F$115,F$117,F$117),2)</f>
        <v>0</v>
      </c>
      <c r="Q399" s="41">
        <f>ROUND(Dot_ex($D399,$E399,$F399,$G399,$H399,$I399,$L399+SUM($N399:P399),G$115,G$117,G$117),2)</f>
        <v>0</v>
      </c>
      <c r="R399" s="57">
        <f>ROUND(Dot_ex($D399,$E399,$F399,$G399,$H399,$I399,$L399+SUM($N399:Q399),H$115,H$117,H$117),2)</f>
        <v>0</v>
      </c>
      <c r="S399" s="57">
        <f>ROUND(Dot_ex($D399,$E399,$F399,$G399,$H399,$I399,$L399+SUM($N399:R399),I$115,I$117,I$117),2)</f>
        <v>0</v>
      </c>
      <c r="T399" s="57">
        <f>ROUND(Dot_ex($D399,$E399,$F399,$G399,$H399,$I399,$L399+SUM($N399:S399),J$115,J$117,J$117),2)</f>
        <v>0</v>
      </c>
      <c r="U399" s="57">
        <f>ROUND(Dot_ex($D399,$E399,$F399,$G399,$H399,$I399,$L399+SUM($N399:T399),K$115,K$117,K$117),2)</f>
        <v>0</v>
      </c>
      <c r="V399" s="57">
        <f>ROUND(Dot_ex($D399,$E399,$F399,$G399,$H399,$I399,$L399+SUM($N399:U399),L$115,L$117,L$117),2)</f>
        <v>0</v>
      </c>
      <c r="W399" s="57">
        <f>ROUND(Dot_ex($D399,$E399,$F399,$G399,$H399,$I399,$L399+SUM($N399:V399),M$115,M$117,M$117),2)</f>
        <v>0</v>
      </c>
    </row>
    <row r="400" spans="1:23" x14ac:dyDescent="0.2">
      <c r="A400" s="107">
        <f t="shared" ca="1" si="67"/>
        <v>144</v>
      </c>
      <c r="B400" s="1" t="s">
        <v>286</v>
      </c>
      <c r="C400" s="1" t="s">
        <v>269</v>
      </c>
      <c r="D400" s="77">
        <v>40031</v>
      </c>
      <c r="E400" s="77">
        <v>40031</v>
      </c>
      <c r="F400" s="77"/>
      <c r="G400" s="8">
        <v>706.9</v>
      </c>
      <c r="H400" s="1" t="s">
        <v>12</v>
      </c>
      <c r="I400" s="78">
        <v>3</v>
      </c>
      <c r="J400" s="8">
        <v>488.22</v>
      </c>
      <c r="K400" s="8">
        <f t="shared" si="63"/>
        <v>218.68</v>
      </c>
      <c r="L400" s="8">
        <f t="shared" si="64"/>
        <v>706.90000000000009</v>
      </c>
      <c r="M400" s="57">
        <f t="shared" si="65"/>
        <v>0</v>
      </c>
      <c r="N400" s="41">
        <f t="shared" si="66"/>
        <v>0</v>
      </c>
      <c r="O400" s="41">
        <f>ROUND(Dot_ex($D400,$E400,$F400,$G400,$H400,$I400,$L400+SUM($N400:N400),E$115,E$117,E$117),2)</f>
        <v>0</v>
      </c>
      <c r="P400" s="41">
        <f>ROUND(Dot_ex($D400,$E400,$F400,$G400,$H400,$I400,$L400+SUM($N400:O400),F$115,F$117,F$117),2)</f>
        <v>0</v>
      </c>
      <c r="Q400" s="41">
        <f>ROUND(Dot_ex($D400,$E400,$F400,$G400,$H400,$I400,$L400+SUM($N400:P400),G$115,G$117,G$117),2)</f>
        <v>0</v>
      </c>
      <c r="R400" s="57">
        <f>ROUND(Dot_ex($D400,$E400,$F400,$G400,$H400,$I400,$L400+SUM($N400:Q400),H$115,H$117,H$117),2)</f>
        <v>0</v>
      </c>
      <c r="S400" s="57">
        <f>ROUND(Dot_ex($D400,$E400,$F400,$G400,$H400,$I400,$L400+SUM($N400:R400),I$115,I$117,I$117),2)</f>
        <v>0</v>
      </c>
      <c r="T400" s="57">
        <f>ROUND(Dot_ex($D400,$E400,$F400,$G400,$H400,$I400,$L400+SUM($N400:S400),J$115,J$117,J$117),2)</f>
        <v>0</v>
      </c>
      <c r="U400" s="57">
        <f>ROUND(Dot_ex($D400,$E400,$F400,$G400,$H400,$I400,$L400+SUM($N400:T400),K$115,K$117,K$117),2)</f>
        <v>0</v>
      </c>
      <c r="V400" s="57">
        <f>ROUND(Dot_ex($D400,$E400,$F400,$G400,$H400,$I400,$L400+SUM($N400:U400),L$115,L$117,L$117),2)</f>
        <v>0</v>
      </c>
      <c r="W400" s="57">
        <f>ROUND(Dot_ex($D400,$E400,$F400,$G400,$H400,$I400,$L400+SUM($N400:V400),M$115,M$117,M$117),2)</f>
        <v>0</v>
      </c>
    </row>
    <row r="401" spans="1:23" x14ac:dyDescent="0.2">
      <c r="A401" s="107">
        <f ca="1">IF(ISNUMBER(A400),A400+1,OFFSET(A401,-Nbre_Ligne_Entre_Compte,0,1,1)+1)</f>
        <v>145</v>
      </c>
      <c r="B401" s="1" t="s">
        <v>290</v>
      </c>
      <c r="C401" s="1" t="s">
        <v>269</v>
      </c>
      <c r="D401" s="77">
        <v>40207</v>
      </c>
      <c r="E401" s="77">
        <v>40207</v>
      </c>
      <c r="F401" s="77"/>
      <c r="G401" s="8">
        <v>585</v>
      </c>
      <c r="H401" s="1" t="s">
        <v>12</v>
      </c>
      <c r="I401" s="78">
        <v>3</v>
      </c>
      <c r="J401" s="8">
        <v>352.94</v>
      </c>
      <c r="K401" s="8">
        <f t="shared" si="63"/>
        <v>232.06</v>
      </c>
      <c r="L401" s="8">
        <f t="shared" si="64"/>
        <v>585</v>
      </c>
      <c r="M401" s="57">
        <f t="shared" si="65"/>
        <v>0</v>
      </c>
      <c r="N401" s="41">
        <f t="shared" si="66"/>
        <v>0</v>
      </c>
      <c r="O401" s="41">
        <f>ROUND(Dot_ex($D401,$E401,$F401,$G401,$H401,$I401,$L401+SUM($N401:N401),E$115,E$117,E$117),2)</f>
        <v>0</v>
      </c>
      <c r="P401" s="41">
        <f>ROUND(Dot_ex($D401,$E401,$F401,$G401,$H401,$I401,$L401+SUM($N401:O401),F$115,F$117,F$117),2)</f>
        <v>0</v>
      </c>
      <c r="Q401" s="41">
        <f>ROUND(Dot_ex($D401,$E401,$F401,$G401,$H401,$I401,$L401+SUM($N401:P401),G$115,G$117,G$117),2)</f>
        <v>0</v>
      </c>
      <c r="R401" s="57">
        <f>ROUND(Dot_ex($D401,$E401,$F401,$G401,$H401,$I401,$L401+SUM($N401:Q401),H$115,H$117,H$117),2)</f>
        <v>0</v>
      </c>
      <c r="S401" s="57">
        <f>ROUND(Dot_ex($D401,$E401,$F401,$G401,$H401,$I401,$L401+SUM($N401:R401),I$115,I$117,I$117),2)</f>
        <v>0</v>
      </c>
      <c r="T401" s="57">
        <f>ROUND(Dot_ex($D401,$E401,$F401,$G401,$H401,$I401,$L401+SUM($N401:S401),J$115,J$117,J$117),2)</f>
        <v>0</v>
      </c>
      <c r="U401" s="57">
        <f>ROUND(Dot_ex($D401,$E401,$F401,$G401,$H401,$I401,$L401+SUM($N401:T401),K$115,K$117,K$117),2)</f>
        <v>0</v>
      </c>
      <c r="V401" s="57">
        <f>ROUND(Dot_ex($D401,$E401,$F401,$G401,$H401,$I401,$L401+SUM($N401:U401),L$115,L$117,L$117),2)</f>
        <v>0</v>
      </c>
      <c r="W401" s="57">
        <f>ROUND(Dot_ex($D401,$E401,$F401,$G401,$H401,$I401,$L401+SUM($N401:V401),M$115,M$117,M$117),2)</f>
        <v>0</v>
      </c>
    </row>
    <row r="402" spans="1:23" x14ac:dyDescent="0.2">
      <c r="A402" s="107">
        <f ca="1">IF(ISNUMBER(A401),A401+1,OFFSET(A402,-Nbre_Ligne_Entre_Compte,0,1,1)+1)</f>
        <v>146</v>
      </c>
      <c r="B402" s="1" t="s">
        <v>291</v>
      </c>
      <c r="C402" s="1" t="s">
        <v>265</v>
      </c>
      <c r="D402" s="77">
        <v>40529</v>
      </c>
      <c r="E402" s="77">
        <v>40529</v>
      </c>
      <c r="F402" s="77"/>
      <c r="G402" s="8">
        <v>825</v>
      </c>
      <c r="H402" s="1" t="s">
        <v>12</v>
      </c>
      <c r="I402" s="78">
        <v>3</v>
      </c>
      <c r="J402" s="8">
        <v>199.66</v>
      </c>
      <c r="K402" s="8">
        <f>ROUND(Dot_ex(D402,E402,F402,G402,H402,I402,J402,$G$6,$I$6,$I$8),2)</f>
        <v>312.67</v>
      </c>
      <c r="L402" s="8">
        <f>J402+K402</f>
        <v>512.33000000000004</v>
      </c>
      <c r="M402" s="57">
        <f>G402-L402</f>
        <v>312.66999999999996</v>
      </c>
      <c r="N402" s="41">
        <f t="shared" si="66"/>
        <v>312.67</v>
      </c>
      <c r="O402" s="41">
        <f>ROUND(Dot_ex($D402,$E402,$F402,$G402,$H402,$I402,$L402+SUM($N402:N402),E$115,E$117,E$117),2)</f>
        <v>0</v>
      </c>
      <c r="P402" s="41">
        <f>ROUND(Dot_ex($D402,$E402,$F402,$G402,$H402,$I402,$L402+SUM($N402:O402),F$115,F$117,F$117),2)</f>
        <v>0</v>
      </c>
      <c r="Q402" s="41">
        <f>ROUND(Dot_ex($D402,$E402,$F402,$G402,$H402,$I402,$L402+SUM($N402:P402),G$115,G$117,G$117),2)</f>
        <v>0</v>
      </c>
      <c r="R402" s="57">
        <f>ROUND(Dot_ex($D402,$E402,$F402,$G402,$H402,$I402,$L402+SUM($N402:Q402),H$115,H$117,H$117),2)</f>
        <v>0</v>
      </c>
      <c r="S402" s="57">
        <f>ROUND(Dot_ex($D402,$E402,$F402,$G402,$H402,$I402,$L402+SUM($N402:R402),I$115,I$117,I$117),2)</f>
        <v>0</v>
      </c>
      <c r="T402" s="57">
        <f>ROUND(Dot_ex($D402,$E402,$F402,$G402,$H402,$I402,$L402+SUM($N402:S402),J$115,J$117,J$117),2)</f>
        <v>0</v>
      </c>
      <c r="U402" s="57">
        <f>ROUND(Dot_ex($D402,$E402,$F402,$G402,$H402,$I402,$L402+SUM($N402:T402),K$115,K$117,K$117),2)</f>
        <v>0</v>
      </c>
      <c r="V402" s="57">
        <f>ROUND(Dot_ex($D402,$E402,$F402,$G402,$H402,$I402,$L402+SUM($N402:U402),L$115,L$117,L$117),2)</f>
        <v>0</v>
      </c>
      <c r="W402" s="57">
        <f>ROUND(Dot_ex($D402,$E402,$F402,$G402,$H402,$I402,$L402+SUM($N402:V402),M$115,M$117,M$117),2)</f>
        <v>0</v>
      </c>
    </row>
    <row r="403" spans="1:23" x14ac:dyDescent="0.2">
      <c r="A403" s="107">
        <f ca="1">IF(ISNUMBER(A402),A402+1,OFFSET(A403,-Nbre_Ligne_Entre_Compte,0,1,1)+1)</f>
        <v>147</v>
      </c>
      <c r="B403" s="1" t="s">
        <v>292</v>
      </c>
      <c r="C403" s="1" t="s">
        <v>265</v>
      </c>
      <c r="D403" s="77">
        <v>40694</v>
      </c>
      <c r="E403" s="77">
        <v>40694</v>
      </c>
      <c r="F403" s="77"/>
      <c r="G403" s="8">
        <v>930</v>
      </c>
      <c r="H403" s="1" t="s">
        <v>12</v>
      </c>
      <c r="I403" s="78">
        <v>3</v>
      </c>
      <c r="J403" s="8">
        <v>64.760000000000005</v>
      </c>
      <c r="K403" s="8">
        <f>ROUND(Dot_ex(D403,E403,F403,G403,H403,I403,J403,$G$6,$I$6,$I$8),2)</f>
        <v>432.62</v>
      </c>
      <c r="L403" s="8">
        <f>J403+K403</f>
        <v>497.38</v>
      </c>
      <c r="M403" s="57">
        <f>G403-L403</f>
        <v>432.62</v>
      </c>
      <c r="N403" s="41">
        <f t="shared" si="66"/>
        <v>432.62</v>
      </c>
      <c r="O403" s="41">
        <f>ROUND(Dot_ex($D403,$E403,$F403,$G403,$H403,$I403,$L403+SUM($N403:N403),E$115,E$117,E$117),2)</f>
        <v>0</v>
      </c>
      <c r="P403" s="41">
        <f>ROUND(Dot_ex($D403,$E403,$F403,$G403,$H403,$I403,$L403+SUM($N403:O403),F$115,F$117,F$117),2)</f>
        <v>0</v>
      </c>
      <c r="Q403" s="41">
        <f>ROUND(Dot_ex($D403,$E403,$F403,$G403,$H403,$I403,$L403+SUM($N403:P403),G$115,G$117,G$117),2)</f>
        <v>0</v>
      </c>
      <c r="R403" s="57">
        <f>ROUND(Dot_ex($D403,$E403,$F403,$G403,$H403,$I403,$L403+SUM($N403:Q403),H$115,H$117,H$117),2)</f>
        <v>0</v>
      </c>
      <c r="S403" s="57">
        <f>ROUND(Dot_ex($D403,$E403,$F403,$G403,$H403,$I403,$L403+SUM($N403:R403),I$115,I$117,I$117),2)</f>
        <v>0</v>
      </c>
      <c r="T403" s="57">
        <f>ROUND(Dot_ex($D403,$E403,$F403,$G403,$H403,$I403,$L403+SUM($N403:S403),J$115,J$117,J$117),2)</f>
        <v>0</v>
      </c>
      <c r="U403" s="57">
        <f>ROUND(Dot_ex($D403,$E403,$F403,$G403,$H403,$I403,$L403+SUM($N403:T403),K$115,K$117,K$117),2)</f>
        <v>0</v>
      </c>
      <c r="V403" s="57">
        <f>ROUND(Dot_ex($D403,$E403,$F403,$G403,$H403,$I403,$L403+SUM($N403:U403),L$115,L$117,L$117),2)</f>
        <v>0</v>
      </c>
      <c r="W403" s="57">
        <f>ROUND(Dot_ex($D403,$E403,$F403,$G403,$H403,$I403,$L403+SUM($N403:V403),M$115,M$117,M$117),2)</f>
        <v>0</v>
      </c>
    </row>
    <row r="404" spans="1:23" x14ac:dyDescent="0.2">
      <c r="A404" s="107">
        <f t="shared" ref="A404:A405" ca="1" si="68">IF(ISNUMBER(A403),A403+1,OFFSET(A404,-Nbre_Ligne_Entre_Compte,0,1,1)+1)</f>
        <v>148</v>
      </c>
      <c r="B404" s="1" t="s">
        <v>305</v>
      </c>
      <c r="C404" s="1" t="s">
        <v>269</v>
      </c>
      <c r="D404" s="77">
        <v>40959</v>
      </c>
      <c r="E404" s="77">
        <v>40959</v>
      </c>
      <c r="F404" s="77"/>
      <c r="G404" s="8">
        <v>442.31</v>
      </c>
      <c r="H404" s="1" t="s">
        <v>12</v>
      </c>
      <c r="I404" s="78">
        <v>3</v>
      </c>
      <c r="J404" s="8"/>
      <c r="K404" s="8">
        <f t="shared" ref="K404:K405" si="69">ROUND(Dot_ex(D404,E404,F404,G404,H404,I404,J404,$G$6,$I$6,$I$8),2)</f>
        <v>76.03</v>
      </c>
      <c r="L404" s="8">
        <f t="shared" ref="L404:L405" si="70">J404+K404</f>
        <v>76.03</v>
      </c>
      <c r="M404" s="57">
        <f t="shared" ref="M404:M405" si="71">G404-L404</f>
        <v>366.28</v>
      </c>
      <c r="N404" s="41">
        <f t="shared" si="66"/>
        <v>183.14</v>
      </c>
      <c r="O404" s="41">
        <f>ROUND(Dot_ex($D404,$E404,$F404,$G404,$H404,$I404,$L404+SUM($N404:N404),E$115,E$117,E$117),2)</f>
        <v>183.14</v>
      </c>
      <c r="P404" s="41">
        <f>ROUND(Dot_ex($D404,$E404,$F404,$G404,$H404,$I404,$L404+SUM($N404:O404),F$115,F$117,F$117),2)</f>
        <v>0</v>
      </c>
      <c r="Q404" s="41">
        <f>ROUND(Dot_ex($D404,$E404,$F404,$G404,$H404,$I404,$L404+SUM($N404:P404),G$115,G$117,G$117),2)</f>
        <v>0</v>
      </c>
      <c r="R404" s="57">
        <f>ROUND(Dot_ex($D404,$E404,$F404,$G404,$H404,$I404,$L404+SUM($N404:Q404),H$115,H$117,H$117),2)</f>
        <v>0</v>
      </c>
      <c r="S404" s="57">
        <f>ROUND(Dot_ex($D404,$E404,$F404,$G404,$H404,$I404,$L404+SUM($N404:R404),I$115,I$117,I$117),2)</f>
        <v>0</v>
      </c>
      <c r="T404" s="57">
        <f>ROUND(Dot_ex($D404,$E404,$F404,$G404,$H404,$I404,$L404+SUM($N404:S404),J$115,J$117,J$117),2)</f>
        <v>0</v>
      </c>
      <c r="U404" s="57">
        <f>ROUND(Dot_ex($D404,$E404,$F404,$G404,$H404,$I404,$L404+SUM($N404:T404),K$115,K$117,K$117),2)</f>
        <v>0</v>
      </c>
      <c r="V404" s="57">
        <f>ROUND(Dot_ex($D404,$E404,$F404,$G404,$H404,$I404,$L404+SUM($N404:U404),L$115,L$117,L$117),2)</f>
        <v>0</v>
      </c>
      <c r="W404" s="57">
        <f>ROUND(Dot_ex($D404,$E404,$F404,$G404,$H404,$I404,$L404+SUM($N404:V404),M$115,M$117,M$117),2)</f>
        <v>0</v>
      </c>
    </row>
    <row r="405" spans="1:23" x14ac:dyDescent="0.2">
      <c r="A405" s="107">
        <f t="shared" ca="1" si="68"/>
        <v>149</v>
      </c>
      <c r="B405" s="1" t="s">
        <v>306</v>
      </c>
      <c r="C405" s="1" t="s">
        <v>265</v>
      </c>
      <c r="D405" s="77">
        <v>40992</v>
      </c>
      <c r="E405" s="77">
        <v>40992</v>
      </c>
      <c r="F405" s="77"/>
      <c r="G405" s="8">
        <v>3222</v>
      </c>
      <c r="H405" s="1" t="s">
        <v>12</v>
      </c>
      <c r="I405" s="78">
        <v>3</v>
      </c>
      <c r="J405" s="8"/>
      <c r="K405" s="8">
        <f t="shared" si="69"/>
        <v>447.5</v>
      </c>
      <c r="L405" s="8">
        <f t="shared" si="70"/>
        <v>447.5</v>
      </c>
      <c r="M405" s="57">
        <f t="shared" si="71"/>
        <v>2774.5</v>
      </c>
      <c r="N405" s="41">
        <f t="shared" si="66"/>
        <v>1387.25</v>
      </c>
      <c r="O405" s="41">
        <f>ROUND(Dot_ex($D405,$E405,$F405,$G405,$H405,$I405,$L405+SUM($N405:N405),E$115,E$117,E$117),2)</f>
        <v>1387.25</v>
      </c>
      <c r="P405" s="41">
        <f>ROUND(Dot_ex($D405,$E405,$F405,$G405,$H405,$I405,$L405+SUM($N405:O405),F$115,F$117,F$117),2)</f>
        <v>0</v>
      </c>
      <c r="Q405" s="41">
        <f>ROUND(Dot_ex($D405,$E405,$F405,$G405,$H405,$I405,$L405+SUM($N405:P405),G$115,G$117,G$117),2)</f>
        <v>0</v>
      </c>
      <c r="R405" s="57">
        <f>ROUND(Dot_ex($D405,$E405,$F405,$G405,$H405,$I405,$L405+SUM($N405:Q405),H$115,H$117,H$117),2)</f>
        <v>0</v>
      </c>
      <c r="S405" s="57">
        <f>ROUND(Dot_ex($D405,$E405,$F405,$G405,$H405,$I405,$L405+SUM($N405:R405),I$115,I$117,I$117),2)</f>
        <v>0</v>
      </c>
      <c r="T405" s="57">
        <f>ROUND(Dot_ex($D405,$E405,$F405,$G405,$H405,$I405,$L405+SUM($N405:S405),J$115,J$117,J$117),2)</f>
        <v>0</v>
      </c>
      <c r="U405" s="57">
        <f>ROUND(Dot_ex($D405,$E405,$F405,$G405,$H405,$I405,$L405+SUM($N405:T405),K$115,K$117,K$117),2)</f>
        <v>0</v>
      </c>
      <c r="V405" s="57">
        <f>ROUND(Dot_ex($D405,$E405,$F405,$G405,$H405,$I405,$L405+SUM($N405:U405),L$115,L$117,L$117),2)</f>
        <v>0</v>
      </c>
      <c r="W405" s="57">
        <f>ROUND(Dot_ex($D405,$E405,$F405,$G405,$H405,$I405,$L405+SUM($N405:V405),M$115,M$117,M$117),2)</f>
        <v>0</v>
      </c>
    </row>
    <row r="406" spans="1:23" x14ac:dyDescent="0.2">
      <c r="A406" s="107"/>
      <c r="B406" s="1"/>
      <c r="C406" s="1"/>
      <c r="D406" s="77"/>
      <c r="E406" s="77"/>
      <c r="F406" s="77"/>
      <c r="G406" s="8"/>
      <c r="H406" s="1"/>
      <c r="I406" s="78"/>
      <c r="J406" s="8"/>
      <c r="K406" s="8"/>
      <c r="L406" s="8"/>
      <c r="M406" s="57"/>
      <c r="N406" s="41"/>
      <c r="O406" s="41"/>
      <c r="P406" s="41"/>
      <c r="Q406" s="41"/>
      <c r="R406" s="57"/>
      <c r="S406" s="57"/>
      <c r="T406" s="57"/>
      <c r="U406" s="57"/>
      <c r="V406" s="57"/>
      <c r="W406" s="57"/>
    </row>
    <row r="407" spans="1:23" x14ac:dyDescent="0.2">
      <c r="A407" s="101"/>
      <c r="E407" s="94" t="s">
        <v>14</v>
      </c>
      <c r="F407" s="95"/>
      <c r="G407" s="96">
        <f>SUM(G385:G406)</f>
        <v>27446.260000000002</v>
      </c>
      <c r="H407" s="94"/>
      <c r="I407" s="97"/>
      <c r="J407" s="96">
        <f t="shared" ref="J407:W407" si="72">SUM(J385:J406)</f>
        <v>21818.23</v>
      </c>
      <c r="K407" s="96">
        <f t="shared" si="72"/>
        <v>1741.9599999999998</v>
      </c>
      <c r="L407" s="96">
        <f t="shared" si="72"/>
        <v>23560.190000000002</v>
      </c>
      <c r="M407" s="203">
        <f t="shared" si="72"/>
        <v>3886.0699999999997</v>
      </c>
      <c r="N407" s="202">
        <f t="shared" si="72"/>
        <v>2315.6799999999998</v>
      </c>
      <c r="O407" s="202">
        <f t="shared" si="72"/>
        <v>1570.3899999999999</v>
      </c>
      <c r="P407" s="202">
        <f t="shared" si="72"/>
        <v>0</v>
      </c>
      <c r="Q407" s="202">
        <f t="shared" si="72"/>
        <v>0</v>
      </c>
      <c r="R407" s="203">
        <f t="shared" si="72"/>
        <v>0</v>
      </c>
      <c r="S407" s="203">
        <f t="shared" si="72"/>
        <v>0</v>
      </c>
      <c r="T407" s="203">
        <f t="shared" si="72"/>
        <v>0</v>
      </c>
      <c r="U407" s="203">
        <f t="shared" si="72"/>
        <v>0</v>
      </c>
      <c r="V407" s="203">
        <f t="shared" si="72"/>
        <v>0</v>
      </c>
      <c r="W407" s="203">
        <f t="shared" si="72"/>
        <v>0</v>
      </c>
    </row>
    <row r="408" spans="1:23" x14ac:dyDescent="0.2">
      <c r="A408" s="101"/>
      <c r="M408" s="14"/>
      <c r="N408" s="41"/>
      <c r="O408" s="41"/>
      <c r="P408" s="41"/>
      <c r="Q408" s="41"/>
      <c r="R408" s="57"/>
      <c r="S408" s="57"/>
      <c r="T408" s="57"/>
      <c r="U408" s="57"/>
      <c r="V408" s="57"/>
      <c r="W408" s="57"/>
    </row>
    <row r="409" spans="1:23" x14ac:dyDescent="0.2">
      <c r="A409" s="101"/>
      <c r="E409" s="1" t="s">
        <v>23</v>
      </c>
      <c r="G409" s="8">
        <f>SUMIF($D$385:$D$406,"&lt;"&amp;TEXT($G$6,"jj/mm/aa"),G$385:G$406)</f>
        <v>23781.95</v>
      </c>
      <c r="J409" s="8">
        <f>SUMIF($D$385:$D$406,"&lt;"&amp;TEXT($G$6,"jj/mm/aa"),J$385:J$406)</f>
        <v>21818.23</v>
      </c>
      <c r="K409" s="8">
        <f>SUMIF($D$385:$D$406,"&lt;"&amp;TEXT($G$6,"jj/mm/aa"),K$385:K$406)</f>
        <v>1218.4299999999998</v>
      </c>
      <c r="L409" s="8">
        <f>SUMIF($D$385:$D$406,"&lt;"&amp;TEXT($G$6,"jj/mm/aa"),L$385:L$406)</f>
        <v>23036.660000000003</v>
      </c>
      <c r="M409" s="57">
        <f>SUMIF($D$385:$D$406,"&lt;"&amp;TEXT($G$6,"jj/mm/aa"),M$385:M$406)</f>
        <v>745.29</v>
      </c>
      <c r="N409" s="41"/>
      <c r="O409" s="41"/>
      <c r="P409" s="41"/>
      <c r="Q409" s="41"/>
      <c r="R409" s="57"/>
      <c r="S409" s="57"/>
      <c r="T409" s="57"/>
      <c r="U409" s="57"/>
      <c r="V409" s="57"/>
      <c r="W409" s="57"/>
    </row>
    <row r="410" spans="1:23" x14ac:dyDescent="0.2">
      <c r="A410" s="101"/>
      <c r="E410" s="1" t="s">
        <v>38</v>
      </c>
      <c r="G410" s="8">
        <f>SUMIF($D$385:$D$406,"&gt;="&amp;TEXT($G$6,"jj/mm/aa"),G$385:G$406)</f>
        <v>3664.31</v>
      </c>
      <c r="J410" s="8">
        <f>SUMIF($D$385:$D$406,"&gt;="&amp;TEXT($G$6,"jj/mm/aa"),J$385:J$406)</f>
        <v>0</v>
      </c>
      <c r="K410" s="8">
        <f>SUMIF($D$385:$D$406,"&gt;="&amp;TEXT($G$6,"jj/mm/aa"),K$385:K$406)</f>
        <v>523.53</v>
      </c>
      <c r="L410" s="8">
        <f>SUMIF($D$385:$D$406,"&gt;="&amp;TEXT($G$6,"jj/mm/aa"),L$385:L$406)</f>
        <v>523.53</v>
      </c>
      <c r="M410" s="57">
        <f>SUMIF($D$385:$D$406,"&gt;="&amp;TEXT($G$6,"jj/mm/aa"),M$385:M$406)</f>
        <v>3140.7799999999997</v>
      </c>
      <c r="N410" s="41"/>
      <c r="O410" s="41"/>
      <c r="P410" s="41"/>
      <c r="Q410" s="41"/>
      <c r="R410" s="57"/>
      <c r="S410" s="57"/>
      <c r="T410" s="57"/>
      <c r="U410" s="57"/>
      <c r="V410" s="57"/>
      <c r="W410" s="57"/>
    </row>
    <row r="411" spans="1:23" x14ac:dyDescent="0.2">
      <c r="A411" s="101"/>
      <c r="E411" s="1" t="s">
        <v>39</v>
      </c>
      <c r="G411" s="8">
        <f>SUMIF($F$385:$F$406,"&gt;="&amp;TEXT($G$6,"jj/mm/aa"),G$385:G$406)</f>
        <v>3660.8900000000003</v>
      </c>
      <c r="J411" s="8">
        <f>SUMIF($F$385:$F$406,"&gt;="&amp;TEXT($G$6,"jj/mm/aa"),J$385:J$406)</f>
        <v>3660.8900000000003</v>
      </c>
      <c r="K411" s="8">
        <f>SUMIF($F$385:$F$406,"&gt;="&amp;TEXT($G$6,"jj/mm/aa"),K$385:K$406)</f>
        <v>0</v>
      </c>
      <c r="L411" s="8">
        <f>SUMIF($F$385:$F$406,"&gt;="&amp;TEXT($G$6,"jj/mm/aa"),L$385:L$406)</f>
        <v>3660.8900000000003</v>
      </c>
      <c r="M411" s="57">
        <f>SUMIF($F$385:$F$406,"&gt;="&amp;TEXT($G$6,"jj/mm/aa"),M$385:M$406)</f>
        <v>0</v>
      </c>
      <c r="N411" s="41"/>
      <c r="O411" s="41"/>
      <c r="P411" s="41"/>
      <c r="Q411" s="41"/>
      <c r="R411" s="57"/>
      <c r="S411" s="57"/>
      <c r="T411" s="57"/>
      <c r="U411" s="57"/>
      <c r="V411" s="57"/>
      <c r="W411" s="57"/>
    </row>
    <row r="412" spans="1:23" x14ac:dyDescent="0.2">
      <c r="A412" s="101"/>
      <c r="E412" s="1" t="s">
        <v>15</v>
      </c>
      <c r="G412" s="8">
        <f>G409+G410-G411</f>
        <v>23785.370000000003</v>
      </c>
      <c r="J412" s="8">
        <f>J409+J410-J411</f>
        <v>18157.34</v>
      </c>
      <c r="K412" s="8">
        <f>K409+K410-K411</f>
        <v>1741.9599999999998</v>
      </c>
      <c r="L412" s="8">
        <f>L409+L410-L411</f>
        <v>19899.300000000003</v>
      </c>
      <c r="M412" s="57">
        <f>M409+M410-M411</f>
        <v>3886.0699999999997</v>
      </c>
      <c r="N412" s="41"/>
      <c r="O412" s="41"/>
      <c r="P412" s="41"/>
      <c r="Q412" s="41"/>
      <c r="R412" s="57"/>
      <c r="S412" s="57"/>
      <c r="T412" s="57"/>
      <c r="U412" s="57"/>
      <c r="V412" s="57"/>
      <c r="W412" s="57"/>
    </row>
    <row r="413" spans="1:23" x14ac:dyDescent="0.2">
      <c r="A413" s="101"/>
      <c r="M413" s="14"/>
      <c r="N413" s="41"/>
      <c r="O413" s="41"/>
      <c r="P413" s="41"/>
      <c r="Q413" s="41"/>
      <c r="R413" s="57"/>
      <c r="S413" s="57"/>
      <c r="T413" s="57"/>
      <c r="U413" s="57"/>
      <c r="V413" s="57"/>
      <c r="W413" s="57"/>
    </row>
    <row r="414" spans="1:23" x14ac:dyDescent="0.2">
      <c r="A414" s="101"/>
      <c r="M414" s="14"/>
      <c r="N414" s="41"/>
      <c r="O414" s="41"/>
      <c r="P414" s="41"/>
      <c r="Q414" s="41"/>
      <c r="R414" s="57"/>
      <c r="S414" s="57"/>
      <c r="T414" s="57"/>
      <c r="U414" s="57"/>
      <c r="V414" s="57"/>
      <c r="W414" s="57"/>
    </row>
    <row r="415" spans="1:23" ht="24.95" customHeight="1" x14ac:dyDescent="0.2">
      <c r="A415" s="208" t="s">
        <v>122</v>
      </c>
      <c r="B415" s="209"/>
      <c r="C415" s="209"/>
      <c r="D415" s="209"/>
      <c r="E415" s="210"/>
      <c r="F415" s="211"/>
      <c r="G415" s="211"/>
      <c r="H415" s="211"/>
      <c r="I415" s="211"/>
      <c r="J415" s="211"/>
      <c r="K415" s="211"/>
      <c r="L415" s="211"/>
      <c r="M415" s="226"/>
      <c r="N415" s="220" t="str">
        <f>A415 &amp; "   -   Dotations prévisionnelles"</f>
        <v>218400 MOBILIER   -   Dotations prévisionnelles</v>
      </c>
      <c r="O415" s="212"/>
      <c r="P415" s="212"/>
      <c r="Q415" s="212"/>
      <c r="R415" s="213"/>
      <c r="S415" s="212"/>
      <c r="T415" s="212"/>
      <c r="U415" s="212"/>
      <c r="V415" s="212"/>
      <c r="W415" s="213"/>
    </row>
    <row r="416" spans="1:23" x14ac:dyDescent="0.2">
      <c r="A416" s="107">
        <f t="shared" ref="A416:A431" ca="1" si="73">IF(ISNUMBER(A415),A415+1,OFFSET(A416,-Nbre_Ligne_Entre_Compte,0,1,1)+1)</f>
        <v>150</v>
      </c>
      <c r="B416" s="1" t="s">
        <v>115</v>
      </c>
      <c r="C416" s="1" t="s">
        <v>265</v>
      </c>
      <c r="D416" s="77">
        <v>32479</v>
      </c>
      <c r="E416" s="77">
        <v>32479</v>
      </c>
      <c r="F416" s="77"/>
      <c r="G416" s="8">
        <v>493.1</v>
      </c>
      <c r="H416" s="1" t="s">
        <v>8</v>
      </c>
      <c r="I416" s="78">
        <v>10</v>
      </c>
      <c r="J416" s="8">
        <v>493.1</v>
      </c>
      <c r="K416" s="8">
        <f t="shared" ref="K416:K431" si="74">ROUND(Dot_ex(D416,E416,F416,G416,H416,I416,J416,$G$6,$I$6,$I$8),2)</f>
        <v>0</v>
      </c>
      <c r="L416" s="8">
        <f t="shared" ref="L416:L431" si="75">J416+K416</f>
        <v>493.1</v>
      </c>
      <c r="M416" s="57">
        <f t="shared" ref="M416:M431" si="76">G416-L416</f>
        <v>0</v>
      </c>
      <c r="N416" s="41">
        <f t="shared" ref="N416:N431" si="77">ROUND(Dot_ex($D416,$E416,$F416,$G416,$H416,$I416,$L416,D$115,D$117,D$117),2)</f>
        <v>0</v>
      </c>
      <c r="O416" s="41">
        <f>ROUND(Dot_ex($D416,$E416,$F416,$G416,$H416,$I416,$L416+SUM($N416:N416),E$115,E$117,E$117),2)</f>
        <v>0</v>
      </c>
      <c r="P416" s="41">
        <f>ROUND(Dot_ex($D416,$E416,$F416,$G416,$H416,$I416,$L416+SUM($N416:O416),F$115,F$117,F$117),2)</f>
        <v>0</v>
      </c>
      <c r="Q416" s="41">
        <f>ROUND(Dot_ex($D416,$E416,$F416,$G416,$H416,$I416,$L416+SUM($N416:P416),G$115,G$117,G$117),2)</f>
        <v>0</v>
      </c>
      <c r="R416" s="57">
        <f>ROUND(Dot_ex($D416,$E416,$F416,$G416,$H416,$I416,$L416+SUM($N416:Q416),H$115,H$117,H$117),2)</f>
        <v>0</v>
      </c>
      <c r="S416" s="57">
        <f>ROUND(Dot_ex($D416,$E416,$F416,$G416,$H416,$I416,$L416+SUM($N416:R416),I$115,I$117,I$117),2)</f>
        <v>0</v>
      </c>
      <c r="T416" s="57">
        <f>ROUND(Dot_ex($D416,$E416,$F416,$G416,$H416,$I416,$L416+SUM($N416:S416),J$115,J$117,J$117),2)</f>
        <v>0</v>
      </c>
      <c r="U416" s="57">
        <f>ROUND(Dot_ex($D416,$E416,$F416,$G416,$H416,$I416,$L416+SUM($N416:T416),K$115,K$117,K$117),2)</f>
        <v>0</v>
      </c>
      <c r="V416" s="57">
        <f>ROUND(Dot_ex($D416,$E416,$F416,$G416,$H416,$I416,$L416+SUM($N416:U416),L$115,L$117,L$117),2)</f>
        <v>0</v>
      </c>
      <c r="W416" s="57">
        <f>ROUND(Dot_ex($D416,$E416,$F416,$G416,$H416,$I416,$L416+SUM($N416:V416),M$115,M$117,M$117),2)</f>
        <v>0</v>
      </c>
    </row>
    <row r="417" spans="1:23" x14ac:dyDescent="0.2">
      <c r="A417" s="107">
        <f t="shared" ca="1" si="73"/>
        <v>151</v>
      </c>
      <c r="B417" s="1" t="s">
        <v>116</v>
      </c>
      <c r="C417" s="1" t="s">
        <v>265</v>
      </c>
      <c r="D417" s="77">
        <v>32484</v>
      </c>
      <c r="E417" s="77">
        <v>32484</v>
      </c>
      <c r="F417" s="77"/>
      <c r="G417" s="8">
        <v>232.4</v>
      </c>
      <c r="H417" s="1" t="s">
        <v>8</v>
      </c>
      <c r="I417" s="78">
        <v>10</v>
      </c>
      <c r="J417" s="8">
        <v>232.4</v>
      </c>
      <c r="K417" s="8">
        <f t="shared" si="74"/>
        <v>0</v>
      </c>
      <c r="L417" s="8">
        <f t="shared" si="75"/>
        <v>232.4</v>
      </c>
      <c r="M417" s="57">
        <f t="shared" si="76"/>
        <v>0</v>
      </c>
      <c r="N417" s="41">
        <f t="shared" si="77"/>
        <v>0</v>
      </c>
      <c r="O417" s="41">
        <f>ROUND(Dot_ex($D417,$E417,$F417,$G417,$H417,$I417,$L417+SUM($N417:N417),E$115,E$117,E$117),2)</f>
        <v>0</v>
      </c>
      <c r="P417" s="41">
        <f>ROUND(Dot_ex($D417,$E417,$F417,$G417,$H417,$I417,$L417+SUM($N417:O417),F$115,F$117,F$117),2)</f>
        <v>0</v>
      </c>
      <c r="Q417" s="41">
        <f>ROUND(Dot_ex($D417,$E417,$F417,$G417,$H417,$I417,$L417+SUM($N417:P417),G$115,G$117,G$117),2)</f>
        <v>0</v>
      </c>
      <c r="R417" s="57">
        <f>ROUND(Dot_ex($D417,$E417,$F417,$G417,$H417,$I417,$L417+SUM($N417:Q417),H$115,H$117,H$117),2)</f>
        <v>0</v>
      </c>
      <c r="S417" s="57">
        <f>ROUND(Dot_ex($D417,$E417,$F417,$G417,$H417,$I417,$L417+SUM($N417:R417),I$115,I$117,I$117),2)</f>
        <v>0</v>
      </c>
      <c r="T417" s="57">
        <f>ROUND(Dot_ex($D417,$E417,$F417,$G417,$H417,$I417,$L417+SUM($N417:S417),J$115,J$117,J$117),2)</f>
        <v>0</v>
      </c>
      <c r="U417" s="57">
        <f>ROUND(Dot_ex($D417,$E417,$F417,$G417,$H417,$I417,$L417+SUM($N417:T417),K$115,K$117,K$117),2)</f>
        <v>0</v>
      </c>
      <c r="V417" s="57">
        <f>ROUND(Dot_ex($D417,$E417,$F417,$G417,$H417,$I417,$L417+SUM($N417:U417),L$115,L$117,L$117),2)</f>
        <v>0</v>
      </c>
      <c r="W417" s="57">
        <f>ROUND(Dot_ex($D417,$E417,$F417,$G417,$H417,$I417,$L417+SUM($N417:V417),M$115,M$117,M$117),2)</f>
        <v>0</v>
      </c>
    </row>
    <row r="418" spans="1:23" x14ac:dyDescent="0.2">
      <c r="A418" s="107">
        <f t="shared" ca="1" si="73"/>
        <v>152</v>
      </c>
      <c r="B418" s="1" t="s">
        <v>117</v>
      </c>
      <c r="C418" s="1" t="s">
        <v>265</v>
      </c>
      <c r="D418" s="77">
        <v>33786</v>
      </c>
      <c r="E418" s="77">
        <v>33786</v>
      </c>
      <c r="F418" s="77"/>
      <c r="G418" s="8">
        <v>2042.05</v>
      </c>
      <c r="H418" s="1" t="s">
        <v>8</v>
      </c>
      <c r="I418" s="78">
        <v>10</v>
      </c>
      <c r="J418" s="8">
        <v>2042.05</v>
      </c>
      <c r="K418" s="8">
        <f t="shared" si="74"/>
        <v>0</v>
      </c>
      <c r="L418" s="8">
        <f t="shared" si="75"/>
        <v>2042.05</v>
      </c>
      <c r="M418" s="57">
        <f t="shared" si="76"/>
        <v>0</v>
      </c>
      <c r="N418" s="41">
        <f t="shared" si="77"/>
        <v>0</v>
      </c>
      <c r="O418" s="41">
        <f>ROUND(Dot_ex($D418,$E418,$F418,$G418,$H418,$I418,$L418+SUM($N418:N418),E$115,E$117,E$117),2)</f>
        <v>0</v>
      </c>
      <c r="P418" s="41">
        <f>ROUND(Dot_ex($D418,$E418,$F418,$G418,$H418,$I418,$L418+SUM($N418:O418),F$115,F$117,F$117),2)</f>
        <v>0</v>
      </c>
      <c r="Q418" s="41">
        <f>ROUND(Dot_ex($D418,$E418,$F418,$G418,$H418,$I418,$L418+SUM($N418:P418),G$115,G$117,G$117),2)</f>
        <v>0</v>
      </c>
      <c r="R418" s="57">
        <f>ROUND(Dot_ex($D418,$E418,$F418,$G418,$H418,$I418,$L418+SUM($N418:Q418),H$115,H$117,H$117),2)</f>
        <v>0</v>
      </c>
      <c r="S418" s="57">
        <f>ROUND(Dot_ex($D418,$E418,$F418,$G418,$H418,$I418,$L418+SUM($N418:R418),I$115,I$117,I$117),2)</f>
        <v>0</v>
      </c>
      <c r="T418" s="57">
        <f>ROUND(Dot_ex($D418,$E418,$F418,$G418,$H418,$I418,$L418+SUM($N418:S418),J$115,J$117,J$117),2)</f>
        <v>0</v>
      </c>
      <c r="U418" s="57">
        <f>ROUND(Dot_ex($D418,$E418,$F418,$G418,$H418,$I418,$L418+SUM($N418:T418),K$115,K$117,K$117),2)</f>
        <v>0</v>
      </c>
      <c r="V418" s="57">
        <f>ROUND(Dot_ex($D418,$E418,$F418,$G418,$H418,$I418,$L418+SUM($N418:U418),L$115,L$117,L$117),2)</f>
        <v>0</v>
      </c>
      <c r="W418" s="57">
        <f>ROUND(Dot_ex($D418,$E418,$F418,$G418,$H418,$I418,$L418+SUM($N418:V418),M$115,M$117,M$117),2)</f>
        <v>0</v>
      </c>
    </row>
    <row r="419" spans="1:23" x14ac:dyDescent="0.2">
      <c r="A419" s="107">
        <f t="shared" ca="1" si="73"/>
        <v>153</v>
      </c>
      <c r="B419" s="1" t="s">
        <v>117</v>
      </c>
      <c r="C419" s="1" t="s">
        <v>265</v>
      </c>
      <c r="D419" s="77">
        <v>33786</v>
      </c>
      <c r="E419" s="77">
        <v>33786</v>
      </c>
      <c r="F419" s="77"/>
      <c r="G419" s="8">
        <v>175.62</v>
      </c>
      <c r="H419" s="1" t="s">
        <v>8</v>
      </c>
      <c r="I419" s="78">
        <v>10</v>
      </c>
      <c r="J419" s="8">
        <v>175.62</v>
      </c>
      <c r="K419" s="8">
        <f t="shared" si="74"/>
        <v>0</v>
      </c>
      <c r="L419" s="8">
        <f t="shared" si="75"/>
        <v>175.62</v>
      </c>
      <c r="M419" s="57">
        <f t="shared" si="76"/>
        <v>0</v>
      </c>
      <c r="N419" s="41">
        <f t="shared" si="77"/>
        <v>0</v>
      </c>
      <c r="O419" s="41">
        <f>ROUND(Dot_ex($D419,$E419,$F419,$G419,$H419,$I419,$L419+SUM($N419:N419),E$115,E$117,E$117),2)</f>
        <v>0</v>
      </c>
      <c r="P419" s="41">
        <f>ROUND(Dot_ex($D419,$E419,$F419,$G419,$H419,$I419,$L419+SUM($N419:O419),F$115,F$117,F$117),2)</f>
        <v>0</v>
      </c>
      <c r="Q419" s="41">
        <f>ROUND(Dot_ex($D419,$E419,$F419,$G419,$H419,$I419,$L419+SUM($N419:P419),G$115,G$117,G$117),2)</f>
        <v>0</v>
      </c>
      <c r="R419" s="57">
        <f>ROUND(Dot_ex($D419,$E419,$F419,$G419,$H419,$I419,$L419+SUM($N419:Q419),H$115,H$117,H$117),2)</f>
        <v>0</v>
      </c>
      <c r="S419" s="57">
        <f>ROUND(Dot_ex($D419,$E419,$F419,$G419,$H419,$I419,$L419+SUM($N419:R419),I$115,I$117,I$117),2)</f>
        <v>0</v>
      </c>
      <c r="T419" s="57">
        <f>ROUND(Dot_ex($D419,$E419,$F419,$G419,$H419,$I419,$L419+SUM($N419:S419),J$115,J$117,J$117),2)</f>
        <v>0</v>
      </c>
      <c r="U419" s="57">
        <f>ROUND(Dot_ex($D419,$E419,$F419,$G419,$H419,$I419,$L419+SUM($N419:T419),K$115,K$117,K$117),2)</f>
        <v>0</v>
      </c>
      <c r="V419" s="57">
        <f>ROUND(Dot_ex($D419,$E419,$F419,$G419,$H419,$I419,$L419+SUM($N419:U419),L$115,L$117,L$117),2)</f>
        <v>0</v>
      </c>
      <c r="W419" s="57">
        <f>ROUND(Dot_ex($D419,$E419,$F419,$G419,$H419,$I419,$L419+SUM($N419:V419),M$115,M$117,M$117),2)</f>
        <v>0</v>
      </c>
    </row>
    <row r="420" spans="1:23" x14ac:dyDescent="0.2">
      <c r="A420" s="107">
        <f t="shared" ca="1" si="73"/>
        <v>154</v>
      </c>
      <c r="B420" s="1" t="s">
        <v>118</v>
      </c>
      <c r="C420" s="1" t="s">
        <v>265</v>
      </c>
      <c r="D420" s="77">
        <v>34304</v>
      </c>
      <c r="E420" s="77">
        <v>34304</v>
      </c>
      <c r="F420" s="77"/>
      <c r="G420" s="8">
        <v>1094.43</v>
      </c>
      <c r="H420" s="1" t="s">
        <v>8</v>
      </c>
      <c r="I420" s="78">
        <v>10</v>
      </c>
      <c r="J420" s="8">
        <v>1094.43</v>
      </c>
      <c r="K420" s="8">
        <f t="shared" si="74"/>
        <v>0</v>
      </c>
      <c r="L420" s="8">
        <f t="shared" si="75"/>
        <v>1094.43</v>
      </c>
      <c r="M420" s="57">
        <f t="shared" si="76"/>
        <v>0</v>
      </c>
      <c r="N420" s="41">
        <f t="shared" si="77"/>
        <v>0</v>
      </c>
      <c r="O420" s="41">
        <f>ROUND(Dot_ex($D420,$E420,$F420,$G420,$H420,$I420,$L420+SUM($N420:N420),E$115,E$117,E$117),2)</f>
        <v>0</v>
      </c>
      <c r="P420" s="41">
        <f>ROUND(Dot_ex($D420,$E420,$F420,$G420,$H420,$I420,$L420+SUM($N420:O420),F$115,F$117,F$117),2)</f>
        <v>0</v>
      </c>
      <c r="Q420" s="41">
        <f>ROUND(Dot_ex($D420,$E420,$F420,$G420,$H420,$I420,$L420+SUM($N420:P420),G$115,G$117,G$117),2)</f>
        <v>0</v>
      </c>
      <c r="R420" s="57">
        <f>ROUND(Dot_ex($D420,$E420,$F420,$G420,$H420,$I420,$L420+SUM($N420:Q420),H$115,H$117,H$117),2)</f>
        <v>0</v>
      </c>
      <c r="S420" s="57">
        <f>ROUND(Dot_ex($D420,$E420,$F420,$G420,$H420,$I420,$L420+SUM($N420:R420),I$115,I$117,I$117),2)</f>
        <v>0</v>
      </c>
      <c r="T420" s="57">
        <f>ROUND(Dot_ex($D420,$E420,$F420,$G420,$H420,$I420,$L420+SUM($N420:S420),J$115,J$117,J$117),2)</f>
        <v>0</v>
      </c>
      <c r="U420" s="57">
        <f>ROUND(Dot_ex($D420,$E420,$F420,$G420,$H420,$I420,$L420+SUM($N420:T420),K$115,K$117,K$117),2)</f>
        <v>0</v>
      </c>
      <c r="V420" s="57">
        <f>ROUND(Dot_ex($D420,$E420,$F420,$G420,$H420,$I420,$L420+SUM($N420:U420),L$115,L$117,L$117),2)</f>
        <v>0</v>
      </c>
      <c r="W420" s="57">
        <f>ROUND(Dot_ex($D420,$E420,$F420,$G420,$H420,$I420,$L420+SUM($N420:V420),M$115,M$117,M$117),2)</f>
        <v>0</v>
      </c>
    </row>
    <row r="421" spans="1:23" x14ac:dyDescent="0.2">
      <c r="A421" s="107">
        <f t="shared" ca="1" si="73"/>
        <v>155</v>
      </c>
      <c r="B421" s="1" t="s">
        <v>155</v>
      </c>
      <c r="C421" s="1" t="s">
        <v>265</v>
      </c>
      <c r="D421" s="77">
        <v>36348</v>
      </c>
      <c r="E421" s="77">
        <v>36348</v>
      </c>
      <c r="F421" s="77"/>
      <c r="G421" s="8">
        <v>503.08</v>
      </c>
      <c r="H421" s="1" t="s">
        <v>8</v>
      </c>
      <c r="I421" s="78">
        <v>10</v>
      </c>
      <c r="J421" s="8">
        <v>503.08</v>
      </c>
      <c r="K421" s="8">
        <f t="shared" si="74"/>
        <v>0</v>
      </c>
      <c r="L421" s="8">
        <f t="shared" si="75"/>
        <v>503.08</v>
      </c>
      <c r="M421" s="57">
        <f t="shared" si="76"/>
        <v>0</v>
      </c>
      <c r="N421" s="41">
        <f t="shared" si="77"/>
        <v>0</v>
      </c>
      <c r="O421" s="41">
        <f>ROUND(Dot_ex($D421,$E421,$F421,$G421,$H421,$I421,$L421+SUM($N421:N421),E$115,E$117,E$117),2)</f>
        <v>0</v>
      </c>
      <c r="P421" s="41">
        <f>ROUND(Dot_ex($D421,$E421,$F421,$G421,$H421,$I421,$L421+SUM($N421:O421),F$115,F$117,F$117),2)</f>
        <v>0</v>
      </c>
      <c r="Q421" s="41">
        <f>ROUND(Dot_ex($D421,$E421,$F421,$G421,$H421,$I421,$L421+SUM($N421:P421),G$115,G$117,G$117),2)</f>
        <v>0</v>
      </c>
      <c r="R421" s="57">
        <f>ROUND(Dot_ex($D421,$E421,$F421,$G421,$H421,$I421,$L421+SUM($N421:Q421),H$115,H$117,H$117),2)</f>
        <v>0</v>
      </c>
      <c r="S421" s="57">
        <f>ROUND(Dot_ex($D421,$E421,$F421,$G421,$H421,$I421,$L421+SUM($N421:R421),I$115,I$117,I$117),2)</f>
        <v>0</v>
      </c>
      <c r="T421" s="57">
        <f>ROUND(Dot_ex($D421,$E421,$F421,$G421,$H421,$I421,$L421+SUM($N421:S421),J$115,J$117,J$117),2)</f>
        <v>0</v>
      </c>
      <c r="U421" s="57">
        <f>ROUND(Dot_ex($D421,$E421,$F421,$G421,$H421,$I421,$L421+SUM($N421:T421),K$115,K$117,K$117),2)</f>
        <v>0</v>
      </c>
      <c r="V421" s="57">
        <f>ROUND(Dot_ex($D421,$E421,$F421,$G421,$H421,$I421,$L421+SUM($N421:U421),L$115,L$117,L$117),2)</f>
        <v>0</v>
      </c>
      <c r="W421" s="57">
        <f>ROUND(Dot_ex($D421,$E421,$F421,$G421,$H421,$I421,$L421+SUM($N421:V421),M$115,M$117,M$117),2)</f>
        <v>0</v>
      </c>
    </row>
    <row r="422" spans="1:23" x14ac:dyDescent="0.2">
      <c r="A422" s="107">
        <f t="shared" ca="1" si="73"/>
        <v>156</v>
      </c>
      <c r="B422" s="1" t="s">
        <v>174</v>
      </c>
      <c r="C422" s="1" t="s">
        <v>265</v>
      </c>
      <c r="D422" s="77">
        <v>37202</v>
      </c>
      <c r="E422" s="77">
        <v>37202</v>
      </c>
      <c r="F422" s="77"/>
      <c r="G422" s="8">
        <v>1829.39</v>
      </c>
      <c r="H422" s="1" t="s">
        <v>8</v>
      </c>
      <c r="I422" s="78">
        <v>5</v>
      </c>
      <c r="J422" s="8">
        <v>1829.39</v>
      </c>
      <c r="K422" s="8">
        <f t="shared" si="74"/>
        <v>0</v>
      </c>
      <c r="L422" s="8">
        <f t="shared" si="75"/>
        <v>1829.39</v>
      </c>
      <c r="M422" s="57">
        <f t="shared" si="76"/>
        <v>0</v>
      </c>
      <c r="N422" s="41">
        <f t="shared" si="77"/>
        <v>0</v>
      </c>
      <c r="O422" s="41">
        <f>ROUND(Dot_ex($D422,$E422,$F422,$G422,$H422,$I422,$L422+SUM($N422:N422),E$115,E$117,E$117),2)</f>
        <v>0</v>
      </c>
      <c r="P422" s="41">
        <f>ROUND(Dot_ex($D422,$E422,$F422,$G422,$H422,$I422,$L422+SUM($N422:O422),F$115,F$117,F$117),2)</f>
        <v>0</v>
      </c>
      <c r="Q422" s="41">
        <f>ROUND(Dot_ex($D422,$E422,$F422,$G422,$H422,$I422,$L422+SUM($N422:P422),G$115,G$117,G$117),2)</f>
        <v>0</v>
      </c>
      <c r="R422" s="57">
        <f>ROUND(Dot_ex($D422,$E422,$F422,$G422,$H422,$I422,$L422+SUM($N422:Q422),H$115,H$117,H$117),2)</f>
        <v>0</v>
      </c>
      <c r="S422" s="57">
        <f>ROUND(Dot_ex($D422,$E422,$F422,$G422,$H422,$I422,$L422+SUM($N422:R422),I$115,I$117,I$117),2)</f>
        <v>0</v>
      </c>
      <c r="T422" s="57">
        <f>ROUND(Dot_ex($D422,$E422,$F422,$G422,$H422,$I422,$L422+SUM($N422:S422),J$115,J$117,J$117),2)</f>
        <v>0</v>
      </c>
      <c r="U422" s="57">
        <f>ROUND(Dot_ex($D422,$E422,$F422,$G422,$H422,$I422,$L422+SUM($N422:T422),K$115,K$117,K$117),2)</f>
        <v>0</v>
      </c>
      <c r="V422" s="57">
        <f>ROUND(Dot_ex($D422,$E422,$F422,$G422,$H422,$I422,$L422+SUM($N422:U422),L$115,L$117,L$117),2)</f>
        <v>0</v>
      </c>
      <c r="W422" s="57">
        <f>ROUND(Dot_ex($D422,$E422,$F422,$G422,$H422,$I422,$L422+SUM($N422:V422),M$115,M$117,M$117),2)</f>
        <v>0</v>
      </c>
    </row>
    <row r="423" spans="1:23" x14ac:dyDescent="0.2">
      <c r="A423" s="107">
        <f t="shared" ca="1" si="73"/>
        <v>157</v>
      </c>
      <c r="B423" s="1" t="s">
        <v>195</v>
      </c>
      <c r="C423" s="1" t="s">
        <v>265</v>
      </c>
      <c r="D423" s="77">
        <v>37333</v>
      </c>
      <c r="E423" s="77">
        <v>37333</v>
      </c>
      <c r="F423" s="77"/>
      <c r="G423" s="8">
        <v>493.65</v>
      </c>
      <c r="H423" s="1" t="s">
        <v>8</v>
      </c>
      <c r="I423" s="78">
        <v>10</v>
      </c>
      <c r="J423" s="8">
        <v>458.53</v>
      </c>
      <c r="K423" s="8">
        <f t="shared" si="74"/>
        <v>35.119999999999997</v>
      </c>
      <c r="L423" s="8">
        <f t="shared" si="75"/>
        <v>493.65</v>
      </c>
      <c r="M423" s="57">
        <f t="shared" si="76"/>
        <v>0</v>
      </c>
      <c r="N423" s="41">
        <f t="shared" si="77"/>
        <v>0</v>
      </c>
      <c r="O423" s="41">
        <f>ROUND(Dot_ex($D423,$E423,$F423,$G423,$H423,$I423,$L423+SUM($N423:N423),E$115,E$117,E$117),2)</f>
        <v>0</v>
      </c>
      <c r="P423" s="41">
        <f>ROUND(Dot_ex($D423,$E423,$F423,$G423,$H423,$I423,$L423+SUM($N423:O423),F$115,F$117,F$117),2)</f>
        <v>0</v>
      </c>
      <c r="Q423" s="41">
        <f>ROUND(Dot_ex($D423,$E423,$F423,$G423,$H423,$I423,$L423+SUM($N423:P423),G$115,G$117,G$117),2)</f>
        <v>0</v>
      </c>
      <c r="R423" s="57">
        <f>ROUND(Dot_ex($D423,$E423,$F423,$G423,$H423,$I423,$L423+SUM($N423:Q423),H$115,H$117,H$117),2)</f>
        <v>0</v>
      </c>
      <c r="S423" s="57">
        <f>ROUND(Dot_ex($D423,$E423,$F423,$G423,$H423,$I423,$L423+SUM($N423:R423),I$115,I$117,I$117),2)</f>
        <v>0</v>
      </c>
      <c r="T423" s="57">
        <f>ROUND(Dot_ex($D423,$E423,$F423,$G423,$H423,$I423,$L423+SUM($N423:S423),J$115,J$117,J$117),2)</f>
        <v>0</v>
      </c>
      <c r="U423" s="57">
        <f>ROUND(Dot_ex($D423,$E423,$F423,$G423,$H423,$I423,$L423+SUM($N423:T423),K$115,K$117,K$117),2)</f>
        <v>0</v>
      </c>
      <c r="V423" s="57">
        <f>ROUND(Dot_ex($D423,$E423,$F423,$G423,$H423,$I423,$L423+SUM($N423:U423),L$115,L$117,L$117),2)</f>
        <v>0</v>
      </c>
      <c r="W423" s="57">
        <f>ROUND(Dot_ex($D423,$E423,$F423,$G423,$H423,$I423,$L423+SUM($N423:V423),M$115,M$117,M$117),2)</f>
        <v>0</v>
      </c>
    </row>
    <row r="424" spans="1:23" x14ac:dyDescent="0.2">
      <c r="A424" s="107">
        <f t="shared" ca="1" si="73"/>
        <v>158</v>
      </c>
      <c r="B424" s="1" t="s">
        <v>196</v>
      </c>
      <c r="C424" s="1" t="s">
        <v>265</v>
      </c>
      <c r="D424" s="77">
        <v>37335</v>
      </c>
      <c r="E424" s="77">
        <v>37335</v>
      </c>
      <c r="F424" s="77"/>
      <c r="G424" s="8">
        <v>492.79</v>
      </c>
      <c r="H424" s="1" t="s">
        <v>8</v>
      </c>
      <c r="I424" s="78">
        <v>10</v>
      </c>
      <c r="J424" s="8">
        <v>457.43</v>
      </c>
      <c r="K424" s="8">
        <f t="shared" si="74"/>
        <v>35.36</v>
      </c>
      <c r="L424" s="8">
        <f t="shared" si="75"/>
        <v>492.79</v>
      </c>
      <c r="M424" s="57">
        <f t="shared" si="76"/>
        <v>0</v>
      </c>
      <c r="N424" s="41">
        <f t="shared" si="77"/>
        <v>0</v>
      </c>
      <c r="O424" s="41">
        <f>ROUND(Dot_ex($D424,$E424,$F424,$G424,$H424,$I424,$L424+SUM($N424:N424),E$115,E$117,E$117),2)</f>
        <v>0</v>
      </c>
      <c r="P424" s="41">
        <f>ROUND(Dot_ex($D424,$E424,$F424,$G424,$H424,$I424,$L424+SUM($N424:O424),F$115,F$117,F$117),2)</f>
        <v>0</v>
      </c>
      <c r="Q424" s="41">
        <f>ROUND(Dot_ex($D424,$E424,$F424,$G424,$H424,$I424,$L424+SUM($N424:P424),G$115,G$117,G$117),2)</f>
        <v>0</v>
      </c>
      <c r="R424" s="57">
        <f>ROUND(Dot_ex($D424,$E424,$F424,$G424,$H424,$I424,$L424+SUM($N424:Q424),H$115,H$117,H$117),2)</f>
        <v>0</v>
      </c>
      <c r="S424" s="57">
        <f>ROUND(Dot_ex($D424,$E424,$F424,$G424,$H424,$I424,$L424+SUM($N424:R424),I$115,I$117,I$117),2)</f>
        <v>0</v>
      </c>
      <c r="T424" s="57">
        <f>ROUND(Dot_ex($D424,$E424,$F424,$G424,$H424,$I424,$L424+SUM($N424:S424),J$115,J$117,J$117),2)</f>
        <v>0</v>
      </c>
      <c r="U424" s="57">
        <f>ROUND(Dot_ex($D424,$E424,$F424,$G424,$H424,$I424,$L424+SUM($N424:T424),K$115,K$117,K$117),2)</f>
        <v>0</v>
      </c>
      <c r="V424" s="57">
        <f>ROUND(Dot_ex($D424,$E424,$F424,$G424,$H424,$I424,$L424+SUM($N424:U424),L$115,L$117,L$117),2)</f>
        <v>0</v>
      </c>
      <c r="W424" s="57">
        <f>ROUND(Dot_ex($D424,$E424,$F424,$G424,$H424,$I424,$L424+SUM($N424:V424),M$115,M$117,M$117),2)</f>
        <v>0</v>
      </c>
    </row>
    <row r="425" spans="1:23" x14ac:dyDescent="0.2">
      <c r="A425" s="107">
        <f t="shared" ca="1" si="73"/>
        <v>159</v>
      </c>
      <c r="B425" s="1" t="s">
        <v>197</v>
      </c>
      <c r="C425" s="1" t="s">
        <v>265</v>
      </c>
      <c r="D425" s="77">
        <v>37358</v>
      </c>
      <c r="E425" s="77">
        <v>37358</v>
      </c>
      <c r="F425" s="77"/>
      <c r="G425" s="8">
        <v>194.03</v>
      </c>
      <c r="H425" s="1" t="s">
        <v>8</v>
      </c>
      <c r="I425" s="78">
        <v>10</v>
      </c>
      <c r="J425" s="8">
        <v>178.85</v>
      </c>
      <c r="K425" s="8">
        <f t="shared" si="74"/>
        <v>15.18</v>
      </c>
      <c r="L425" s="8">
        <f t="shared" si="75"/>
        <v>194.03</v>
      </c>
      <c r="M425" s="57">
        <f t="shared" si="76"/>
        <v>0</v>
      </c>
      <c r="N425" s="41">
        <f t="shared" si="77"/>
        <v>0</v>
      </c>
      <c r="O425" s="41">
        <f>ROUND(Dot_ex($D425,$E425,$F425,$G425,$H425,$I425,$L425+SUM($N425:N425),E$115,E$117,E$117),2)</f>
        <v>0</v>
      </c>
      <c r="P425" s="41">
        <f>ROUND(Dot_ex($D425,$E425,$F425,$G425,$H425,$I425,$L425+SUM($N425:O425),F$115,F$117,F$117),2)</f>
        <v>0</v>
      </c>
      <c r="Q425" s="41">
        <f>ROUND(Dot_ex($D425,$E425,$F425,$G425,$H425,$I425,$L425+SUM($N425:P425),G$115,G$117,G$117),2)</f>
        <v>0</v>
      </c>
      <c r="R425" s="57">
        <f>ROUND(Dot_ex($D425,$E425,$F425,$G425,$H425,$I425,$L425+SUM($N425:Q425),H$115,H$117,H$117),2)</f>
        <v>0</v>
      </c>
      <c r="S425" s="57">
        <f>ROUND(Dot_ex($D425,$E425,$F425,$G425,$H425,$I425,$L425+SUM($N425:R425),I$115,I$117,I$117),2)</f>
        <v>0</v>
      </c>
      <c r="T425" s="57">
        <f>ROUND(Dot_ex($D425,$E425,$F425,$G425,$H425,$I425,$L425+SUM($N425:S425),J$115,J$117,J$117),2)</f>
        <v>0</v>
      </c>
      <c r="U425" s="57">
        <f>ROUND(Dot_ex($D425,$E425,$F425,$G425,$H425,$I425,$L425+SUM($N425:T425),K$115,K$117,K$117),2)</f>
        <v>0</v>
      </c>
      <c r="V425" s="57">
        <f>ROUND(Dot_ex($D425,$E425,$F425,$G425,$H425,$I425,$L425+SUM($N425:U425),L$115,L$117,L$117),2)</f>
        <v>0</v>
      </c>
      <c r="W425" s="57">
        <f>ROUND(Dot_ex($D425,$E425,$F425,$G425,$H425,$I425,$L425+SUM($N425:V425),M$115,M$117,M$117),2)</f>
        <v>0</v>
      </c>
    </row>
    <row r="426" spans="1:23" x14ac:dyDescent="0.2">
      <c r="A426" s="107">
        <f t="shared" ca="1" si="73"/>
        <v>160</v>
      </c>
      <c r="B426" s="1" t="s">
        <v>198</v>
      </c>
      <c r="C426" s="1" t="s">
        <v>265</v>
      </c>
      <c r="D426" s="77">
        <v>37312</v>
      </c>
      <c r="E426" s="77">
        <v>37312</v>
      </c>
      <c r="F426" s="77"/>
      <c r="G426" s="8">
        <v>706.66</v>
      </c>
      <c r="H426" s="1" t="s">
        <v>8</v>
      </c>
      <c r="I426" s="78">
        <v>10</v>
      </c>
      <c r="J426" s="8">
        <v>660.42</v>
      </c>
      <c r="K426" s="8">
        <f t="shared" si="74"/>
        <v>46.24</v>
      </c>
      <c r="L426" s="8">
        <f t="shared" si="75"/>
        <v>706.66</v>
      </c>
      <c r="M426" s="57">
        <f t="shared" si="76"/>
        <v>0</v>
      </c>
      <c r="N426" s="41">
        <f t="shared" si="77"/>
        <v>0</v>
      </c>
      <c r="O426" s="41">
        <f>ROUND(Dot_ex($D426,$E426,$F426,$G426,$H426,$I426,$L426+SUM($N426:N426),E$115,E$117,E$117),2)</f>
        <v>0</v>
      </c>
      <c r="P426" s="41">
        <f>ROUND(Dot_ex($D426,$E426,$F426,$G426,$H426,$I426,$L426+SUM($N426:O426),F$115,F$117,F$117),2)</f>
        <v>0</v>
      </c>
      <c r="Q426" s="41">
        <f>ROUND(Dot_ex($D426,$E426,$F426,$G426,$H426,$I426,$L426+SUM($N426:P426),G$115,G$117,G$117),2)</f>
        <v>0</v>
      </c>
      <c r="R426" s="57">
        <f>ROUND(Dot_ex($D426,$E426,$F426,$G426,$H426,$I426,$L426+SUM($N426:Q426),H$115,H$117,H$117),2)</f>
        <v>0</v>
      </c>
      <c r="S426" s="57">
        <f>ROUND(Dot_ex($D426,$E426,$F426,$G426,$H426,$I426,$L426+SUM($N426:R426),I$115,I$117,I$117),2)</f>
        <v>0</v>
      </c>
      <c r="T426" s="57">
        <f>ROUND(Dot_ex($D426,$E426,$F426,$G426,$H426,$I426,$L426+SUM($N426:S426),J$115,J$117,J$117),2)</f>
        <v>0</v>
      </c>
      <c r="U426" s="57">
        <f>ROUND(Dot_ex($D426,$E426,$F426,$G426,$H426,$I426,$L426+SUM($N426:T426),K$115,K$117,K$117),2)</f>
        <v>0</v>
      </c>
      <c r="V426" s="57">
        <f>ROUND(Dot_ex($D426,$E426,$F426,$G426,$H426,$I426,$L426+SUM($N426:U426),L$115,L$117,L$117),2)</f>
        <v>0</v>
      </c>
      <c r="W426" s="57">
        <f>ROUND(Dot_ex($D426,$E426,$F426,$G426,$H426,$I426,$L426+SUM($N426:V426),M$115,M$117,M$117),2)</f>
        <v>0</v>
      </c>
    </row>
    <row r="427" spans="1:23" x14ac:dyDescent="0.2">
      <c r="A427" s="107">
        <f t="shared" ca="1" si="73"/>
        <v>161</v>
      </c>
      <c r="B427" s="1" t="s">
        <v>199</v>
      </c>
      <c r="C427" s="1" t="s">
        <v>265</v>
      </c>
      <c r="D427" s="77">
        <v>37312</v>
      </c>
      <c r="E427" s="77">
        <v>37312</v>
      </c>
      <c r="F427" s="77"/>
      <c r="G427" s="8">
        <v>5827.63</v>
      </c>
      <c r="H427" s="1" t="s">
        <v>8</v>
      </c>
      <c r="I427" s="78">
        <v>10</v>
      </c>
      <c r="J427" s="8">
        <v>5446.01</v>
      </c>
      <c r="K427" s="8">
        <f t="shared" si="74"/>
        <v>381.62</v>
      </c>
      <c r="L427" s="8">
        <f t="shared" si="75"/>
        <v>5827.63</v>
      </c>
      <c r="M427" s="57">
        <f t="shared" si="76"/>
        <v>0</v>
      </c>
      <c r="N427" s="41">
        <f t="shared" si="77"/>
        <v>0</v>
      </c>
      <c r="O427" s="41">
        <f>ROUND(Dot_ex($D427,$E427,$F427,$G427,$H427,$I427,$L427+SUM($N427:N427),E$115,E$117,E$117),2)</f>
        <v>0</v>
      </c>
      <c r="P427" s="41">
        <f>ROUND(Dot_ex($D427,$E427,$F427,$G427,$H427,$I427,$L427+SUM($N427:O427),F$115,F$117,F$117),2)</f>
        <v>0</v>
      </c>
      <c r="Q427" s="41">
        <f>ROUND(Dot_ex($D427,$E427,$F427,$G427,$H427,$I427,$L427+SUM($N427:P427),G$115,G$117,G$117),2)</f>
        <v>0</v>
      </c>
      <c r="R427" s="57">
        <f>ROUND(Dot_ex($D427,$E427,$F427,$G427,$H427,$I427,$L427+SUM($N427:Q427),H$115,H$117,H$117),2)</f>
        <v>0</v>
      </c>
      <c r="S427" s="57">
        <f>ROUND(Dot_ex($D427,$E427,$F427,$G427,$H427,$I427,$L427+SUM($N427:R427),I$115,I$117,I$117),2)</f>
        <v>0</v>
      </c>
      <c r="T427" s="57">
        <f>ROUND(Dot_ex($D427,$E427,$F427,$G427,$H427,$I427,$L427+SUM($N427:S427),J$115,J$117,J$117),2)</f>
        <v>0</v>
      </c>
      <c r="U427" s="57">
        <f>ROUND(Dot_ex($D427,$E427,$F427,$G427,$H427,$I427,$L427+SUM($N427:T427),K$115,K$117,K$117),2)</f>
        <v>0</v>
      </c>
      <c r="V427" s="57">
        <f>ROUND(Dot_ex($D427,$E427,$F427,$G427,$H427,$I427,$L427+SUM($N427:U427),L$115,L$117,L$117),2)</f>
        <v>0</v>
      </c>
      <c r="W427" s="57">
        <f>ROUND(Dot_ex($D427,$E427,$F427,$G427,$H427,$I427,$L427+SUM($N427:V427),M$115,M$117,M$117),2)</f>
        <v>0</v>
      </c>
    </row>
    <row r="428" spans="1:23" x14ac:dyDescent="0.2">
      <c r="A428" s="107">
        <f t="shared" ca="1" si="73"/>
        <v>162</v>
      </c>
      <c r="B428" s="1" t="s">
        <v>200</v>
      </c>
      <c r="C428" s="1" t="s">
        <v>265</v>
      </c>
      <c r="D428" s="77">
        <v>37345</v>
      </c>
      <c r="E428" s="77">
        <v>37345</v>
      </c>
      <c r="F428" s="77"/>
      <c r="G428" s="8">
        <v>1755.85</v>
      </c>
      <c r="H428" s="1" t="s">
        <v>8</v>
      </c>
      <c r="I428" s="78">
        <v>10</v>
      </c>
      <c r="J428" s="8">
        <v>1625.05</v>
      </c>
      <c r="K428" s="8">
        <f t="shared" si="74"/>
        <v>130.80000000000001</v>
      </c>
      <c r="L428" s="8">
        <f t="shared" si="75"/>
        <v>1755.85</v>
      </c>
      <c r="M428" s="57">
        <f t="shared" si="76"/>
        <v>0</v>
      </c>
      <c r="N428" s="41">
        <f t="shared" si="77"/>
        <v>0</v>
      </c>
      <c r="O428" s="41">
        <f>ROUND(Dot_ex($D428,$E428,$F428,$G428,$H428,$I428,$L428+SUM($N428:N428),E$115,E$117,E$117),2)</f>
        <v>0</v>
      </c>
      <c r="P428" s="41">
        <f>ROUND(Dot_ex($D428,$E428,$F428,$G428,$H428,$I428,$L428+SUM($N428:O428),F$115,F$117,F$117),2)</f>
        <v>0</v>
      </c>
      <c r="Q428" s="41">
        <f>ROUND(Dot_ex($D428,$E428,$F428,$G428,$H428,$I428,$L428+SUM($N428:P428),G$115,G$117,G$117),2)</f>
        <v>0</v>
      </c>
      <c r="R428" s="57">
        <f>ROUND(Dot_ex($D428,$E428,$F428,$G428,$H428,$I428,$L428+SUM($N428:Q428),H$115,H$117,H$117),2)</f>
        <v>0</v>
      </c>
      <c r="S428" s="57">
        <f>ROUND(Dot_ex($D428,$E428,$F428,$G428,$H428,$I428,$L428+SUM($N428:R428),I$115,I$117,I$117),2)</f>
        <v>0</v>
      </c>
      <c r="T428" s="57">
        <f>ROUND(Dot_ex($D428,$E428,$F428,$G428,$H428,$I428,$L428+SUM($N428:S428),J$115,J$117,J$117),2)</f>
        <v>0</v>
      </c>
      <c r="U428" s="57">
        <f>ROUND(Dot_ex($D428,$E428,$F428,$G428,$H428,$I428,$L428+SUM($N428:T428),K$115,K$117,K$117),2)</f>
        <v>0</v>
      </c>
      <c r="V428" s="57">
        <f>ROUND(Dot_ex($D428,$E428,$F428,$G428,$H428,$I428,$L428+SUM($N428:U428),L$115,L$117,L$117),2)</f>
        <v>0</v>
      </c>
      <c r="W428" s="57">
        <f>ROUND(Dot_ex($D428,$E428,$F428,$G428,$H428,$I428,$L428+SUM($N428:V428),M$115,M$117,M$117),2)</f>
        <v>0</v>
      </c>
    </row>
    <row r="429" spans="1:23" x14ac:dyDescent="0.2">
      <c r="A429" s="107">
        <f t="shared" ca="1" si="73"/>
        <v>163</v>
      </c>
      <c r="B429" s="1" t="s">
        <v>230</v>
      </c>
      <c r="C429" s="1" t="s">
        <v>265</v>
      </c>
      <c r="D429" s="77">
        <v>37779</v>
      </c>
      <c r="E429" s="77">
        <v>37779</v>
      </c>
      <c r="F429" s="77"/>
      <c r="G429" s="8">
        <v>479.93</v>
      </c>
      <c r="H429" s="1" t="s">
        <v>8</v>
      </c>
      <c r="I429" s="78">
        <v>10</v>
      </c>
      <c r="J429" s="8">
        <v>387.08</v>
      </c>
      <c r="K429" s="8">
        <f t="shared" si="74"/>
        <v>47.99</v>
      </c>
      <c r="L429" s="8">
        <f t="shared" si="75"/>
        <v>435.07</v>
      </c>
      <c r="M429" s="57">
        <f t="shared" si="76"/>
        <v>44.860000000000014</v>
      </c>
      <c r="N429" s="41">
        <f t="shared" si="77"/>
        <v>44.86</v>
      </c>
      <c r="O429" s="41">
        <f>ROUND(Dot_ex($D429,$E429,$F429,$G429,$H429,$I429,$L429+SUM($N429:N429),E$115,E$117,E$117),2)</f>
        <v>0</v>
      </c>
      <c r="P429" s="41">
        <f>ROUND(Dot_ex($D429,$E429,$F429,$G429,$H429,$I429,$L429+SUM($N429:O429),F$115,F$117,F$117),2)</f>
        <v>0</v>
      </c>
      <c r="Q429" s="41">
        <f>ROUND(Dot_ex($D429,$E429,$F429,$G429,$H429,$I429,$L429+SUM($N429:P429),G$115,G$117,G$117),2)</f>
        <v>0</v>
      </c>
      <c r="R429" s="57">
        <f>ROUND(Dot_ex($D429,$E429,$F429,$G429,$H429,$I429,$L429+SUM($N429:Q429),H$115,H$117,H$117),2)</f>
        <v>0</v>
      </c>
      <c r="S429" s="57">
        <f>ROUND(Dot_ex($D429,$E429,$F429,$G429,$H429,$I429,$L429+SUM($N429:R429),I$115,I$117,I$117),2)</f>
        <v>0</v>
      </c>
      <c r="T429" s="57">
        <f>ROUND(Dot_ex($D429,$E429,$F429,$G429,$H429,$I429,$L429+SUM($N429:S429),J$115,J$117,J$117),2)</f>
        <v>0</v>
      </c>
      <c r="U429" s="57">
        <f>ROUND(Dot_ex($D429,$E429,$F429,$G429,$H429,$I429,$L429+SUM($N429:T429),K$115,K$117,K$117),2)</f>
        <v>0</v>
      </c>
      <c r="V429" s="57">
        <f>ROUND(Dot_ex($D429,$E429,$F429,$G429,$H429,$I429,$L429+SUM($N429:U429),L$115,L$117,L$117),2)</f>
        <v>0</v>
      </c>
      <c r="W429" s="57">
        <f>ROUND(Dot_ex($D429,$E429,$F429,$G429,$H429,$I429,$L429+SUM($N429:V429),M$115,M$117,M$117),2)</f>
        <v>0</v>
      </c>
    </row>
    <row r="430" spans="1:23" x14ac:dyDescent="0.2">
      <c r="A430" s="107">
        <f t="shared" ca="1" si="73"/>
        <v>164</v>
      </c>
      <c r="B430" s="1" t="s">
        <v>230</v>
      </c>
      <c r="C430" s="1" t="s">
        <v>265</v>
      </c>
      <c r="D430" s="77">
        <v>37832</v>
      </c>
      <c r="E430" s="77">
        <v>37832</v>
      </c>
      <c r="F430" s="77"/>
      <c r="G430" s="8">
        <v>459.87</v>
      </c>
      <c r="H430" s="1" t="s">
        <v>8</v>
      </c>
      <c r="I430" s="78">
        <v>10</v>
      </c>
      <c r="J430" s="8">
        <v>364.27</v>
      </c>
      <c r="K430" s="8">
        <f t="shared" si="74"/>
        <v>45.99</v>
      </c>
      <c r="L430" s="8">
        <f t="shared" si="75"/>
        <v>410.26</v>
      </c>
      <c r="M430" s="57">
        <f t="shared" si="76"/>
        <v>49.610000000000014</v>
      </c>
      <c r="N430" s="41">
        <f t="shared" si="77"/>
        <v>45.99</v>
      </c>
      <c r="O430" s="41">
        <f>ROUND(Dot_ex($D430,$E430,$F430,$G430,$H430,$I430,$L430+SUM($N430:N430),E$115,E$117,E$117),2)</f>
        <v>3.62</v>
      </c>
      <c r="P430" s="41">
        <f>ROUND(Dot_ex($D430,$E430,$F430,$G430,$H430,$I430,$L430+SUM($N430:O430),F$115,F$117,F$117),2)</f>
        <v>0</v>
      </c>
      <c r="Q430" s="41">
        <f>ROUND(Dot_ex($D430,$E430,$F430,$G430,$H430,$I430,$L430+SUM($N430:P430),G$115,G$117,G$117),2)</f>
        <v>0</v>
      </c>
      <c r="R430" s="57">
        <f>ROUND(Dot_ex($D430,$E430,$F430,$G430,$H430,$I430,$L430+SUM($N430:Q430),H$115,H$117,H$117),2)</f>
        <v>0</v>
      </c>
      <c r="S430" s="57">
        <f>ROUND(Dot_ex($D430,$E430,$F430,$G430,$H430,$I430,$L430+SUM($N430:R430),I$115,I$117,I$117),2)</f>
        <v>0</v>
      </c>
      <c r="T430" s="57">
        <f>ROUND(Dot_ex($D430,$E430,$F430,$G430,$H430,$I430,$L430+SUM($N430:S430),J$115,J$117,J$117),2)</f>
        <v>0</v>
      </c>
      <c r="U430" s="57">
        <f>ROUND(Dot_ex($D430,$E430,$F430,$G430,$H430,$I430,$L430+SUM($N430:T430),K$115,K$117,K$117),2)</f>
        <v>0</v>
      </c>
      <c r="V430" s="57">
        <f>ROUND(Dot_ex($D430,$E430,$F430,$G430,$H430,$I430,$L430+SUM($N430:U430),L$115,L$117,L$117),2)</f>
        <v>0</v>
      </c>
      <c r="W430" s="57">
        <f>ROUND(Dot_ex($D430,$E430,$F430,$G430,$H430,$I430,$L430+SUM($N430:V430),M$115,M$117,M$117),2)</f>
        <v>0</v>
      </c>
    </row>
    <row r="431" spans="1:23" x14ac:dyDescent="0.2">
      <c r="A431" s="107">
        <f t="shared" ca="1" si="73"/>
        <v>165</v>
      </c>
      <c r="B431" s="1" t="s">
        <v>230</v>
      </c>
      <c r="C431" s="1" t="s">
        <v>265</v>
      </c>
      <c r="D431" s="77">
        <v>37852</v>
      </c>
      <c r="E431" s="77">
        <v>37852</v>
      </c>
      <c r="F431" s="77"/>
      <c r="G431" s="8">
        <v>351.17</v>
      </c>
      <c r="H431" s="1" t="s">
        <v>8</v>
      </c>
      <c r="I431" s="78">
        <v>10</v>
      </c>
      <c r="J431" s="8">
        <v>276.26</v>
      </c>
      <c r="K431" s="8">
        <f t="shared" si="74"/>
        <v>35.119999999999997</v>
      </c>
      <c r="L431" s="8">
        <f t="shared" si="75"/>
        <v>311.38</v>
      </c>
      <c r="M431" s="57">
        <f t="shared" si="76"/>
        <v>39.79000000000002</v>
      </c>
      <c r="N431" s="41">
        <f t="shared" si="77"/>
        <v>35.119999999999997</v>
      </c>
      <c r="O431" s="41">
        <f>ROUND(Dot_ex($D431,$E431,$F431,$G431,$H431,$I431,$L431+SUM($N431:N431),E$115,E$117,E$117),2)</f>
        <v>4.67</v>
      </c>
      <c r="P431" s="41">
        <f>ROUND(Dot_ex($D431,$E431,$F431,$G431,$H431,$I431,$L431+SUM($N431:O431),F$115,F$117,F$117),2)</f>
        <v>0</v>
      </c>
      <c r="Q431" s="41">
        <f>ROUND(Dot_ex($D431,$E431,$F431,$G431,$H431,$I431,$L431+SUM($N431:P431),G$115,G$117,G$117),2)</f>
        <v>0</v>
      </c>
      <c r="R431" s="57">
        <f>ROUND(Dot_ex($D431,$E431,$F431,$G431,$H431,$I431,$L431+SUM($N431:Q431),H$115,H$117,H$117),2)</f>
        <v>0</v>
      </c>
      <c r="S431" s="57">
        <f>ROUND(Dot_ex($D431,$E431,$F431,$G431,$H431,$I431,$L431+SUM($N431:R431),I$115,I$117,I$117),2)</f>
        <v>0</v>
      </c>
      <c r="T431" s="57">
        <f>ROUND(Dot_ex($D431,$E431,$F431,$G431,$H431,$I431,$L431+SUM($N431:S431),J$115,J$117,J$117),2)</f>
        <v>0</v>
      </c>
      <c r="U431" s="57">
        <f>ROUND(Dot_ex($D431,$E431,$F431,$G431,$H431,$I431,$L431+SUM($N431:T431),K$115,K$117,K$117),2)</f>
        <v>0</v>
      </c>
      <c r="V431" s="57">
        <f>ROUND(Dot_ex($D431,$E431,$F431,$G431,$H431,$I431,$L431+SUM($N431:U431),L$115,L$117,L$117),2)</f>
        <v>0</v>
      </c>
      <c r="W431" s="57">
        <f>ROUND(Dot_ex($D431,$E431,$F431,$G431,$H431,$I431,$L431+SUM($N431:V431),M$115,M$117,M$117),2)</f>
        <v>0</v>
      </c>
    </row>
    <row r="432" spans="1:23" x14ac:dyDescent="0.2">
      <c r="A432" s="101"/>
      <c r="H432" s="1"/>
      <c r="I432" s="1"/>
      <c r="J432" s="8"/>
      <c r="K432" s="8"/>
      <c r="M432" s="14"/>
      <c r="N432" s="41"/>
      <c r="O432" s="41"/>
      <c r="P432" s="41"/>
      <c r="Q432" s="41"/>
      <c r="R432" s="57"/>
      <c r="S432" s="57"/>
      <c r="T432" s="57"/>
      <c r="U432" s="57"/>
      <c r="V432" s="57"/>
      <c r="W432" s="57"/>
    </row>
    <row r="433" spans="1:23" x14ac:dyDescent="0.2">
      <c r="A433" s="101"/>
      <c r="E433" s="94" t="s">
        <v>14</v>
      </c>
      <c r="F433" s="95"/>
      <c r="G433" s="96">
        <f>SUM(G416:G432)</f>
        <v>17131.650000000001</v>
      </c>
      <c r="H433" s="94"/>
      <c r="I433" s="97"/>
      <c r="J433" s="96">
        <f t="shared" ref="J433:R433" si="78">SUM(J416:J432)</f>
        <v>16223.970000000001</v>
      </c>
      <c r="K433" s="96">
        <f t="shared" si="78"/>
        <v>773.42</v>
      </c>
      <c r="L433" s="96">
        <f t="shared" si="78"/>
        <v>16997.390000000003</v>
      </c>
      <c r="M433" s="203">
        <f t="shared" si="78"/>
        <v>134.26000000000005</v>
      </c>
      <c r="N433" s="202">
        <f t="shared" si="78"/>
        <v>125.97</v>
      </c>
      <c r="O433" s="202">
        <f t="shared" si="78"/>
        <v>8.2899999999999991</v>
      </c>
      <c r="P433" s="202">
        <f t="shared" si="78"/>
        <v>0</v>
      </c>
      <c r="Q433" s="202">
        <f t="shared" si="78"/>
        <v>0</v>
      </c>
      <c r="R433" s="203">
        <f t="shared" si="78"/>
        <v>0</v>
      </c>
      <c r="S433" s="203">
        <f>SUM(S416:S432)</f>
        <v>0</v>
      </c>
      <c r="T433" s="203">
        <f>SUM(T416:T432)</f>
        <v>0</v>
      </c>
      <c r="U433" s="203">
        <f>SUM(U416:U432)</f>
        <v>0</v>
      </c>
      <c r="V433" s="203">
        <f>SUM(V416:V432)</f>
        <v>0</v>
      </c>
      <c r="W433" s="203">
        <f>SUM(W416:W432)</f>
        <v>0</v>
      </c>
    </row>
    <row r="434" spans="1:23" x14ac:dyDescent="0.2">
      <c r="A434" s="101"/>
      <c r="E434" s="94"/>
      <c r="F434" s="95"/>
      <c r="G434" s="96"/>
      <c r="H434" s="94"/>
      <c r="I434" s="97"/>
      <c r="J434" s="96"/>
      <c r="K434" s="96"/>
      <c r="L434" s="96"/>
      <c r="M434" s="203"/>
      <c r="N434" s="41"/>
      <c r="O434" s="41"/>
      <c r="P434" s="41"/>
      <c r="Q434" s="41"/>
      <c r="R434" s="57"/>
      <c r="S434" s="57"/>
      <c r="T434" s="57"/>
      <c r="U434" s="57"/>
      <c r="V434" s="57"/>
      <c r="W434" s="57"/>
    </row>
    <row r="435" spans="1:23" x14ac:dyDescent="0.2">
      <c r="A435" s="101"/>
      <c r="E435" s="1" t="s">
        <v>23</v>
      </c>
      <c r="G435" s="8">
        <f>SUMIF($D416:$D432,"&lt;"&amp;TEXT($G$6,"jj/mm/aa"),G$416:G$432)</f>
        <v>17131.650000000001</v>
      </c>
      <c r="H435" s="1"/>
      <c r="I435" s="78"/>
      <c r="J435" s="8">
        <f>SUMIF($D416:$D432,"&lt;"&amp;TEXT($G$6,"jj/mm/aa"),J$416:J$432)</f>
        <v>16223.970000000001</v>
      </c>
      <c r="K435" s="8">
        <f>SUMIF($D416:$D432,"&lt;"&amp;TEXT($G$6,"jj/mm/aa"),K$416:K$432)</f>
        <v>773.42</v>
      </c>
      <c r="L435" s="8">
        <f>SUMIF($D416:$D432,"&lt;"&amp;TEXT($G$6,"jj/mm/aa"),L$416:L$432)</f>
        <v>16997.390000000003</v>
      </c>
      <c r="M435" s="57">
        <f>SUMIF($D416:$D432,"&lt;"&amp;TEXT($G$6,"jj/mm/aa"),M$416:M$432)</f>
        <v>134.26000000000005</v>
      </c>
      <c r="N435" s="41"/>
      <c r="O435" s="41"/>
      <c r="P435" s="41"/>
      <c r="Q435" s="41"/>
      <c r="R435" s="57"/>
      <c r="S435" s="57"/>
      <c r="T435" s="57"/>
      <c r="U435" s="57"/>
      <c r="V435" s="57"/>
      <c r="W435" s="57"/>
    </row>
    <row r="436" spans="1:23" x14ac:dyDescent="0.2">
      <c r="A436" s="101"/>
      <c r="E436" s="1" t="s">
        <v>38</v>
      </c>
      <c r="G436" s="8">
        <f>SUMIF($D416:$D432,"&gt;="&amp;TEXT($G$6,"jj/mm/aa"),G$416:G$432)</f>
        <v>0</v>
      </c>
      <c r="J436" s="8">
        <f>SUMIF($D416:$D432,"&gt;="&amp;TEXT($G$6,"jj/mm/aa"),J$416:J$432)</f>
        <v>0</v>
      </c>
      <c r="K436" s="8">
        <f>SUMIF($D416:$D432,"&gt;="&amp;TEXT($G$6,"jj/mm/aa"),K$416:K$432)</f>
        <v>0</v>
      </c>
      <c r="L436" s="8">
        <f>SUMIF($D416:$D432,"&gt;="&amp;TEXT($G$6,"jj/mm/aa"),L$416:L$432)</f>
        <v>0</v>
      </c>
      <c r="M436" s="57">
        <f>SUMIF($D416:$D432,"&gt;="&amp;TEXT($G$6,"jj/mm/aa"),M$416:M$432)</f>
        <v>0</v>
      </c>
      <c r="N436" s="41"/>
      <c r="O436" s="41"/>
      <c r="P436" s="41"/>
      <c r="Q436" s="41"/>
      <c r="R436" s="57"/>
      <c r="S436" s="57"/>
      <c r="T436" s="57"/>
      <c r="U436" s="57"/>
      <c r="V436" s="57"/>
      <c r="W436" s="57"/>
    </row>
    <row r="437" spans="1:23" x14ac:dyDescent="0.2">
      <c r="A437" s="101"/>
      <c r="E437" s="1" t="s">
        <v>39</v>
      </c>
      <c r="G437" s="8">
        <f>SUMIF($F416:$F432,"&gt;="&amp;TEXT($G$6,"jj/mm/aa"),G$416:G$432)</f>
        <v>0</v>
      </c>
      <c r="J437" s="8">
        <f>SUMIF($F416:$F432,"&gt;="&amp;TEXT($G$6,"jj/mm/aa"),J$416:J$432)</f>
        <v>0</v>
      </c>
      <c r="K437" s="8">
        <f>SUMIF($F416:$F432,"&gt;="&amp;TEXT($G$6,"jj/mm/aa"),K$416:K$432)</f>
        <v>0</v>
      </c>
      <c r="L437" s="8">
        <f>SUMIF($F416:$F432,"&gt;="&amp;TEXT($G$6,"jj/mm/aa"),L$416:L$432)</f>
        <v>0</v>
      </c>
      <c r="M437" s="57">
        <f>SUMIF($F416:$F432,"&gt;="&amp;TEXT($G$6,"jj/mm/aa"),M$416:M$432)</f>
        <v>0</v>
      </c>
      <c r="N437" s="41"/>
      <c r="O437" s="41"/>
      <c r="P437" s="41"/>
      <c r="Q437" s="41"/>
      <c r="R437" s="57"/>
      <c r="S437" s="57"/>
      <c r="T437" s="57"/>
      <c r="U437" s="57"/>
      <c r="V437" s="57"/>
      <c r="W437" s="57"/>
    </row>
    <row r="438" spans="1:23" x14ac:dyDescent="0.2">
      <c r="A438" s="101"/>
      <c r="E438" s="1" t="s">
        <v>15</v>
      </c>
      <c r="G438" s="8">
        <f>G435+G436-G437</f>
        <v>17131.650000000001</v>
      </c>
      <c r="J438" s="8">
        <f>J435+J436-J437</f>
        <v>16223.970000000001</v>
      </c>
      <c r="K438" s="8">
        <f>K435+K436-K437</f>
        <v>773.42</v>
      </c>
      <c r="L438" s="8">
        <f>L435+L436-L437</f>
        <v>16997.390000000003</v>
      </c>
      <c r="M438" s="57">
        <f>M435+M436-M437</f>
        <v>134.26000000000005</v>
      </c>
      <c r="N438" s="41"/>
      <c r="O438" s="41"/>
      <c r="P438" s="41"/>
      <c r="Q438" s="41"/>
      <c r="R438" s="57"/>
      <c r="S438" s="57"/>
      <c r="T438" s="57"/>
      <c r="U438" s="57"/>
      <c r="V438" s="57"/>
      <c r="W438" s="57"/>
    </row>
    <row r="439" spans="1:23" x14ac:dyDescent="0.2">
      <c r="A439" s="101"/>
      <c r="E439" s="1"/>
      <c r="G439" s="8"/>
      <c r="J439" s="8"/>
      <c r="K439" s="8"/>
      <c r="L439" s="8"/>
      <c r="M439" s="57"/>
      <c r="N439" s="41"/>
      <c r="O439" s="41"/>
      <c r="P439" s="41"/>
      <c r="Q439" s="41"/>
      <c r="R439" s="57"/>
      <c r="S439" s="57"/>
      <c r="T439" s="57"/>
      <c r="U439" s="57"/>
      <c r="V439" s="57"/>
      <c r="W439" s="57"/>
    </row>
    <row r="440" spans="1:23" x14ac:dyDescent="0.2">
      <c r="A440" s="101"/>
      <c r="E440" s="1"/>
      <c r="G440" s="8"/>
      <c r="J440" s="8"/>
      <c r="K440" s="8"/>
      <c r="L440" s="8"/>
      <c r="M440" s="57"/>
      <c r="N440" s="41"/>
      <c r="O440" s="41"/>
      <c r="P440" s="41"/>
      <c r="Q440" s="41"/>
      <c r="R440" s="57"/>
      <c r="S440" s="57"/>
      <c r="T440" s="57"/>
      <c r="U440" s="57"/>
      <c r="V440" s="57"/>
      <c r="W440" s="57"/>
    </row>
    <row r="441" spans="1:23" ht="24.95" customHeight="1" x14ac:dyDescent="0.2">
      <c r="A441" s="208" t="s">
        <v>227</v>
      </c>
      <c r="B441" s="209"/>
      <c r="C441" s="209"/>
      <c r="D441" s="209"/>
      <c r="E441" s="210"/>
      <c r="F441" s="211"/>
      <c r="G441" s="211"/>
      <c r="H441" s="211"/>
      <c r="I441" s="211"/>
      <c r="J441" s="211"/>
      <c r="K441" s="211"/>
      <c r="L441" s="211"/>
      <c r="M441" s="226"/>
      <c r="N441" s="220" t="str">
        <f>A441 &amp; "   -   Dotations prévisionnelles"</f>
        <v>275500 CAUTIONNEMENTS VERSES   -   Dotations prévisionnelles</v>
      </c>
      <c r="O441" s="212"/>
      <c r="P441" s="212"/>
      <c r="Q441" s="212"/>
      <c r="R441" s="213"/>
      <c r="S441" s="212"/>
      <c r="T441" s="212"/>
      <c r="U441" s="212"/>
      <c r="V441" s="212"/>
      <c r="W441" s="213"/>
    </row>
    <row r="442" spans="1:23" ht="12" customHeight="1" x14ac:dyDescent="0.2">
      <c r="A442" s="107">
        <f ca="1">IF(ISNUMBER(A441),A441+1,OFFSET(A442,-Nbre_Ligne_Entre_Compte,0,1,1)+1)</f>
        <v>166</v>
      </c>
      <c r="B442" s="1" t="s">
        <v>228</v>
      </c>
      <c r="C442" s="1"/>
      <c r="D442" s="77">
        <v>37477</v>
      </c>
      <c r="E442" s="77"/>
      <c r="F442" s="77"/>
      <c r="G442" s="8">
        <v>10</v>
      </c>
      <c r="H442" s="1" t="s">
        <v>16</v>
      </c>
      <c r="I442" s="78"/>
      <c r="J442" s="8"/>
      <c r="K442" s="8">
        <f>ROUND(Dot_ex(D442,E442,F442,G442,H442,I442,J442,$G$6,$I$6,$I$8),2)</f>
        <v>0</v>
      </c>
      <c r="L442" s="8">
        <f>J442+K442</f>
        <v>0</v>
      </c>
      <c r="M442" s="57">
        <f>G442-L442</f>
        <v>10</v>
      </c>
      <c r="N442" s="41">
        <f t="shared" ref="N442:N452" si="79">ROUND(Dot_ex($D442,$E442,$F442,$G442,$H442,$I442,$L442,D$115,D$117,D$117),2)</f>
        <v>0</v>
      </c>
      <c r="O442" s="41">
        <f>ROUND(Dot_ex($D442,$E442,$F442,$G442,$H442,$I442,$L442+SUM($N442:N442),E$115,E$117,E$117),2)</f>
        <v>0</v>
      </c>
      <c r="P442" s="41">
        <f>ROUND(Dot_ex($D442,$E442,$F442,$G442,$H442,$I442,$L442+SUM($N442:O442),F$115,F$117,F$117),2)</f>
        <v>0</v>
      </c>
      <c r="Q442" s="41">
        <f>ROUND(Dot_ex($D442,$E442,$F442,$G442,$H442,$I442,$L442+SUM($N442:P442),G$115,G$117,G$117),2)</f>
        <v>0</v>
      </c>
      <c r="R442" s="57">
        <f>ROUND(Dot_ex($D442,$E442,$F442,$G442,$H442,$I442,$L442+SUM($N442:Q442),H$115,H$117,H$117),2)</f>
        <v>0</v>
      </c>
      <c r="S442" s="57">
        <f>ROUND(Dot_ex($D442,$E442,$F442,$G442,$H442,$I442,$L442+SUM($N442:R442),I$115,I$117,I$117),2)</f>
        <v>0</v>
      </c>
      <c r="T442" s="57">
        <f>ROUND(Dot_ex($D442,$E442,$F442,$G442,$H442,$I442,$L442+SUM($N442:S442),J$115,J$117,J$117),2)</f>
        <v>0</v>
      </c>
      <c r="U442" s="57">
        <f>ROUND(Dot_ex($D442,$E442,$F442,$G442,$H442,$I442,$L442+SUM($N442:T442),K$115,K$117,K$117),2)</f>
        <v>0</v>
      </c>
      <c r="V442" s="57">
        <f>ROUND(Dot_ex($D442,$E442,$F442,$G442,$H442,$I442,$L442+SUM($N442:U442),L$115,L$117,L$117),2)</f>
        <v>0</v>
      </c>
      <c r="W442" s="57">
        <f>ROUND(Dot_ex($D442,$E442,$F442,$G442,$H442,$I442,$L442+SUM($N442:V442),M$115,M$117,M$117),2)</f>
        <v>0</v>
      </c>
    </row>
    <row r="443" spans="1:23" ht="12" customHeight="1" x14ac:dyDescent="0.2">
      <c r="A443" s="107">
        <f ca="1">IF(ISNUMBER(A442),A442+1,OFFSET(A443,-Nbre_Ligne_Entre_Compte,0,1,1)+1)</f>
        <v>167</v>
      </c>
      <c r="B443" s="1" t="s">
        <v>249</v>
      </c>
      <c r="C443" s="1"/>
      <c r="D443" s="77">
        <v>38457</v>
      </c>
      <c r="E443" s="77"/>
      <c r="F443" s="77"/>
      <c r="G443" s="8">
        <v>46</v>
      </c>
      <c r="H443" s="1" t="s">
        <v>16</v>
      </c>
      <c r="I443" s="78"/>
      <c r="J443" s="8"/>
      <c r="K443" s="8">
        <f>ROUND(Dot_ex(D443,E443,F443,G443,H443,I443,J443,$G$6,$I$6,$I$8),2)</f>
        <v>0</v>
      </c>
      <c r="L443" s="8">
        <f>J443+K443</f>
        <v>0</v>
      </c>
      <c r="M443" s="57">
        <f>G443-L443</f>
        <v>46</v>
      </c>
      <c r="N443" s="41">
        <f t="shared" si="79"/>
        <v>0</v>
      </c>
      <c r="O443" s="41">
        <f>ROUND(Dot_ex($D443,$E443,$F443,$G443,$H443,$I443,$L443+SUM($N443:N443),E$115,E$117,E$117),2)</f>
        <v>0</v>
      </c>
      <c r="P443" s="41">
        <f>ROUND(Dot_ex($D443,$E443,$F443,$G443,$H443,$I443,$L443+SUM($N443:O443),F$115,F$117,F$117),2)</f>
        <v>0</v>
      </c>
      <c r="Q443" s="41">
        <f>ROUND(Dot_ex($D443,$E443,$F443,$G443,$H443,$I443,$L443+SUM($N443:P443),G$115,G$117,G$117),2)</f>
        <v>0</v>
      </c>
      <c r="R443" s="57">
        <f>ROUND(Dot_ex($D443,$E443,$F443,$G443,$H443,$I443,$L443+SUM($N443:Q443),H$115,H$117,H$117),2)</f>
        <v>0</v>
      </c>
      <c r="S443" s="57">
        <f>ROUND(Dot_ex($D443,$E443,$F443,$G443,$H443,$I443,$L443+SUM($N443:R443),I$115,I$117,I$117),2)</f>
        <v>0</v>
      </c>
      <c r="T443" s="57">
        <f>ROUND(Dot_ex($D443,$E443,$F443,$G443,$H443,$I443,$L443+SUM($N443:S443),J$115,J$117,J$117),2)</f>
        <v>0</v>
      </c>
      <c r="U443" s="57">
        <f>ROUND(Dot_ex($D443,$E443,$F443,$G443,$H443,$I443,$L443+SUM($N443:T443),K$115,K$117,K$117),2)</f>
        <v>0</v>
      </c>
      <c r="V443" s="57">
        <f>ROUND(Dot_ex($D443,$E443,$F443,$G443,$H443,$I443,$L443+SUM($N443:U443),L$115,L$117,L$117),2)</f>
        <v>0</v>
      </c>
      <c r="W443" s="57">
        <f>ROUND(Dot_ex($D443,$E443,$F443,$G443,$H443,$I443,$L443+SUM($N443:V443),M$115,M$117,M$117),2)</f>
        <v>0</v>
      </c>
    </row>
    <row r="444" spans="1:23" ht="12" customHeight="1" x14ac:dyDescent="0.2">
      <c r="A444" s="107">
        <f ca="1">IF(ISNUMBER(A443),A443+1,OFFSET(A444,-Nbre_Ligne_Entre_Compte,0,1,1)+1)</f>
        <v>168</v>
      </c>
      <c r="B444" s="1" t="s">
        <v>282</v>
      </c>
      <c r="C444" s="1"/>
      <c r="D444" s="77">
        <v>40221</v>
      </c>
      <c r="E444" s="77"/>
      <c r="F444" s="77"/>
      <c r="G444" s="8">
        <v>300</v>
      </c>
      <c r="H444" s="1" t="s">
        <v>16</v>
      </c>
      <c r="I444" s="78"/>
      <c r="J444" s="8"/>
      <c r="K444" s="8">
        <f>ROUND(Dot_ex(D444,E444,F444,G444,H444,I444,J444,$G$6,$I$6,$I$8),2)</f>
        <v>0</v>
      </c>
      <c r="L444" s="8">
        <f>J444+K444</f>
        <v>0</v>
      </c>
      <c r="M444" s="57">
        <f>G444-L444</f>
        <v>300</v>
      </c>
      <c r="N444" s="41">
        <f>ROUND(Dot_ex($D444,$E444,$F444,$G444,$H444,$I444,$L444,D$115,D$117,D$117),2)</f>
        <v>0</v>
      </c>
      <c r="O444" s="41">
        <f>ROUND(Dot_ex($D444,$E444,$F444,$G444,$H444,$I444,$L444+SUM($N444:N444),E$115,E$117,E$117),2)</f>
        <v>0</v>
      </c>
      <c r="P444" s="41">
        <f>ROUND(Dot_ex($D444,$E444,$F444,$G444,$H444,$I444,$L444+SUM($N444:O444),F$115,F$117,F$117),2)</f>
        <v>0</v>
      </c>
      <c r="Q444" s="41">
        <f>ROUND(Dot_ex($D444,$E444,$F444,$G444,$H444,$I444,$L444+SUM($N444:P444),G$115,G$117,G$117),2)</f>
        <v>0</v>
      </c>
      <c r="R444" s="57">
        <f>ROUND(Dot_ex($D444,$E444,$F444,$G444,$H444,$I444,$L444+SUM($N444:Q444),H$115,H$117,H$117),2)</f>
        <v>0</v>
      </c>
      <c r="S444" s="57">
        <f>ROUND(Dot_ex($D444,$E444,$F444,$G444,$H444,$I444,$L444+SUM($N444:R444),I$115,I$117,I$117),2)</f>
        <v>0</v>
      </c>
      <c r="T444" s="57">
        <f>ROUND(Dot_ex($D444,$E444,$F444,$G444,$H444,$I444,$L444+SUM($N444:S444),J$115,J$117,J$117),2)</f>
        <v>0</v>
      </c>
      <c r="U444" s="57">
        <f>ROUND(Dot_ex($D444,$E444,$F444,$G444,$H444,$I444,$L444+SUM($N444:T444),K$115,K$117,K$117),2)</f>
        <v>0</v>
      </c>
      <c r="V444" s="57">
        <f>ROUND(Dot_ex($D444,$E444,$F444,$G444,$H444,$I444,$L444+SUM($N444:U444),L$115,L$117,L$117),2)</f>
        <v>0</v>
      </c>
      <c r="W444" s="57">
        <f>ROUND(Dot_ex($D444,$E444,$F444,$G444,$H444,$I444,$L444+SUM($N444:V444),M$115,M$117,M$117),2)</f>
        <v>0</v>
      </c>
    </row>
    <row r="445" spans="1:23" x14ac:dyDescent="0.2">
      <c r="A445" s="101"/>
      <c r="B445" s="1"/>
      <c r="C445" s="1"/>
      <c r="D445" s="227"/>
      <c r="G445" s="8"/>
      <c r="H445" s="1"/>
      <c r="I445" s="78"/>
      <c r="J445" s="8"/>
      <c r="K445" s="8"/>
      <c r="L445" s="8"/>
      <c r="M445" s="57"/>
      <c r="N445" s="41">
        <f t="shared" si="79"/>
        <v>0</v>
      </c>
      <c r="O445" s="41">
        <f>ROUND(Dot_ex($D445,$E445,$F445,$G445,$H445,$I445,$L445+SUM($N445:N445),E$115,E$117,E$117),2)</f>
        <v>0</v>
      </c>
      <c r="P445" s="41">
        <f>ROUND(Dot_ex($D445,$E445,$F445,$G445,$H445,$I445,$L445+SUM($N445:O445),F$115,F$117,F$117),2)</f>
        <v>0</v>
      </c>
      <c r="Q445" s="41">
        <f>ROUND(Dot_ex($D445,$E445,$F445,$G445,$H445,$I445,$L445+SUM($N445:P445),G$115,G$117,G$117),2)</f>
        <v>0</v>
      </c>
      <c r="R445" s="57">
        <f>ROUND(Dot_ex($D445,$E445,$F445,$G445,$H445,$I445,$L445+SUM($N445:Q445),H$115,H$117,H$117),2)</f>
        <v>0</v>
      </c>
      <c r="S445" s="57">
        <f>ROUND(Dot_ex($D445,$E445,$F445,$G445,$H445,$I445,$L445+SUM($N445:R445),I$115,I$117,I$117),2)</f>
        <v>0</v>
      </c>
      <c r="T445" s="57">
        <f>ROUND(Dot_ex($D445,$E445,$F445,$G445,$H445,$I445,$L445+SUM($N445:S445),J$115,J$117,J$117),2)</f>
        <v>0</v>
      </c>
      <c r="U445" s="57">
        <f>ROUND(Dot_ex($D445,$E445,$F445,$G445,$H445,$I445,$L445+SUM($N445:T445),K$115,K$117,K$117),2)</f>
        <v>0</v>
      </c>
      <c r="V445" s="57">
        <f>ROUND(Dot_ex($D445,$E445,$F445,$G445,$H445,$I445,$L445+SUM($N445:U445),L$115,L$117,L$117),2)</f>
        <v>0</v>
      </c>
      <c r="W445" s="57">
        <f>ROUND(Dot_ex($D445,$E445,$F445,$G445,$H445,$I445,$L445+SUM($N445:V445),M$115,M$117,M$117),2)</f>
        <v>0</v>
      </c>
    </row>
    <row r="446" spans="1:23" x14ac:dyDescent="0.2">
      <c r="A446" s="101"/>
      <c r="E446" s="94" t="s">
        <v>14</v>
      </c>
      <c r="F446" s="95"/>
      <c r="G446" s="96">
        <f>SUM(G442:G445)</f>
        <v>356</v>
      </c>
      <c r="H446" s="94"/>
      <c r="I446" s="97"/>
      <c r="J446" s="96">
        <f>SUM(J445:J445)</f>
        <v>0</v>
      </c>
      <c r="K446" s="96">
        <f>SUM(K445:K445)</f>
        <v>0</v>
      </c>
      <c r="L446" s="96">
        <f>SUM(L445:L445)</f>
        <v>0</v>
      </c>
      <c r="M446" s="203">
        <f>SUM(M445:M445)</f>
        <v>0</v>
      </c>
      <c r="N446" s="41">
        <f t="shared" si="79"/>
        <v>0</v>
      </c>
      <c r="O446" s="41">
        <f>ROUND(Dot_ex($D446,$E446,$F446,$G446,$H446,$I446,$L446+SUM($N446:N446),E$115,E$117,E$117),2)</f>
        <v>0</v>
      </c>
      <c r="P446" s="41">
        <f>ROUND(Dot_ex($D446,$E446,$F446,$G446,$H446,$I446,$L446+SUM($N446:O446),F$115,F$117,F$117),2)</f>
        <v>0</v>
      </c>
      <c r="Q446" s="41">
        <f>ROUND(Dot_ex($D446,$E446,$F446,$G446,$H446,$I446,$L446+SUM($N446:P446),G$115,G$117,G$117),2)</f>
        <v>0</v>
      </c>
      <c r="R446" s="57">
        <f>ROUND(Dot_ex($D446,$E446,$F446,$G446,$H446,$I446,$L446+SUM($N446:Q446),H$115,H$117,H$117),2)</f>
        <v>0</v>
      </c>
      <c r="S446" s="57">
        <f>ROUND(Dot_ex($D446,$E446,$F446,$G446,$H446,$I446,$L446+SUM($N446:R446),I$115,I$117,I$117),2)</f>
        <v>0</v>
      </c>
      <c r="T446" s="57">
        <f>ROUND(Dot_ex($D446,$E446,$F446,$G446,$H446,$I446,$L446+SUM($N446:S446),J$115,J$117,J$117),2)</f>
        <v>0</v>
      </c>
      <c r="U446" s="57">
        <f>ROUND(Dot_ex($D446,$E446,$F446,$G446,$H446,$I446,$L446+SUM($N446:T446),K$115,K$117,K$117),2)</f>
        <v>0</v>
      </c>
      <c r="V446" s="57">
        <f>ROUND(Dot_ex($D446,$E446,$F446,$G446,$H446,$I446,$L446+SUM($N446:U446),L$115,L$117,L$117),2)</f>
        <v>0</v>
      </c>
      <c r="W446" s="57">
        <f>ROUND(Dot_ex($D446,$E446,$F446,$G446,$H446,$I446,$L446+SUM($N446:V446),M$115,M$117,M$117),2)</f>
        <v>0</v>
      </c>
    </row>
    <row r="447" spans="1:23" x14ac:dyDescent="0.2">
      <c r="A447" s="101"/>
      <c r="M447" s="14"/>
      <c r="N447" s="41">
        <f t="shared" si="79"/>
        <v>0</v>
      </c>
      <c r="O447" s="41">
        <f>ROUND(Dot_ex($D447,$E447,$F447,$G447,$H447,$I447,$L447+SUM($N447:N447),E$115,E$117,E$117),2)</f>
        <v>0</v>
      </c>
      <c r="P447" s="41">
        <f>ROUND(Dot_ex($D447,$E447,$F447,$G447,$H447,$I447,$L447+SUM($N447:O447),F$115,F$117,F$117),2)</f>
        <v>0</v>
      </c>
      <c r="Q447" s="41">
        <f>ROUND(Dot_ex($D447,$E447,$F447,$G447,$H447,$I447,$L447+SUM($N447:P447),G$115,G$117,G$117),2)</f>
        <v>0</v>
      </c>
      <c r="R447" s="57">
        <f>ROUND(Dot_ex($D447,$E447,$F447,$G447,$H447,$I447,$L447+SUM($N447:Q447),H$115,H$117,H$117),2)</f>
        <v>0</v>
      </c>
      <c r="S447" s="57">
        <f>ROUND(Dot_ex($D447,$E447,$F447,$G447,$H447,$I447,$L447+SUM($N447:R447),I$115,I$117,I$117),2)</f>
        <v>0</v>
      </c>
      <c r="T447" s="57">
        <f>ROUND(Dot_ex($D447,$E447,$F447,$G447,$H447,$I447,$L447+SUM($N447:S447),J$115,J$117,J$117),2)</f>
        <v>0</v>
      </c>
      <c r="U447" s="57">
        <f>ROUND(Dot_ex($D447,$E447,$F447,$G447,$H447,$I447,$L447+SUM($N447:T447),K$115,K$117,K$117),2)</f>
        <v>0</v>
      </c>
      <c r="V447" s="57">
        <f>ROUND(Dot_ex($D447,$E447,$F447,$G447,$H447,$I447,$L447+SUM($N447:U447),L$115,L$117,L$117),2)</f>
        <v>0</v>
      </c>
      <c r="W447" s="57">
        <f>ROUND(Dot_ex($D447,$E447,$F447,$G447,$H447,$I447,$L447+SUM($N447:V447),M$115,M$117,M$117),2)</f>
        <v>0</v>
      </c>
    </row>
    <row r="448" spans="1:23" x14ac:dyDescent="0.2">
      <c r="A448" s="101"/>
      <c r="E448" s="1" t="s">
        <v>23</v>
      </c>
      <c r="G448" s="8">
        <f>SUMIF($D$442:$D$445,"&lt;"&amp;TEXT($G$6,"jj/mm/aa"),G$442:G$445)</f>
        <v>356</v>
      </c>
      <c r="J448" s="8">
        <f>SUMIF($D$442:$D$445,"&lt;"&amp;TEXT($G$6,"jj/mm/aa"),J$442:J$445)</f>
        <v>0</v>
      </c>
      <c r="K448" s="8">
        <f>SUMIF($D$442:$D$445,"&lt;"&amp;TEXT($G$6,"jj/mm/aa"),K$442:K$445)</f>
        <v>0</v>
      </c>
      <c r="L448" s="8">
        <f>SUMIF($D$442:$D$445,"&lt;"&amp;TEXT($G$6,"jj/mm/aa"),L$442:L$445)</f>
        <v>0</v>
      </c>
      <c r="M448" s="57">
        <f>SUMIF($D$442:$D$445,"&lt;"&amp;TEXT($G$6,"jj/mm/aa"),M$442:M$445)</f>
        <v>356</v>
      </c>
      <c r="N448" s="41">
        <f t="shared" si="79"/>
        <v>0</v>
      </c>
      <c r="O448" s="41">
        <f>ROUND(Dot_ex($D448,$E448,$F448,$G448,$H448,$I448,$L448+SUM($N448:N448),E$115,E$117,E$117),2)</f>
        <v>0</v>
      </c>
      <c r="P448" s="41">
        <f>ROUND(Dot_ex($D448,$E448,$F448,$G448,$H448,$I448,$L448+SUM($N448:O448),F$115,F$117,F$117),2)</f>
        <v>0</v>
      </c>
      <c r="Q448" s="41">
        <f>ROUND(Dot_ex($D448,$E448,$F448,$G448,$H448,$I448,$L448+SUM($N448:P448),G$115,G$117,G$117),2)</f>
        <v>0</v>
      </c>
      <c r="R448" s="57">
        <f>ROUND(Dot_ex($D448,$E448,$F448,$G448,$H448,$I448,$L448+SUM($N448:Q448),H$115,H$117,H$117),2)</f>
        <v>0</v>
      </c>
      <c r="S448" s="57">
        <f>ROUND(Dot_ex($D448,$E448,$F448,$G448,$H448,$I448,$L448+SUM($N448:R448),I$115,I$117,I$117),2)</f>
        <v>0</v>
      </c>
      <c r="T448" s="57">
        <f>ROUND(Dot_ex($D448,$E448,$F448,$G448,$H448,$I448,$L448+SUM($N448:S448),J$115,J$117,J$117),2)</f>
        <v>0</v>
      </c>
      <c r="U448" s="57">
        <f>ROUND(Dot_ex($D448,$E448,$F448,$G448,$H448,$I448,$L448+SUM($N448:T448),K$115,K$117,K$117),2)</f>
        <v>0</v>
      </c>
      <c r="V448" s="57">
        <f>ROUND(Dot_ex($D448,$E448,$F448,$G448,$H448,$I448,$L448+SUM($N448:U448),L$115,L$117,L$117),2)</f>
        <v>0</v>
      </c>
      <c r="W448" s="57">
        <f>ROUND(Dot_ex($D448,$E448,$F448,$G448,$H448,$I448,$L448+SUM($N448:V448),M$115,M$117,M$117),2)</f>
        <v>0</v>
      </c>
    </row>
    <row r="449" spans="1:23" x14ac:dyDescent="0.2">
      <c r="A449" s="101"/>
      <c r="E449" s="1" t="s">
        <v>38</v>
      </c>
      <c r="G449" s="8">
        <f>SUMIF($D$442:$D$445,"&gt;="&amp;TEXT($G$6,"jj/mm/aa"),G$442:G$445)</f>
        <v>0</v>
      </c>
      <c r="J449" s="8">
        <f>SUMIF($D$442:$D$445,"&gt;="&amp;TEXT($G$6,"jj/mm/aa"),J$442:J$445)</f>
        <v>0</v>
      </c>
      <c r="K449" s="8">
        <f>SUMIF($D$442:$D$445,"&gt;="&amp;TEXT($G$6,"jj/mm/aa"),K$442:K$445)</f>
        <v>0</v>
      </c>
      <c r="L449" s="8">
        <f>SUMIF($D$442:$D$445,"&gt;="&amp;TEXT($G$6,"jj/mm/aa"),L$442:L$445)</f>
        <v>0</v>
      </c>
      <c r="M449" s="57">
        <f>SUMIF($D$442:$D$445,"&gt;="&amp;TEXT($G$6,"jj/mm/aa"),M$442:M$445)</f>
        <v>0</v>
      </c>
      <c r="N449" s="41">
        <f t="shared" si="79"/>
        <v>0</v>
      </c>
      <c r="O449" s="41">
        <f>ROUND(Dot_ex($D449,$E449,$F449,$G449,$H449,$I449,$L449+SUM($N449:N449),E$115,E$117,E$117),2)</f>
        <v>0</v>
      </c>
      <c r="P449" s="41">
        <f>ROUND(Dot_ex($D449,$E449,$F449,$G449,$H449,$I449,$L449+SUM($N449:O449),F$115,F$117,F$117),2)</f>
        <v>0</v>
      </c>
      <c r="Q449" s="41">
        <f>ROUND(Dot_ex($D449,$E449,$F449,$G449,$H449,$I449,$L449+SUM($N449:P449),G$115,G$117,G$117),2)</f>
        <v>0</v>
      </c>
      <c r="R449" s="57">
        <f>ROUND(Dot_ex($D449,$E449,$F449,$G449,$H449,$I449,$L449+SUM($N449:Q449),H$115,H$117,H$117),2)</f>
        <v>0</v>
      </c>
      <c r="S449" s="57">
        <f>ROUND(Dot_ex($D449,$E449,$F449,$G449,$H449,$I449,$L449+SUM($N449:R449),I$115,I$117,I$117),2)</f>
        <v>0</v>
      </c>
      <c r="T449" s="57">
        <f>ROUND(Dot_ex($D449,$E449,$F449,$G449,$H449,$I449,$L449+SUM($N449:S449),J$115,J$117,J$117),2)</f>
        <v>0</v>
      </c>
      <c r="U449" s="57">
        <f>ROUND(Dot_ex($D449,$E449,$F449,$G449,$H449,$I449,$L449+SUM($N449:T449),K$115,K$117,K$117),2)</f>
        <v>0</v>
      </c>
      <c r="V449" s="57">
        <f>ROUND(Dot_ex($D449,$E449,$F449,$G449,$H449,$I449,$L449+SUM($N449:U449),L$115,L$117,L$117),2)</f>
        <v>0</v>
      </c>
      <c r="W449" s="57">
        <f>ROUND(Dot_ex($D449,$E449,$F449,$G449,$H449,$I449,$L449+SUM($N449:V449),M$115,M$117,M$117),2)</f>
        <v>0</v>
      </c>
    </row>
    <row r="450" spans="1:23" x14ac:dyDescent="0.2">
      <c r="A450" s="101"/>
      <c r="E450" s="1" t="s">
        <v>39</v>
      </c>
      <c r="G450" s="8">
        <f>SUMIF($F$442:$F$445,"&gt;="&amp;TEXT($G$6,"jj/mm/aa"),G$442:G$445)</f>
        <v>0</v>
      </c>
      <c r="J450" s="8">
        <f>SUMIF($F$442:$F$445,"&gt;="&amp;TEXT($G$6,"jj/mm/aa"),J$442:J$445)</f>
        <v>0</v>
      </c>
      <c r="K450" s="8">
        <f>SUMIF($F$442:$F$445,"&gt;="&amp;TEXT($G$6,"jj/mm/aa"),K$442:K$445)</f>
        <v>0</v>
      </c>
      <c r="L450" s="8">
        <f>SUMIF($F$442:$F$445,"&gt;="&amp;TEXT($G$6,"jj/mm/aa"),L$442:L$445)</f>
        <v>0</v>
      </c>
      <c r="M450" s="57">
        <f>SUMIF($F$442:$F$445,"&gt;="&amp;TEXT($G$6,"jj/mm/aa"),M$442:M$445)</f>
        <v>0</v>
      </c>
      <c r="N450" s="41">
        <f t="shared" si="79"/>
        <v>0</v>
      </c>
      <c r="O450" s="41">
        <f>ROUND(Dot_ex($D450,$E450,$F450,$G450,$H450,$I450,$L450+SUM($N450:N450),E$115,E$117,E$117),2)</f>
        <v>0</v>
      </c>
      <c r="P450" s="41">
        <f>ROUND(Dot_ex($D450,$E450,$F450,$G450,$H450,$I450,$L450+SUM($N450:O450),F$115,F$117,F$117),2)</f>
        <v>0</v>
      </c>
      <c r="Q450" s="41">
        <f>ROUND(Dot_ex($D450,$E450,$F450,$G450,$H450,$I450,$L450+SUM($N450:P450),G$115,G$117,G$117),2)</f>
        <v>0</v>
      </c>
      <c r="R450" s="57">
        <f>ROUND(Dot_ex($D450,$E450,$F450,$G450,$H450,$I450,$L450+SUM($N450:Q450),H$115,H$117,H$117),2)</f>
        <v>0</v>
      </c>
      <c r="S450" s="57">
        <f>ROUND(Dot_ex($D450,$E450,$F450,$G450,$H450,$I450,$L450+SUM($N450:R450),I$115,I$117,I$117),2)</f>
        <v>0</v>
      </c>
      <c r="T450" s="57">
        <f>ROUND(Dot_ex($D450,$E450,$F450,$G450,$H450,$I450,$L450+SUM($N450:S450),J$115,J$117,J$117),2)</f>
        <v>0</v>
      </c>
      <c r="U450" s="57">
        <f>ROUND(Dot_ex($D450,$E450,$F450,$G450,$H450,$I450,$L450+SUM($N450:T450),K$115,K$117,K$117),2)</f>
        <v>0</v>
      </c>
      <c r="V450" s="57">
        <f>ROUND(Dot_ex($D450,$E450,$F450,$G450,$H450,$I450,$L450+SUM($N450:U450),L$115,L$117,L$117),2)</f>
        <v>0</v>
      </c>
      <c r="W450" s="57">
        <f>ROUND(Dot_ex($D450,$E450,$F450,$G450,$H450,$I450,$L450+SUM($N450:V450),M$115,M$117,M$117),2)</f>
        <v>0</v>
      </c>
    </row>
    <row r="451" spans="1:23" x14ac:dyDescent="0.2">
      <c r="A451" s="103"/>
      <c r="B451" s="21"/>
      <c r="C451" s="21"/>
      <c r="D451" s="21"/>
      <c r="E451" s="207" t="s">
        <v>15</v>
      </c>
      <c r="F451" s="21"/>
      <c r="G451" s="204">
        <f>G448+G449-G450</f>
        <v>356</v>
      </c>
      <c r="H451" s="21"/>
      <c r="I451" s="21"/>
      <c r="J451" s="204">
        <f>J448+J449-J450</f>
        <v>0</v>
      </c>
      <c r="K451" s="204">
        <f>K448+K449-K450</f>
        <v>0</v>
      </c>
      <c r="L451" s="204">
        <f>L448+L449-L450</f>
        <v>0</v>
      </c>
      <c r="M451" s="205">
        <f>M448+M449-M450</f>
        <v>356</v>
      </c>
      <c r="N451" s="204">
        <f t="shared" si="79"/>
        <v>0</v>
      </c>
      <c r="O451" s="204">
        <f>ROUND(Dot_ex($D451,$E451,$F451,$G451,$H451,$I451,$L451+SUM($N451:N451),E$115,E$117,E$117),2)</f>
        <v>0</v>
      </c>
      <c r="P451" s="204">
        <f>ROUND(Dot_ex($D451,$E451,$F451,$G451,$H451,$I451,$L451+SUM($N451:O451),F$115,F$117,F$117),2)</f>
        <v>0</v>
      </c>
      <c r="Q451" s="204">
        <f>ROUND(Dot_ex($D451,$E451,$F451,$G451,$H451,$I451,$L451+SUM($N451:P451),G$115,G$117,G$117),2)</f>
        <v>0</v>
      </c>
      <c r="R451" s="205">
        <f>ROUND(Dot_ex($D451,$E451,$F451,$G451,$H451,$I451,$L451+SUM($N451:Q451),H$115,H$117,H$117),2)</f>
        <v>0</v>
      </c>
      <c r="S451" s="205">
        <f>ROUND(Dot_ex($D451,$E451,$F451,$G451,$H451,$I451,$L451+SUM($N451:R451),I$115,I$117,I$117),2)</f>
        <v>0</v>
      </c>
      <c r="T451" s="205">
        <f>ROUND(Dot_ex($D451,$E451,$F451,$G451,$H451,$I451,$L451+SUM($N451:S451),J$115,J$117,J$117),2)</f>
        <v>0</v>
      </c>
      <c r="U451" s="205">
        <f>ROUND(Dot_ex($D451,$E451,$F451,$G451,$H451,$I451,$L451+SUM($N451:T451),K$115,K$117,K$117),2)</f>
        <v>0</v>
      </c>
      <c r="V451" s="205">
        <f>ROUND(Dot_ex($D451,$E451,$F451,$G451,$H451,$I451,$L451+SUM($N451:U451),L$115,L$117,L$117),2)</f>
        <v>0</v>
      </c>
      <c r="W451" s="205">
        <f>ROUND(Dot_ex($D451,$E451,$F451,$G451,$H451,$I451,$L451+SUM($N451:V451),M$115,M$117,M$117),2)</f>
        <v>0</v>
      </c>
    </row>
    <row r="452" spans="1:23" x14ac:dyDescent="0.2">
      <c r="E452" s="1"/>
      <c r="G452" s="8"/>
      <c r="J452" s="8"/>
      <c r="K452" s="8"/>
      <c r="L452" s="8"/>
      <c r="M452" s="4"/>
      <c r="N452" s="8">
        <f t="shared" si="79"/>
        <v>0</v>
      </c>
      <c r="O452" s="8">
        <f>ROUND(Dot_ex($D452,$E452,$F452,$G452,$H452,$I452,$L452+SUM($N452:N452),E$115,E$117,E$117),2)</f>
        <v>0</v>
      </c>
      <c r="P452" s="8">
        <f>ROUND(Dot_ex($D452,$E452,$F452,$G452,$H452,$I452,$L452+SUM($N452:O452),F$115,F$117,F$117),2)</f>
        <v>0</v>
      </c>
      <c r="Q452" s="8">
        <f>ROUND(Dot_ex($D452,$E452,$F452,$G452,$H452,$I452,$L452+SUM($N452:P452),G$115,G$117,G$117),2)</f>
        <v>0</v>
      </c>
      <c r="R452" s="8">
        <f>ROUND(Dot_ex($D452,$E452,$F452,$G452,$H452,$I452,$L452+SUM($N452:Q452),H$115,H$117,H$117),2)</f>
        <v>0</v>
      </c>
      <c r="S452" s="8">
        <f>ROUND(Dot_ex($D452,$E452,$F452,$G452,$H452,$I452,$L452+SUM($N452:R452),I$115,I$117,I$117),2)</f>
        <v>0</v>
      </c>
      <c r="T452" s="8">
        <f>ROUND(Dot_ex($D452,$E452,$F452,$G452,$H452,$I452,$L452+SUM($N452:S452),J$115,J$117,J$117),2)</f>
        <v>0</v>
      </c>
      <c r="U452" s="8">
        <f>ROUND(Dot_ex($D452,$E452,$F452,$G452,$H452,$I452,$L452+SUM($N452:T452),K$115,K$117,K$117),2)</f>
        <v>0</v>
      </c>
      <c r="V452" s="8">
        <f>ROUND(Dot_ex($D452,$E452,$F452,$G452,$H452,$I452,$L452+SUM($N452:U452),L$115,L$117,L$117),2)</f>
        <v>0</v>
      </c>
      <c r="W452" s="8">
        <f>ROUND(Dot_ex($D452,$E452,$F452,$G452,$H452,$I452,$L452+SUM($N452:V452),M$115,M$117,M$117),2)</f>
        <v>0</v>
      </c>
    </row>
    <row r="453" spans="1:23" hidden="1" x14ac:dyDescent="0.2">
      <c r="E453" s="1" t="s">
        <v>49</v>
      </c>
      <c r="G453" s="8"/>
      <c r="J453" s="8"/>
      <c r="K453" s="8">
        <f>SUMIF($H445:$H445,"L",$K445:$K445)</f>
        <v>0</v>
      </c>
      <c r="L453" s="8"/>
      <c r="M453" s="8"/>
    </row>
    <row r="454" spans="1:23" hidden="1" x14ac:dyDescent="0.2">
      <c r="E454" s="1" t="s">
        <v>50</v>
      </c>
      <c r="G454" s="8"/>
      <c r="J454" s="8"/>
      <c r="K454" s="8">
        <f>SUMIF($H445:$H445,"D",$K445:$K445)</f>
        <v>0</v>
      </c>
      <c r="L454" s="8"/>
      <c r="M454" s="8"/>
    </row>
    <row r="455" spans="1:23" hidden="1" x14ac:dyDescent="0.2">
      <c r="E455" s="1" t="s">
        <v>51</v>
      </c>
      <c r="G455" s="8"/>
      <c r="J455" s="8"/>
      <c r="K455" s="4">
        <f>K453+K454</f>
        <v>0</v>
      </c>
      <c r="L455" s="8"/>
      <c r="M455" s="8"/>
    </row>
  </sheetData>
  <conditionalFormatting sqref="A1:M1 A217:M217 A228:M231 A200:M206 A189:M189 A327:M345 A356:M357 A242:M316 A416:M431 D442:M444 A442:C442 A443:A444 A367:M372 A374:F374 A373:G373 A157:M178 A385:M406">
    <cfRule type="expression" dxfId="5" priority="4" stopIfTrue="1">
      <formula>IF(AND($D1&gt;=$G$6,$D1&lt;=$I$6),TRUE,FALSE)</formula>
    </cfRule>
  </conditionalFormatting>
  <conditionalFormatting sqref="I8">
    <cfRule type="cellIs" dxfId="4" priority="5" stopIfTrue="1" operator="lessThan">
      <formula>$G$6</formula>
    </cfRule>
  </conditionalFormatting>
  <conditionalFormatting sqref="A26">
    <cfRule type="expression" dxfId="3" priority="6" stopIfTrue="1">
      <formula>IF($I$8&lt;&gt;$I$6,TRUE,FALSE)</formula>
    </cfRule>
  </conditionalFormatting>
  <conditionalFormatting sqref="H373:M373">
    <cfRule type="expression" dxfId="2" priority="3" stopIfTrue="1">
      <formula>IF(AND($D373&gt;=$G$6,$D373&lt;=$I$6),TRUE,FALSE)</formula>
    </cfRule>
  </conditionalFormatting>
  <conditionalFormatting sqref="G374">
    <cfRule type="expression" dxfId="1" priority="2" stopIfTrue="1">
      <formula>IF(AND($D374&gt;=$G$6,$D374&lt;=$I$6),TRUE,FALSE)</formula>
    </cfRule>
  </conditionalFormatting>
  <conditionalFormatting sqref="H374:M374">
    <cfRule type="expression" dxfId="0" priority="1" stopIfTrue="1">
      <formula>IF(AND($D374&gt;=$G$6,$D374&lt;=$I$6),TRUE,FALSE)</formula>
    </cfRule>
  </conditionalFormatting>
  <dataValidations count="4">
    <dataValidation type="date" operator="greaterThanOrEqual" allowBlank="1" showInputMessage="1" showErrorMessage="1" errorTitle="Attention !!!!!" error="Vous deve saisir une date correcte !!!!!" sqref="D442:D444 D416:D431 E423:E431 D385:E406 E344:E345 D356:D357 E357 D341:D345 D327 D200:E206 D367:E374 D228:E231 D189:E189 D217:E217 D157:E178">
      <formula1>1</formula1>
    </dataValidation>
    <dataValidation type="list" allowBlank="1" showDropDown="1" showInputMessage="1" showErrorMessage="1" errorTitle="Attention !!!!!!" error="Votre choix est limité à :_x000a__x000a_L pour un amt de type Linéaire_x000a_ou_x000a_D pour un amt de type Dégréssif_x000a_ou_x000a_N pour non amortissable" sqref="H442:H445 H416:H431 H385:H406 H356:H357 H327:H346 H242:H317">
      <formula1>$G$11:$G$13</formula1>
    </dataValidation>
    <dataValidation type="date" allowBlank="1" showInputMessage="1" showErrorMessage="1" errorTitle="Erreur dans la saisie de la date" error="La date de calcul des amortissements doit être comprise entre le début et la fin de l'exercice !" promptTitle="Attention......." prompt="La date de calcul des amortissements doit être comprise entre_x000a_le début et la fin de l'exercice !!!!!!!!" sqref="I8">
      <formula1>G6</formula1>
      <formula2>I6</formula2>
    </dataValidation>
    <dataValidation type="date" operator="greaterThanOrEqual" allowBlank="1" showInputMessage="1" showErrorMessage="1" errorTitle="Attention !!!!!" error="Vous deve saisir une date correcte !!!!!_x000a_Celle-ci doit être égale ou postérieure à_x000a_la date d'entrée du bien....." sqref="E317 E442:F445 F416:F431 E346 E416:E422 E356 F356:F357 E242:E272 E327:E343 F327:F346 F242:F317 F385:F406 F163:F168 F170 F159">
      <formula1>D159</formula1>
    </dataValidation>
  </dataValidations>
  <printOptions horizontalCentered="1" verticalCentered="1"/>
  <pageMargins left="0" right="0" top="0.39370078740157483" bottom="0.39370078740157483" header="0" footer="0.11811023622047245"/>
  <pageSetup paperSize="9" orientation="landscape" horizontalDpi="4294967292" verticalDpi="300" r:id="rId1"/>
  <headerFooter alignWithMargins="0">
    <oddFooter>&amp;L&amp;"Small Fonts,Normal"&amp;4&amp;F &amp;D &amp;T&amp;R&amp;"Arial,Normal"&amp;8Page &amp;P/&amp;N</oddFooter>
  </headerFooter>
  <rowBreaks count="4" manualBreakCount="4">
    <brk id="30" max="11" man="1"/>
    <brk id="66" max="16383" man="1"/>
    <brk id="106" max="16383" man="1"/>
    <brk id="147" max="11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Immob</vt:lpstr>
      <vt:lpstr>Amts dérogatoires</vt:lpstr>
      <vt:lpstr>Plan d'amortissement</vt:lpstr>
      <vt:lpstr>Immob 2011-2012</vt:lpstr>
      <vt:lpstr>'Amts dérogatoires'!Impression_des_titres</vt:lpstr>
      <vt:lpstr>Immob!Impression_des_titres</vt:lpstr>
      <vt:lpstr>'Immob 2011-2012'!Impression_des_titres</vt:lpstr>
      <vt:lpstr>'Amts dérogatoires'!Zone_d_impression</vt:lpstr>
      <vt:lpstr>Immob!Zone_d_impression</vt:lpstr>
      <vt:lpstr>'Immob 2011-2012'!Zone_d_impression</vt:lpstr>
      <vt:lpstr>Immob!Zone_Immob</vt:lpstr>
      <vt:lpstr>'Immob 2011-2012'!Zone_Immob</vt:lpstr>
      <vt:lpstr>Zone_Immob</vt:lpstr>
    </vt:vector>
  </TitlesOfParts>
  <Company>Groupe SACY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CHAMPAGNE LOUIS DE SACY</dc:creator>
  <cp:lastModifiedBy>PC3</cp:lastModifiedBy>
  <cp:lastPrinted>2012-08-22T15:36:47Z</cp:lastPrinted>
  <dcterms:created xsi:type="dcterms:W3CDTF">1998-04-21T06:43:15Z</dcterms:created>
  <dcterms:modified xsi:type="dcterms:W3CDTF">2014-09-16T06:02:06Z</dcterms:modified>
</cp:coreProperties>
</file>