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03B99B1-A91A-44C1-94C9-027D5BC8331F}" xr6:coauthVersionLast="47" xr6:coauthVersionMax="47" xr10:uidLastSave="{00000000-0000-0000-0000-000000000000}"/>
  <bookViews>
    <workbookView xWindow="-120" yWindow="-120" windowWidth="24240" windowHeight="13740" activeTab="2" xr2:uid="{2F8FE087-D255-425D-A93E-1B8F304A1158}"/>
  </bookViews>
  <sheets>
    <sheet name="IP" sheetId="1" r:id="rId1"/>
    <sheet name="BDD" sheetId="3" r:id="rId2"/>
    <sheet name="TCD" sheetId="4" r:id="rId3"/>
  </sheets>
  <definedNames>
    <definedName name="Segment_Dépt">#N/A</definedName>
    <definedName name="Segment_Emploi">#N/A</definedName>
  </definedNames>
  <calcPr calcId="191029"/>
  <pivotCaches>
    <pivotCache cacheId="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3" l="1"/>
  <c r="E23" i="3"/>
  <c r="F22" i="3"/>
  <c r="E22" i="3"/>
  <c r="F21" i="3"/>
  <c r="E21" i="3"/>
  <c r="F20" i="3"/>
  <c r="E20" i="3"/>
  <c r="F19" i="3"/>
  <c r="E19" i="3"/>
  <c r="F18" i="3"/>
  <c r="E18" i="3"/>
  <c r="F17" i="3"/>
  <c r="E17" i="3"/>
  <c r="F16" i="3"/>
  <c r="E16" i="3"/>
  <c r="F15" i="3"/>
  <c r="E15" i="3"/>
  <c r="F14" i="3"/>
  <c r="E14" i="3"/>
  <c r="F13" i="3"/>
  <c r="E13" i="3"/>
  <c r="F12" i="3"/>
  <c r="E12" i="3"/>
  <c r="F11" i="3"/>
  <c r="E11" i="3"/>
  <c r="F10" i="3"/>
  <c r="E10" i="3"/>
  <c r="F9" i="3"/>
  <c r="E9" i="3"/>
  <c r="F8" i="3"/>
  <c r="E8" i="3"/>
  <c r="F7" i="3"/>
  <c r="E7" i="3"/>
  <c r="F6" i="3"/>
  <c r="E6" i="3"/>
  <c r="F5" i="3"/>
  <c r="E5" i="3"/>
  <c r="AA3" i="1"/>
  <c r="AA4" i="1"/>
  <c r="AA5" i="1"/>
  <c r="Z3" i="1"/>
  <c r="W22" i="1"/>
  <c r="L22" i="1"/>
  <c r="V22" i="1"/>
  <c r="Y25" i="1" s="1"/>
  <c r="O22" i="1"/>
  <c r="N22" i="1"/>
  <c r="R22" i="1"/>
  <c r="Q22" i="1"/>
  <c r="J22" i="1"/>
  <c r="Z5" i="1"/>
  <c r="D22" i="1"/>
  <c r="E22" i="1"/>
  <c r="F22" i="1"/>
  <c r="G22" i="1"/>
  <c r="H22" i="1"/>
  <c r="I22" i="1"/>
  <c r="K22" i="1"/>
  <c r="M22" i="1"/>
  <c r="Z19" i="1" s="1"/>
  <c r="P22" i="1"/>
  <c r="S22" i="1"/>
  <c r="T22" i="1"/>
  <c r="U22" i="1"/>
  <c r="Z18" i="1"/>
  <c r="Z11" i="1"/>
  <c r="Z4" i="1" l="1"/>
  <c r="Z10" i="1"/>
  <c r="Z17" i="1"/>
  <c r="Z20" i="1" s="1"/>
  <c r="Z12" i="1"/>
  <c r="Z6" i="1" l="1"/>
  <c r="Z13" i="1"/>
</calcChain>
</file>

<file path=xl/sharedStrings.xml><?xml version="1.0" encoding="utf-8"?>
<sst xmlns="http://schemas.openxmlformats.org/spreadsheetml/2006/main" count="216" uniqueCount="63">
  <si>
    <t>Date</t>
  </si>
  <si>
    <t>JLB</t>
  </si>
  <si>
    <t>Fabrice Giraux</t>
  </si>
  <si>
    <t>Charlotte Serrano</t>
  </si>
  <si>
    <t>Hugo Lamy</t>
  </si>
  <si>
    <t>Régine Raymond</t>
  </si>
  <si>
    <t>Amel Dubois</t>
  </si>
  <si>
    <t>Frédéric Villebrun</t>
  </si>
  <si>
    <t>oui</t>
  </si>
  <si>
    <t>Médecin93</t>
  </si>
  <si>
    <t>Admin93</t>
  </si>
  <si>
    <t>Médecin94</t>
  </si>
  <si>
    <t>Médecin75</t>
  </si>
  <si>
    <t>Paraméd75</t>
  </si>
  <si>
    <t>MEDECIN</t>
  </si>
  <si>
    <t>PARAMED</t>
  </si>
  <si>
    <t>ADMIN</t>
  </si>
  <si>
    <t>Total</t>
  </si>
  <si>
    <t>94</t>
  </si>
  <si>
    <t>heures</t>
  </si>
  <si>
    <t>93</t>
  </si>
  <si>
    <t>Heures</t>
  </si>
  <si>
    <t>75</t>
  </si>
  <si>
    <t>Durée (h)</t>
  </si>
  <si>
    <t xml:space="preserve">8 avril 10 médecins CMS Champigny 2h </t>
  </si>
  <si>
    <t>AM</t>
  </si>
  <si>
    <t>A ajouter 94 :</t>
  </si>
  <si>
    <t>Admin94</t>
  </si>
  <si>
    <t>1er trimestre 2021</t>
  </si>
  <si>
    <t>1 er trimestre 2021</t>
  </si>
  <si>
    <t>premier trimestre</t>
  </si>
  <si>
    <t>PD</t>
  </si>
  <si>
    <t>IJ</t>
  </si>
  <si>
    <t>AB</t>
  </si>
  <si>
    <t>CS</t>
  </si>
  <si>
    <t>DS</t>
  </si>
  <si>
    <t>JV</t>
  </si>
  <si>
    <t>JML</t>
  </si>
  <si>
    <t>ECZ</t>
  </si>
  <si>
    <t>VR</t>
  </si>
  <si>
    <t>SK</t>
  </si>
  <si>
    <t>TLB</t>
  </si>
  <si>
    <t>DL</t>
  </si>
  <si>
    <t>IF</t>
  </si>
  <si>
    <t>TOTAL IJ</t>
  </si>
  <si>
    <t>Dépt</t>
  </si>
  <si>
    <t>Emploi</t>
  </si>
  <si>
    <t>Durée</t>
  </si>
  <si>
    <t>Médecin</t>
  </si>
  <si>
    <t>Nom</t>
  </si>
  <si>
    <t>Personnel</t>
  </si>
  <si>
    <t>FG</t>
  </si>
  <si>
    <t>RR</t>
  </si>
  <si>
    <t>Admin</t>
  </si>
  <si>
    <t>HL</t>
  </si>
  <si>
    <t>AD</t>
  </si>
  <si>
    <t>FV</t>
  </si>
  <si>
    <t>Paraméd</t>
  </si>
  <si>
    <t>Saisie</t>
  </si>
  <si>
    <t>Étiquettes de lignes</t>
  </si>
  <si>
    <t>Total général</t>
  </si>
  <si>
    <t>Somme de Durée</t>
  </si>
  <si>
    <t>Trimestre1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</si>
</sst>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6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0" borderId="0" xfId="0" applyFill="1"/>
    <xf numFmtId="0" fontId="4" fillId="0" borderId="0" xfId="0" applyFont="1"/>
    <xf numFmtId="0" fontId="3" fillId="0" borderId="0" xfId="0" applyFont="1"/>
    <xf numFmtId="0" fontId="1" fillId="0" borderId="0" xfId="0" applyFont="1" applyBorder="1"/>
    <xf numFmtId="164" fontId="5" fillId="0" borderId="1" xfId="0" applyNumberFormat="1" applyFont="1" applyFill="1" applyBorder="1"/>
    <xf numFmtId="164" fontId="5" fillId="0" borderId="1" xfId="0" applyNumberFormat="1" applyFont="1" applyBorder="1"/>
    <xf numFmtId="164" fontId="5" fillId="0" borderId="0" xfId="0" applyNumberFormat="1" applyFont="1" applyBorder="1"/>
    <xf numFmtId="0" fontId="1" fillId="0" borderId="2" xfId="0" applyFont="1" applyFill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4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1</xdr:row>
      <xdr:rowOff>114301</xdr:rowOff>
    </xdr:from>
    <xdr:to>
      <xdr:col>6</xdr:col>
      <xdr:colOff>257175</xdr:colOff>
      <xdr:row>9</xdr:row>
      <xdr:rowOff>152401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épt">
              <a:extLst>
                <a:ext uri="{FF2B5EF4-FFF2-40B4-BE49-F238E27FC236}">
                  <a16:creationId xmlns:a16="http://schemas.microsoft.com/office/drawing/2014/main" id="{1EC9AF25-E1E8-4C8D-8825-10BA948F167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p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71925" y="304801"/>
              <a:ext cx="1828800" cy="1562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476250</xdr:colOff>
      <xdr:row>1</xdr:row>
      <xdr:rowOff>104776</xdr:rowOff>
    </xdr:from>
    <xdr:to>
      <xdr:col>9</xdr:col>
      <xdr:colOff>19050</xdr:colOff>
      <xdr:row>7</xdr:row>
      <xdr:rowOff>85726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Emploi">
              <a:extLst>
                <a:ext uri="{FF2B5EF4-FFF2-40B4-BE49-F238E27FC236}">
                  <a16:creationId xmlns:a16="http://schemas.microsoft.com/office/drawing/2014/main" id="{E353AB17-DA57-4F7A-AA3E-F4793F0272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mploi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19800" y="295276"/>
              <a:ext cx="1828800" cy="1123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382.581659953707" createdVersion="7" refreshedVersion="7" minRefreshableVersion="3" recordCount="19" xr:uid="{1E39D96C-A8EC-41A3-ACA4-831A24B5F349}">
  <cacheSource type="worksheet">
    <worksheetSource name="t_Saisie"/>
  </cacheSource>
  <cacheFields count="5">
    <cacheField name="Date" numFmtId="14">
      <sharedItems containsSemiMixedTypes="0" containsNonDate="0" containsDate="1" containsString="0" minDate="2021-01-13T00:00:00" maxDate="2021-03-23T00:00:00" count="3">
        <d v="2021-01-13T00:00:00"/>
        <d v="2021-03-12T00:00:00"/>
        <d v="2021-03-22T00:00:00"/>
      </sharedItems>
      <fieldGroup base="0">
        <rangePr groupBy="quarters" startDate="2021-01-13T00:00:00" endDate="2021-03-23T00:00:00"/>
        <groupItems count="6">
          <s v="&lt;13/01/2021"/>
          <s v="Trimestre1"/>
          <s v="Trimestre2"/>
          <s v="Trimestre3"/>
          <s v="Trimestre4"/>
          <s v="&gt;23/03/2021"/>
        </groupItems>
      </fieldGroup>
    </cacheField>
    <cacheField name="Durée" numFmtId="0">
      <sharedItems containsSemiMixedTypes="0" containsString="0" containsNumber="1" containsInteger="1" minValue="1" maxValue="2"/>
    </cacheField>
    <cacheField name="Nom" numFmtId="0">
      <sharedItems/>
    </cacheField>
    <cacheField name="Dépt" numFmtId="0">
      <sharedItems containsSemiMixedTypes="0" containsString="0" containsNumber="1" containsInteger="1" minValue="0" maxValue="94" count="4">
        <n v="94"/>
        <n v="0"/>
        <n v="93"/>
        <n v="75"/>
      </sharedItems>
    </cacheField>
    <cacheField name="Emploi" numFmtId="0">
      <sharedItems count="2">
        <s v="Médecin"/>
        <s v="IJ"/>
      </sharedItems>
    </cacheField>
  </cacheFields>
  <extLst>
    <ext xmlns:x14="http://schemas.microsoft.com/office/spreadsheetml/2009/9/main" uri="{725AE2AE-9491-48be-B2B4-4EB974FC3084}">
      <x14:pivotCacheDefinition pivotCacheId="192625200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1"/>
    <s v="FV"/>
    <x v="0"/>
    <x v="0"/>
  </r>
  <r>
    <x v="0"/>
    <n v="1"/>
    <s v="AB"/>
    <x v="1"/>
    <x v="1"/>
  </r>
  <r>
    <x v="0"/>
    <n v="1"/>
    <s v="AM"/>
    <x v="1"/>
    <x v="1"/>
  </r>
  <r>
    <x v="1"/>
    <n v="2"/>
    <s v="JLB"/>
    <x v="2"/>
    <x v="0"/>
  </r>
  <r>
    <x v="1"/>
    <n v="2"/>
    <s v="FV"/>
    <x v="0"/>
    <x v="0"/>
  </r>
  <r>
    <x v="1"/>
    <n v="2"/>
    <s v="CS"/>
    <x v="2"/>
    <x v="0"/>
  </r>
  <r>
    <x v="1"/>
    <n v="2"/>
    <s v="AB"/>
    <x v="1"/>
    <x v="1"/>
  </r>
  <r>
    <x v="1"/>
    <n v="2"/>
    <s v="AM"/>
    <x v="1"/>
    <x v="1"/>
  </r>
  <r>
    <x v="1"/>
    <n v="2"/>
    <s v="JLB"/>
    <x v="2"/>
    <x v="0"/>
  </r>
  <r>
    <x v="1"/>
    <n v="2"/>
    <s v="FG"/>
    <x v="2"/>
    <x v="0"/>
  </r>
  <r>
    <x v="1"/>
    <n v="2"/>
    <s v="AB"/>
    <x v="1"/>
    <x v="1"/>
  </r>
  <r>
    <x v="1"/>
    <n v="2"/>
    <s v="AM"/>
    <x v="1"/>
    <x v="1"/>
  </r>
  <r>
    <x v="2"/>
    <n v="2"/>
    <s v="JV"/>
    <x v="3"/>
    <x v="0"/>
  </r>
  <r>
    <x v="2"/>
    <n v="2"/>
    <s v="JV"/>
    <x v="3"/>
    <x v="0"/>
  </r>
  <r>
    <x v="2"/>
    <n v="2"/>
    <s v="JV"/>
    <x v="3"/>
    <x v="0"/>
  </r>
  <r>
    <x v="2"/>
    <n v="2"/>
    <s v="JV"/>
    <x v="3"/>
    <x v="0"/>
  </r>
  <r>
    <x v="2"/>
    <n v="2"/>
    <s v="JV"/>
    <x v="3"/>
    <x v="0"/>
  </r>
  <r>
    <x v="2"/>
    <n v="2"/>
    <s v="JV"/>
    <x v="3"/>
    <x v="0"/>
  </r>
  <r>
    <x v="2"/>
    <n v="2"/>
    <s v="JV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895BDA-5826-4BB4-A01D-9CD5BB676C9E}" name="Tableau croisé dynamique1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6" firstHeaderRow="1" firstDataRow="1" firstDataCol="1"/>
  <pivotFields count="5">
    <pivotField axis="axisRow" numFmtId="14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showAll="0"/>
    <pivotField showAll="0">
      <items count="5">
        <item h="1" x="1"/>
        <item x="3"/>
        <item h="1" x="2"/>
        <item h="1" x="0"/>
        <item t="default"/>
      </items>
    </pivotField>
    <pivotField axis="axisRow" showAll="0">
      <items count="3">
        <item x="1"/>
        <item x="0"/>
        <item t="default"/>
      </items>
    </pivotField>
  </pivotFields>
  <rowFields count="2">
    <field x="0"/>
    <field x="4"/>
  </rowFields>
  <rowItems count="3">
    <i>
      <x v="1"/>
    </i>
    <i r="1">
      <x v="1"/>
    </i>
    <i t="grand">
      <x/>
    </i>
  </rowItems>
  <colItems count="1">
    <i/>
  </colItems>
  <dataFields count="1">
    <dataField name="Somme de Durée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pt" xr10:uid="{E9EB34CC-CB73-450E-899A-2D5CDEBBA788}" sourceName="Dépt">
  <pivotTables>
    <pivotTable tabId="4" name="Tableau croisé dynamique1"/>
  </pivotTables>
  <data>
    <tabular pivotCacheId="1926252005">
      <items count="4">
        <i x="1"/>
        <i x="3" s="1"/>
        <i x="2"/>
        <i x="0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mploi" xr10:uid="{71A6DD0F-091B-4727-8F21-159398247C43}" sourceName="Emploi">
  <pivotTables>
    <pivotTable tabId="4" name="Tableau croisé dynamique1"/>
  </pivotTables>
  <data>
    <tabular pivotCacheId="1926252005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épt" xr10:uid="{B0D92C38-06E6-409E-A9DC-41F03862F2A2}" cache="Segment_Dépt" caption="Dépt" rowHeight="241300"/>
  <slicer name="Emploi" xr10:uid="{2E5C5F50-18A8-4C99-953C-23C04DFD223C}" cache="Segment_Emploi" caption="Emploi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2165F0-0588-467E-9963-1B97754CCA41}" name="Tableau1" displayName="Tableau1" ref="B2:W22" totalsRowCount="1">
  <autoFilter ref="B2:W21" xr:uid="{1B45ADA3-D530-4E61-A520-89CD259BC9E4}"/>
  <tableColumns count="22">
    <tableColumn id="1" xr3:uid="{536F917C-1AFF-491B-A642-59739F0D1404}" name="Date" totalsRowLabel="Total" dataDxfId="39" totalsRowDxfId="38"/>
    <tableColumn id="3" xr3:uid="{C9379B94-2C19-4587-9804-E3B259860B65}" name="Durée (h)"/>
    <tableColumn id="6" xr3:uid="{418E7E4E-402A-4E5E-ADBA-74373C5A0695}" name="JLB" totalsRowFunction="custom" totalsRowDxfId="37">
      <totalsRowFormula>SUMIF(Tableau1[JLB],"oui",Tableau1[Durée (h)])</totalsRowFormula>
    </tableColumn>
    <tableColumn id="7" xr3:uid="{F1F84758-C7CB-4067-BBF9-005157B6E2CE}" name="Fabrice Giraux" totalsRowFunction="custom" totalsRowDxfId="36">
      <totalsRowFormula>SUMIF(Tableau1[Fabrice Giraux],"oui",Tableau1[Durée (h)])</totalsRowFormula>
    </tableColumn>
    <tableColumn id="8" xr3:uid="{3C30606D-9C56-45D5-9C25-5D50680ED706}" name="Charlotte Serrano" totalsRowFunction="custom" totalsRowDxfId="35">
      <totalsRowFormula>SUMIF(Tableau1[Charlotte Serrano],"oui",Tableau1[Durée (h)])</totalsRowFormula>
    </tableColumn>
    <tableColumn id="9" xr3:uid="{BDDB4D6D-2F34-479A-95B8-6524784B09B9}" name="Hugo Lamy" totalsRowFunction="custom" totalsRowDxfId="34">
      <totalsRowFormula>SUMIF(Tableau1[Hugo Lamy],"oui",Tableau1[Durée (h)])</totalsRowFormula>
    </tableColumn>
    <tableColumn id="10" xr3:uid="{E38555F4-81E7-40C7-A19E-219D787FFF59}" name="Régine Raymond" totalsRowFunction="custom" totalsRowDxfId="33">
      <totalsRowFormula>SUMIF(Tableau1[Régine Raymond],"oui",Tableau1[Durée (h)])</totalsRowFormula>
    </tableColumn>
    <tableColumn id="11" xr3:uid="{06B1A0A4-F59E-4D27-9ABE-1EADF1D218D9}" name="Amel Dubois" totalsRowFunction="custom" totalsRowDxfId="32">
      <totalsRowFormula>SUMIF(Tableau1[Amel Dubois],"oui",Tableau1[Durée (h)])</totalsRowFormula>
    </tableColumn>
    <tableColumn id="12" xr3:uid="{2E72612A-B727-43A1-AAF0-0533E83DC2C1}" name="Frédéric Villebrun" totalsRowFunction="custom" totalsRowDxfId="31">
      <totalsRowFormula>SUMIF(Tableau1[Frédéric Villebrun],"oui",Tableau1[Durée (h)])</totalsRowFormula>
    </tableColumn>
    <tableColumn id="13" xr3:uid="{0FC7FFAE-1067-4945-993B-58FC551C9015}" name="DS" totalsRowFunction="custom" totalsRowDxfId="30">
      <totalsRowFormula>SUMIF(Tableau1[DS],"oui",Tableau1[Durée (h)])</totalsRowFormula>
    </tableColumn>
    <tableColumn id="2" xr3:uid="{72AE410B-7DB7-4162-A0D8-57E5E7C7696C}" name="CS" totalsRowFunction="custom" totalsRowDxfId="29">
      <totalsRowFormula>SUMIF(Tableau1[CS],"oui",Tableau1[Durée (h)])</totalsRowFormula>
    </tableColumn>
    <tableColumn id="14" xr3:uid="{794E65C2-0FC2-4CB5-A0CD-8AD44DBDF6BA}" name="JV" totalsRowFunction="custom" totalsRowDxfId="28">
      <totalsRowFormula>SUMIF(Tableau1[JV],"oui",Tableau1[Durée (h)])</totalsRowFormula>
    </tableColumn>
    <tableColumn id="16" xr3:uid="{F5C88167-B663-490A-9112-61ACB34A7F66}" name="JML" totalsRowFunction="custom" totalsRowDxfId="27">
      <totalsRowFormula>SUMIF(Tableau1[JML],"oui",Tableau1[Durée (h)])</totalsRowFormula>
    </tableColumn>
    <tableColumn id="4" xr3:uid="{F8D5BC53-32BC-45C0-8C09-106C22276D79}" name="ECZ" totalsRowFunction="custom" totalsRowDxfId="26">
      <totalsRowFormula>SUMIF(Tableau1[ECZ],"oui",Tableau1[Durée (h)])</totalsRowFormula>
    </tableColumn>
    <tableColumn id="15" xr3:uid="{191BB3C4-5A0D-4943-811A-9C6793CA916F}" name="PD" totalsRowFunction="custom" totalsRowDxfId="25">
      <totalsRowFormula>SUMIF(Tableau1[PD],"oui",Tableau1[Durée (h)])</totalsRowFormula>
    </tableColumn>
    <tableColumn id="17" xr3:uid="{488E70AE-7D40-4CCC-9FFD-FB7811AF3872}" name="VR" totalsRowFunction="custom" totalsRowDxfId="24">
      <totalsRowFormula>SUMIF(Tableau1[VR],"oui",Tableau1[Durée (h)])</totalsRowFormula>
    </tableColumn>
    <tableColumn id="21" xr3:uid="{DE32FC11-9B9D-49DD-91BB-11BC5747F64A}" name="SK" totalsRowFunction="custom" totalsRowDxfId="23">
      <totalsRowFormula>SUMIF(Tableau1[SK],"oui",Tableau1[Durée (h)])</totalsRowFormula>
    </tableColumn>
    <tableColumn id="18" xr3:uid="{72B6702D-51AC-4E6E-AF82-532DA8425DDB}" name="TLB" totalsRowFunction="custom" totalsRowDxfId="22">
      <totalsRowFormula>SUMIF(Tableau1[TLB],"oui",Tableau1[Durée (h)])</totalsRowFormula>
    </tableColumn>
    <tableColumn id="19" xr3:uid="{F6A203F8-5A00-4E2E-A030-1428D67E3460}" name="DL" totalsRowFunction="custom" totalsRowDxfId="21">
      <totalsRowFormula>SUMIF(Tableau1[DL],"oui",Tableau1[Durée (h)])</totalsRowFormula>
    </tableColumn>
    <tableColumn id="20" xr3:uid="{030B8986-9AC1-4586-91F9-20439895BAAF}" name="IF" totalsRowFunction="custom" totalsRowDxfId="20">
      <totalsRowFormula>SUMIF(Tableau1[IF],"oui",Tableau1[Durée (h)])</totalsRowFormula>
    </tableColumn>
    <tableColumn id="5" xr3:uid="{B67BFBC1-61A3-44DC-8FFB-02946FE2DA32}" name="AB" totalsRowFunction="custom" totalsRowDxfId="19">
      <totalsRowFormula>SUMIF(Tableau1[AB],"oui",Tableau1[Durée (h)])</totalsRowFormula>
    </tableColumn>
    <tableColumn id="22" xr3:uid="{54882B53-3984-45C6-B267-A3D44B1B87D3}" name="AM" totalsRowFunction="custom" totalsRowDxfId="18">
      <totalsRowFormula>SUMIF(Tableau1[AM],"oui",Tableau1[Durée (h)])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4103EB6-19D7-40D7-A240-257453AFE4B1}" name="Tableau6" displayName="Tableau6" ref="Y2:AA6" totalsRowCount="1" headerRowDxfId="17" totalsRowDxfId="16">
  <autoFilter ref="Y2:AA5" xr:uid="{C0990335-FC9E-44B6-AFFD-9514FECAAB74}"/>
  <tableColumns count="3">
    <tableColumn id="1" xr3:uid="{EFDB0E52-3210-4F21-9B07-6479278C09A0}" name="75" totalsRowLabel="Total" totalsRowDxfId="7"/>
    <tableColumn id="2" xr3:uid="{2E090C02-882A-46AF-90B9-59E7BE6A5C3E}" name="Heures" totalsRowFunction="sum" totalsRowDxfId="6"/>
    <tableColumn id="3" xr3:uid="{EEA94655-1767-4327-9CB9-46EBE566A5F5}" name="1er trimestre 2021" dataDxfId="4" totalsRowDxfId="5">
      <calculatedColumnFormula>SUMIFS(C3:C12, A3:A12,"premier trimestre",D1:W1,"Médecin75")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03A9E33-E7F7-4D6D-A179-F7262EE072A6}" name="Tableau7" displayName="Tableau7" ref="Y9:Z13" totalsRowCount="1" headerRowDxfId="15" totalsRowDxfId="14">
  <autoFilter ref="Y9:Z12" xr:uid="{15A7A3FF-7436-4055-B54B-155B1B5ABA38}"/>
  <tableColumns count="2">
    <tableColumn id="1" xr3:uid="{B6ACDDA8-0CFB-4243-9900-E79EA48222E7}" name="93" totalsRowLabel="Total" totalsRowDxfId="13"/>
    <tableColumn id="2" xr3:uid="{7CCEEF78-A027-4BBA-A6CD-3B131003FBA7}" name="Heures" totalsRowFunction="sum" totalsRowDxfId="12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81B809A-AFD9-426D-A8E7-46F43C90625E}" name="Tableau8" displayName="Tableau8" ref="Y16:Z20" totalsRowCount="1" headerRowDxfId="11" totalsRowDxfId="10">
  <autoFilter ref="Y16:Z19" xr:uid="{E7A9982C-E542-4FDA-A44D-6F9F51DABA10}"/>
  <tableColumns count="2">
    <tableColumn id="1" xr3:uid="{6D4783B6-3D84-433E-9129-90D6C0F5319E}" name="94" totalsRowLabel="Total" totalsRowDxfId="9"/>
    <tableColumn id="2" xr3:uid="{FB7EEB1C-2795-409C-9773-48D79215EA13}" name="heures" totalsRowFunction="sum" totalsRowDxfId="8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BF7AFD1-752A-4639-B074-CE0C50FE9A58}" name="Tableau9" displayName="Tableau9" ref="Y24:Y25" totalsRowShown="0">
  <autoFilter ref="Y24:Y25" xr:uid="{7BF7AFD1-752A-4639-B074-CE0C50FE9A58}"/>
  <tableColumns count="1">
    <tableColumn id="1" xr3:uid="{56E48F78-45D8-4B96-931D-86243BAF848B}" name="TOTAL IJ">
      <calculatedColumnFormula>SUMIF(1:1,"IJFR",Tableau1[#Totals])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B308D7D-AFEB-4026-A82F-D886AFC3E724}" name="t_Personnel" displayName="t_Personnel" ref="L4:N24" totalsRowShown="0">
  <autoFilter ref="L4:N24" xr:uid="{D54ED2B6-FE26-4D66-8252-177AA9CD2C5E}"/>
  <tableColumns count="3">
    <tableColumn id="1" xr3:uid="{B48780D3-DADD-4E82-8871-DAAC1C822D01}" name="Nom" dataDxfId="3"/>
    <tableColumn id="2" xr3:uid="{B88B0E1D-BBB3-446C-ABE4-F6C814FA8791}" name="Emploi"/>
    <tableColumn id="3" xr3:uid="{E9540264-3C90-4AC0-ABC7-DDDC35B5B0A0}" name="Dép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28C9E662-5330-42CD-A2CE-2054CEFC1412}" name="t_Saisie" displayName="t_Saisie" ref="B4:F23" totalsRowShown="0" headerRowDxfId="0">
  <autoFilter ref="B4:F23" xr:uid="{28C9E662-5330-42CD-A2CE-2054CEFC1412}"/>
  <tableColumns count="5">
    <tableColumn id="1" xr3:uid="{CA68F233-A70C-4AB1-8B30-33EBE6BD2ACA}" name="Date" dataDxfId="2"/>
    <tableColumn id="2" xr3:uid="{3FDA3398-1BBB-4B4D-9FD3-40834D353ACD}" name="Durée" dataDxfId="1"/>
    <tableColumn id="3" xr3:uid="{066334F3-74FB-4C57-BE19-7B05834A797A}" name="Nom"/>
    <tableColumn id="4" xr3:uid="{7CFEF668-CC00-4D19-AB11-DBB64FC70485}" name="Dépt">
      <calculatedColumnFormula>VLOOKUP(D5,t_Personnel[],3,0)</calculatedColumnFormula>
    </tableColumn>
    <tableColumn id="5" xr3:uid="{3BA860A7-614F-495D-9E3E-36A5E1825830}" name="Emploi">
      <calculatedColumnFormula>VLOOKUP(D5,t_Personnel[],2,0)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8ABDF-FC08-45D4-94E9-61655A995A4B}">
  <sheetPr>
    <tabColor rgb="FFFFFF00"/>
  </sheetPr>
  <dimension ref="A1:AB37"/>
  <sheetViews>
    <sheetView zoomScale="80" zoomScaleNormal="80" workbookViewId="0">
      <pane xSplit="3" ySplit="2" topLeftCell="H3" activePane="bottomRight" state="frozen"/>
      <selection pane="topRight" activeCell="F1" sqref="F1"/>
      <selection pane="bottomLeft" activeCell="A4" sqref="A4"/>
      <selection pane="bottomRight" activeCell="AA3" sqref="AA3"/>
    </sheetView>
  </sheetViews>
  <sheetFormatPr baseColWidth="10" defaultRowHeight="15" x14ac:dyDescent="0.25"/>
  <cols>
    <col min="1" max="1" width="15.5703125" customWidth="1"/>
    <col min="2" max="2" width="14.85546875" customWidth="1"/>
    <col min="3" max="3" width="9.7109375" customWidth="1"/>
    <col min="4" max="4" width="10.28515625" customWidth="1"/>
    <col min="25" max="25" width="17.7109375" customWidth="1"/>
  </cols>
  <sheetData>
    <row r="1" spans="1:28" ht="25.9" customHeight="1" x14ac:dyDescent="0.25">
      <c r="D1" t="s">
        <v>9</v>
      </c>
      <c r="E1" t="s">
        <v>9</v>
      </c>
      <c r="F1" t="s">
        <v>9</v>
      </c>
      <c r="G1" t="s">
        <v>9</v>
      </c>
      <c r="H1" t="s">
        <v>10</v>
      </c>
      <c r="I1" t="s">
        <v>10</v>
      </c>
      <c r="J1" t="s">
        <v>11</v>
      </c>
      <c r="K1" t="s">
        <v>11</v>
      </c>
      <c r="L1" t="s">
        <v>27</v>
      </c>
      <c r="M1" t="s">
        <v>12</v>
      </c>
      <c r="N1" t="s">
        <v>12</v>
      </c>
      <c r="O1" t="s">
        <v>12</v>
      </c>
      <c r="P1" t="s">
        <v>12</v>
      </c>
      <c r="Q1" t="s">
        <v>12</v>
      </c>
      <c r="R1" t="s">
        <v>12</v>
      </c>
      <c r="S1" t="s">
        <v>13</v>
      </c>
      <c r="T1" t="s">
        <v>13</v>
      </c>
      <c r="U1" t="s">
        <v>13</v>
      </c>
      <c r="V1" t="s">
        <v>32</v>
      </c>
      <c r="W1" t="s">
        <v>32</v>
      </c>
    </row>
    <row r="2" spans="1:28" ht="28.9" customHeight="1" x14ac:dyDescent="0.25">
      <c r="B2" t="s">
        <v>0</v>
      </c>
      <c r="C2" t="s">
        <v>23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35</v>
      </c>
      <c r="L2" t="s">
        <v>34</v>
      </c>
      <c r="M2" t="s">
        <v>36</v>
      </c>
      <c r="N2" t="s">
        <v>37</v>
      </c>
      <c r="O2" t="s">
        <v>38</v>
      </c>
      <c r="P2" t="s">
        <v>31</v>
      </c>
      <c r="Q2" t="s">
        <v>39</v>
      </c>
      <c r="R2" t="s">
        <v>40</v>
      </c>
      <c r="S2" t="s">
        <v>41</v>
      </c>
      <c r="T2" t="s">
        <v>42</v>
      </c>
      <c r="U2" t="s">
        <v>43</v>
      </c>
      <c r="V2" t="s">
        <v>33</v>
      </c>
      <c r="W2" t="s">
        <v>25</v>
      </c>
      <c r="Y2" s="4" t="s">
        <v>22</v>
      </c>
      <c r="Z2" s="4" t="s">
        <v>21</v>
      </c>
      <c r="AA2" s="4" t="s">
        <v>28</v>
      </c>
    </row>
    <row r="3" spans="1:28" x14ac:dyDescent="0.25">
      <c r="A3" t="s">
        <v>30</v>
      </c>
      <c r="B3" s="7">
        <v>44209</v>
      </c>
      <c r="C3" s="10">
        <v>1</v>
      </c>
      <c r="J3" t="s">
        <v>8</v>
      </c>
      <c r="V3" t="s">
        <v>8</v>
      </c>
      <c r="W3" t="s">
        <v>8</v>
      </c>
      <c r="Y3" t="s">
        <v>14</v>
      </c>
      <c r="Z3" s="5">
        <f>SUMIF(I1:W1,"Médecin75",Tableau1[[#Totals],[JLB]:[AM]])</f>
        <v>24.5</v>
      </c>
      <c r="AA3" t="e">
        <f t="shared" ref="AA3:AA5" si="0">SUMIFS(C3:C12, A3:A12,"premier trimestre",D1:W1,"Médecin75")</f>
        <v>#VALUE!</v>
      </c>
    </row>
    <row r="4" spans="1:28" x14ac:dyDescent="0.25">
      <c r="A4" t="s">
        <v>30</v>
      </c>
      <c r="B4" s="7">
        <v>44231</v>
      </c>
      <c r="C4" s="10">
        <v>2</v>
      </c>
      <c r="J4" t="s">
        <v>8</v>
      </c>
      <c r="W4" t="s">
        <v>8</v>
      </c>
      <c r="Y4" t="s">
        <v>15</v>
      </c>
      <c r="Z4" s="5">
        <f ca="1">SUMIF(1:1,"Paraméd75",Tableau1[#Totals])</f>
        <v>18</v>
      </c>
      <c r="AA4" t="e">
        <f t="shared" si="0"/>
        <v>#VALUE!</v>
      </c>
    </row>
    <row r="5" spans="1:28" x14ac:dyDescent="0.25">
      <c r="A5" t="s">
        <v>30</v>
      </c>
      <c r="B5" s="7">
        <v>44250</v>
      </c>
      <c r="C5" s="10">
        <v>1</v>
      </c>
      <c r="W5" t="s">
        <v>8</v>
      </c>
      <c r="Y5" t="s">
        <v>16</v>
      </c>
      <c r="Z5">
        <f ca="1">SUMIF(1:1,"Admin75",Tableau1[#Totals])</f>
        <v>0</v>
      </c>
      <c r="AA5" t="e">
        <f t="shared" si="0"/>
        <v>#VALUE!</v>
      </c>
    </row>
    <row r="6" spans="1:28" ht="19.149999999999999" customHeight="1" x14ac:dyDescent="0.25">
      <c r="A6" t="s">
        <v>30</v>
      </c>
      <c r="B6" s="7">
        <v>44251</v>
      </c>
      <c r="C6" s="10">
        <v>1</v>
      </c>
      <c r="V6" t="s">
        <v>8</v>
      </c>
      <c r="W6" t="s">
        <v>8</v>
      </c>
      <c r="Y6" s="4" t="s">
        <v>17</v>
      </c>
      <c r="Z6" s="4">
        <f ca="1">SUBTOTAL(109,Tableau6[Heures])</f>
        <v>42.5</v>
      </c>
      <c r="AA6" s="4"/>
    </row>
    <row r="7" spans="1:28" x14ac:dyDescent="0.25">
      <c r="A7" t="s">
        <v>30</v>
      </c>
      <c r="B7" s="7">
        <v>44267</v>
      </c>
      <c r="C7" s="10">
        <v>2</v>
      </c>
      <c r="J7" t="s">
        <v>8</v>
      </c>
      <c r="L7" t="s">
        <v>8</v>
      </c>
      <c r="V7" t="s">
        <v>8</v>
      </c>
      <c r="W7" t="s">
        <v>8</v>
      </c>
    </row>
    <row r="8" spans="1:28" x14ac:dyDescent="0.25">
      <c r="A8" t="s">
        <v>30</v>
      </c>
      <c r="B8" s="7">
        <v>44267</v>
      </c>
      <c r="C8" s="10">
        <v>2</v>
      </c>
      <c r="D8" t="s">
        <v>8</v>
      </c>
      <c r="E8" t="s">
        <v>8</v>
      </c>
      <c r="V8" t="s">
        <v>8</v>
      </c>
      <c r="W8" t="s">
        <v>8</v>
      </c>
    </row>
    <row r="9" spans="1:28" x14ac:dyDescent="0.25">
      <c r="A9" t="s">
        <v>30</v>
      </c>
      <c r="B9" s="7">
        <v>44277</v>
      </c>
      <c r="C9" s="10">
        <v>2</v>
      </c>
      <c r="M9" t="s">
        <v>8</v>
      </c>
      <c r="P9" t="s">
        <v>8</v>
      </c>
      <c r="Q9" t="s">
        <v>8</v>
      </c>
      <c r="S9" t="s">
        <v>8</v>
      </c>
      <c r="V9" t="s">
        <v>8</v>
      </c>
      <c r="W9" t="s">
        <v>8</v>
      </c>
      <c r="Y9" s="4" t="s">
        <v>20</v>
      </c>
      <c r="Z9" s="4" t="s">
        <v>21</v>
      </c>
    </row>
    <row r="10" spans="1:28" x14ac:dyDescent="0.25">
      <c r="A10" t="s">
        <v>30</v>
      </c>
      <c r="B10" s="7">
        <v>44278</v>
      </c>
      <c r="C10" s="10">
        <v>0.5</v>
      </c>
      <c r="J10" t="s">
        <v>8</v>
      </c>
      <c r="K10" t="s">
        <v>8</v>
      </c>
      <c r="W10" t="s">
        <v>8</v>
      </c>
      <c r="Y10" t="s">
        <v>14</v>
      </c>
      <c r="Z10" s="5">
        <f ca="1">SUMIF(1:1,"Médecin93",Tableau1[#Totals])</f>
        <v>14</v>
      </c>
    </row>
    <row r="11" spans="1:28" x14ac:dyDescent="0.25">
      <c r="A11" t="s">
        <v>30</v>
      </c>
      <c r="B11" s="7">
        <v>44280</v>
      </c>
      <c r="C11" s="10">
        <v>2</v>
      </c>
      <c r="D11" t="s">
        <v>8</v>
      </c>
      <c r="E11" t="s">
        <v>8</v>
      </c>
      <c r="F11" t="s">
        <v>8</v>
      </c>
      <c r="H11" t="s">
        <v>8</v>
      </c>
      <c r="I11" t="s">
        <v>8</v>
      </c>
      <c r="W11" t="s">
        <v>8</v>
      </c>
      <c r="Y11" t="s">
        <v>15</v>
      </c>
      <c r="Z11">
        <f ca="1">SUMIF(1:1,"Paraméd93",Tableau1[#Totals])</f>
        <v>0</v>
      </c>
    </row>
    <row r="12" spans="1:28" x14ac:dyDescent="0.25">
      <c r="A12" t="s">
        <v>30</v>
      </c>
      <c r="B12" s="7">
        <v>44281</v>
      </c>
      <c r="C12" s="10">
        <v>2</v>
      </c>
      <c r="D12" t="s">
        <v>8</v>
      </c>
      <c r="E12" t="s">
        <v>8</v>
      </c>
      <c r="H12" t="s">
        <v>8</v>
      </c>
      <c r="I12" t="s">
        <v>8</v>
      </c>
      <c r="S12" t="s">
        <v>8</v>
      </c>
      <c r="T12" t="s">
        <v>8</v>
      </c>
      <c r="V12" t="s">
        <v>8</v>
      </c>
      <c r="W12" t="s">
        <v>8</v>
      </c>
      <c r="Y12" t="s">
        <v>16</v>
      </c>
      <c r="Z12" s="5">
        <f ca="1">SUMIF(1:1,"Admin93",Tableau1[#Totals])</f>
        <v>11.5</v>
      </c>
    </row>
    <row r="13" spans="1:28" x14ac:dyDescent="0.25">
      <c r="B13" s="7">
        <v>44292</v>
      </c>
      <c r="C13" s="10">
        <v>2</v>
      </c>
      <c r="M13" t="s">
        <v>8</v>
      </c>
      <c r="N13" t="s">
        <v>8</v>
      </c>
      <c r="P13" t="s">
        <v>8</v>
      </c>
      <c r="Q13" t="s">
        <v>8</v>
      </c>
      <c r="S13" t="s">
        <v>8</v>
      </c>
      <c r="U13" t="s">
        <v>8</v>
      </c>
      <c r="W13" t="s">
        <v>8</v>
      </c>
      <c r="Y13" s="4" t="s">
        <v>17</v>
      </c>
      <c r="Z13" s="4">
        <f ca="1">SUBTOTAL(109,Tableau7[Heures])</f>
        <v>25.5</v>
      </c>
    </row>
    <row r="14" spans="1:28" x14ac:dyDescent="0.25">
      <c r="B14" s="7">
        <v>44294</v>
      </c>
      <c r="C14" s="10">
        <v>2</v>
      </c>
      <c r="E14" t="s">
        <v>8</v>
      </c>
      <c r="P14" t="s">
        <v>8</v>
      </c>
      <c r="W14" t="s">
        <v>8</v>
      </c>
    </row>
    <row r="15" spans="1:28" x14ac:dyDescent="0.25">
      <c r="B15" s="7">
        <v>44294</v>
      </c>
      <c r="C15" s="10">
        <v>2</v>
      </c>
      <c r="J15" t="s">
        <v>8</v>
      </c>
      <c r="K15" t="s">
        <v>8</v>
      </c>
      <c r="W15" t="s">
        <v>8</v>
      </c>
    </row>
    <row r="16" spans="1:28" x14ac:dyDescent="0.25">
      <c r="B16" s="7">
        <v>44301</v>
      </c>
      <c r="C16" s="10">
        <v>2</v>
      </c>
      <c r="V16" t="s">
        <v>8</v>
      </c>
      <c r="W16" t="s">
        <v>8</v>
      </c>
      <c r="Y16" s="4" t="s">
        <v>18</v>
      </c>
      <c r="Z16" s="4" t="s">
        <v>19</v>
      </c>
      <c r="AB16" t="s">
        <v>26</v>
      </c>
    </row>
    <row r="17" spans="2:28" x14ac:dyDescent="0.25">
      <c r="B17" s="7">
        <v>44355</v>
      </c>
      <c r="C17" s="10">
        <v>1</v>
      </c>
      <c r="O17" t="s">
        <v>8</v>
      </c>
      <c r="P17" t="s">
        <v>8</v>
      </c>
      <c r="Q17" t="s">
        <v>8</v>
      </c>
      <c r="R17" t="s">
        <v>8</v>
      </c>
      <c r="S17" t="s">
        <v>8</v>
      </c>
      <c r="T17" t="s">
        <v>8</v>
      </c>
      <c r="U17" t="s">
        <v>8</v>
      </c>
      <c r="W17" t="s">
        <v>8</v>
      </c>
      <c r="Y17" t="s">
        <v>14</v>
      </c>
      <c r="Z17" s="5">
        <f ca="1">SUMIF(1:1,"Médecin94",Tableau1[#Totals])</f>
        <v>4.5</v>
      </c>
      <c r="AB17" s="5" t="s">
        <v>24</v>
      </c>
    </row>
    <row r="18" spans="2:28" x14ac:dyDescent="0.25">
      <c r="B18" s="8">
        <v>44376</v>
      </c>
      <c r="C18" s="1">
        <v>0.5</v>
      </c>
      <c r="M18" t="s">
        <v>8</v>
      </c>
      <c r="W18" t="s">
        <v>8</v>
      </c>
      <c r="Y18" t="s">
        <v>15</v>
      </c>
      <c r="Z18">
        <f ca="1">SUMIF(1:1,"Paraméd94",Tableau1[#Totals])</f>
        <v>0</v>
      </c>
    </row>
    <row r="19" spans="2:28" x14ac:dyDescent="0.25">
      <c r="B19" s="9">
        <v>44378</v>
      </c>
      <c r="C19" s="6">
        <v>1</v>
      </c>
      <c r="N19" t="s">
        <v>8</v>
      </c>
      <c r="W19" t="s">
        <v>8</v>
      </c>
      <c r="Y19" t="s">
        <v>16</v>
      </c>
      <c r="Z19" s="5">
        <f ca="1">SUMIF(1:1,"Admin94",Tableau1[#Totals])</f>
        <v>4.5</v>
      </c>
    </row>
    <row r="20" spans="2:28" x14ac:dyDescent="0.25">
      <c r="B20" s="9"/>
      <c r="C20" s="6"/>
      <c r="Y20" s="4" t="s">
        <v>17</v>
      </c>
      <c r="Z20" s="4">
        <f ca="1">SUBTOTAL(109,Tableau8[heures])</f>
        <v>9</v>
      </c>
      <c r="AB20" s="5"/>
    </row>
    <row r="21" spans="2:28" x14ac:dyDescent="0.25">
      <c r="B21" s="9"/>
      <c r="C21" s="6"/>
    </row>
    <row r="22" spans="2:28" x14ac:dyDescent="0.25">
      <c r="B22" s="5" t="s">
        <v>17</v>
      </c>
      <c r="D22" s="2">
        <f>SUMIF(Tableau1[JLB],"oui",Tableau1[Durée (h)])</f>
        <v>6</v>
      </c>
      <c r="E22" s="2">
        <f>SUMIF(Tableau1[Fabrice Giraux],"oui",Tableau1[Durée (h)])</f>
        <v>8</v>
      </c>
      <c r="F22" s="2">
        <f>SUMIF(Tableau1[Charlotte Serrano],"oui",Tableau1[Durée (h)])</f>
        <v>2</v>
      </c>
      <c r="G22" s="2">
        <f>SUMIF(Tableau1[Hugo Lamy],"oui",Tableau1[Durée (h)])</f>
        <v>0</v>
      </c>
      <c r="H22" s="2">
        <f>SUMIF(Tableau1[Régine Raymond],"oui",Tableau1[Durée (h)])</f>
        <v>4</v>
      </c>
      <c r="I22" s="2">
        <f>SUMIF(Tableau1[Amel Dubois],"oui",Tableau1[Durée (h)])</f>
        <v>4</v>
      </c>
      <c r="J22" s="2">
        <f>SUMIF(Tableau1[Frédéric Villebrun],"oui",Tableau1[Durée (h)])</f>
        <v>7.5</v>
      </c>
      <c r="K22" s="2">
        <f>SUMIF(Tableau1[DS],"oui",Tableau1[Durée (h)])</f>
        <v>2.5</v>
      </c>
      <c r="L22" s="2">
        <f>SUMIF(Tableau1[CS],"oui",Tableau1[Durée (h)])</f>
        <v>2</v>
      </c>
      <c r="M22" s="2">
        <f>SUMIF(Tableau1[JV],"oui",Tableau1[Durée (h)])</f>
        <v>4.5</v>
      </c>
      <c r="N22" s="2">
        <f>SUMIF(Tableau1[JML],"oui",Tableau1[Durée (h)])</f>
        <v>3</v>
      </c>
      <c r="O22" s="2">
        <f>SUMIF(Tableau1[ECZ],"oui",Tableau1[Durée (h)])</f>
        <v>1</v>
      </c>
      <c r="P22" s="2">
        <f>SUMIF(Tableau1[PD],"oui",Tableau1[Durée (h)])</f>
        <v>7</v>
      </c>
      <c r="Q22" s="2">
        <f>SUMIF(Tableau1[VR],"oui",Tableau1[Durée (h)])</f>
        <v>5</v>
      </c>
      <c r="R22" s="2">
        <f>SUMIF(Tableau1[SK],"oui",Tableau1[Durée (h)])</f>
        <v>1</v>
      </c>
      <c r="S22" s="2">
        <f>SUMIF(Tableau1[TLB],"oui",Tableau1[Durée (h)])</f>
        <v>7</v>
      </c>
      <c r="T22" s="2">
        <f>SUMIF(Tableau1[DL],"oui",Tableau1[Durée (h)])</f>
        <v>3</v>
      </c>
      <c r="U22" s="2">
        <f>SUMIF(Tableau1[IF],"oui",Tableau1[Durée (h)])</f>
        <v>3</v>
      </c>
      <c r="V22" s="2">
        <f>SUMIF(Tableau1[AB],"oui",Tableau1[Durée (h)])</f>
        <v>12</v>
      </c>
      <c r="W22" s="2">
        <f>SUMIF(Tableau1[AM],"oui",Tableau1[Durée (h)])</f>
        <v>26</v>
      </c>
    </row>
    <row r="23" spans="2:28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2:28" x14ac:dyDescent="0.25">
      <c r="Y24" t="s">
        <v>44</v>
      </c>
    </row>
    <row r="25" spans="2:28" x14ac:dyDescent="0.25">
      <c r="Y25">
        <f ca="1">SUMIF(1:1,"IJFR",Tableau1[#Totals])</f>
        <v>0</v>
      </c>
    </row>
    <row r="27" spans="2:28" x14ac:dyDescent="0.25">
      <c r="Y27" s="5" t="s">
        <v>29</v>
      </c>
    </row>
    <row r="37" s="3" customFormat="1" x14ac:dyDescent="0.25"/>
  </sheetData>
  <phoneticPr fontId="2" type="noConversion"/>
  <dataValidations count="3">
    <dataValidation type="date" operator="greaterThanOrEqual" allowBlank="1" showInputMessage="1" showErrorMessage="1" sqref="B3:B21" xr:uid="{DD9C13DB-368F-4BA2-80F3-E10B40F01693}">
      <formula1>44209</formula1>
    </dataValidation>
    <dataValidation errorTitle="vérifiez votre saisie" error="Les durées possibles sont 30min;1h;1h30;2h;2h30;3h;3h30 et 4h" sqref="C3:C21" xr:uid="{7F049A75-13AF-40C8-A6F5-EC0E8C5EC29B}"/>
    <dataValidation type="list" allowBlank="1" showInputMessage="1" showErrorMessage="1" sqref="D3:W21" xr:uid="{BF722EA1-C230-47AD-88A7-D083B660802F}">
      <formula1>"oui, non, ,"</formula1>
    </dataValidation>
  </dataValidations>
  <pageMargins left="0.7" right="0.7" top="0.75" bottom="0.75" header="0.3" footer="0.3"/>
  <pageSetup orientation="portrait"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793F-AC7B-443B-9E33-2EC619EE0EC0}">
  <sheetPr>
    <tabColor rgb="FFFFFF00"/>
  </sheetPr>
  <dimension ref="B2:N24"/>
  <sheetViews>
    <sheetView showGridLines="0" zoomScale="80" zoomScaleNormal="80" workbookViewId="0">
      <selection activeCell="B6" sqref="B6"/>
    </sheetView>
  </sheetViews>
  <sheetFormatPr baseColWidth="10" defaultRowHeight="15" x14ac:dyDescent="0.25"/>
  <cols>
    <col min="1" max="1" width="14.85546875" customWidth="1"/>
    <col min="2" max="2" width="12.42578125" bestFit="1" customWidth="1"/>
    <col min="3" max="3" width="12.85546875" customWidth="1"/>
  </cols>
  <sheetData>
    <row r="2" spans="2:14" x14ac:dyDescent="0.25">
      <c r="B2" t="s">
        <v>58</v>
      </c>
      <c r="L2" t="s">
        <v>50</v>
      </c>
    </row>
    <row r="4" spans="2:14" x14ac:dyDescent="0.25">
      <c r="B4" s="12" t="s">
        <v>0</v>
      </c>
      <c r="C4" s="12" t="s">
        <v>47</v>
      </c>
      <c r="D4" s="12" t="s">
        <v>49</v>
      </c>
      <c r="E4" s="12" t="s">
        <v>45</v>
      </c>
      <c r="F4" s="12" t="s">
        <v>46</v>
      </c>
      <c r="L4" t="s">
        <v>49</v>
      </c>
      <c r="M4" t="s">
        <v>46</v>
      </c>
      <c r="N4" t="s">
        <v>45</v>
      </c>
    </row>
    <row r="5" spans="2:14" x14ac:dyDescent="0.25">
      <c r="B5" s="11">
        <v>44209</v>
      </c>
      <c r="C5" s="12">
        <v>1</v>
      </c>
      <c r="D5" t="s">
        <v>56</v>
      </c>
      <c r="E5">
        <f>VLOOKUP(D5,t_Personnel[],3,0)</f>
        <v>94</v>
      </c>
      <c r="F5" t="str">
        <f>VLOOKUP(D5,t_Personnel[],2,0)</f>
        <v>Médecin</v>
      </c>
      <c r="L5" t="s">
        <v>51</v>
      </c>
      <c r="M5" t="s">
        <v>48</v>
      </c>
      <c r="N5">
        <v>93</v>
      </c>
    </row>
    <row r="6" spans="2:14" x14ac:dyDescent="0.25">
      <c r="B6" s="11">
        <v>44209</v>
      </c>
      <c r="C6" s="12">
        <v>1</v>
      </c>
      <c r="D6" t="s">
        <v>33</v>
      </c>
      <c r="E6">
        <f>VLOOKUP(D6,t_Personnel[],3,0)</f>
        <v>0</v>
      </c>
      <c r="F6" t="str">
        <f>VLOOKUP(D6,t_Personnel[],2,0)</f>
        <v>IJ</v>
      </c>
      <c r="L6" t="s">
        <v>1</v>
      </c>
      <c r="M6" t="s">
        <v>48</v>
      </c>
      <c r="N6">
        <v>93</v>
      </c>
    </row>
    <row r="7" spans="2:14" x14ac:dyDescent="0.25">
      <c r="B7" s="11">
        <v>44209</v>
      </c>
      <c r="C7" s="12">
        <v>1</v>
      </c>
      <c r="D7" t="s">
        <v>25</v>
      </c>
      <c r="E7">
        <f>VLOOKUP(D7,t_Personnel[],3,0)</f>
        <v>0</v>
      </c>
      <c r="F7" t="str">
        <f>VLOOKUP(D7,t_Personnel[],2,0)</f>
        <v>IJ</v>
      </c>
      <c r="L7" t="s">
        <v>34</v>
      </c>
      <c r="M7" t="s">
        <v>48</v>
      </c>
      <c r="N7">
        <v>93</v>
      </c>
    </row>
    <row r="8" spans="2:14" x14ac:dyDescent="0.25">
      <c r="B8" s="11">
        <v>44267</v>
      </c>
      <c r="C8" s="12">
        <v>2</v>
      </c>
      <c r="D8" t="s">
        <v>1</v>
      </c>
      <c r="E8">
        <f>VLOOKUP(D8,t_Personnel[],3,0)</f>
        <v>93</v>
      </c>
      <c r="F8" t="str">
        <f>VLOOKUP(D8,t_Personnel[],2,0)</f>
        <v>Médecin</v>
      </c>
      <c r="L8" t="s">
        <v>52</v>
      </c>
      <c r="M8" t="s">
        <v>53</v>
      </c>
      <c r="N8">
        <v>93</v>
      </c>
    </row>
    <row r="9" spans="2:14" x14ac:dyDescent="0.25">
      <c r="B9" s="11">
        <v>44267</v>
      </c>
      <c r="C9" s="12">
        <v>2</v>
      </c>
      <c r="D9" t="s">
        <v>56</v>
      </c>
      <c r="E9">
        <f>VLOOKUP(D9,t_Personnel[],3,0)</f>
        <v>94</v>
      </c>
      <c r="F9" t="str">
        <f>VLOOKUP(D9,t_Personnel[],2,0)</f>
        <v>Médecin</v>
      </c>
      <c r="L9" t="s">
        <v>54</v>
      </c>
      <c r="M9" t="s">
        <v>48</v>
      </c>
      <c r="N9">
        <v>93</v>
      </c>
    </row>
    <row r="10" spans="2:14" x14ac:dyDescent="0.25">
      <c r="B10" s="11">
        <v>44267</v>
      </c>
      <c r="C10" s="12">
        <v>2</v>
      </c>
      <c r="D10" t="s">
        <v>34</v>
      </c>
      <c r="E10">
        <f>VLOOKUP(D10,t_Personnel[],3,0)</f>
        <v>93</v>
      </c>
      <c r="F10" t="str">
        <f>VLOOKUP(D10,t_Personnel[],2,0)</f>
        <v>Médecin</v>
      </c>
      <c r="L10" t="s">
        <v>55</v>
      </c>
      <c r="M10" t="s">
        <v>53</v>
      </c>
      <c r="N10">
        <v>93</v>
      </c>
    </row>
    <row r="11" spans="2:14" x14ac:dyDescent="0.25">
      <c r="B11" s="11">
        <v>44267</v>
      </c>
      <c r="C11" s="12">
        <v>2</v>
      </c>
      <c r="D11" t="s">
        <v>33</v>
      </c>
      <c r="E11">
        <f>VLOOKUP(D11,t_Personnel[],3,0)</f>
        <v>0</v>
      </c>
      <c r="F11" t="str">
        <f>VLOOKUP(D11,t_Personnel[],2,0)</f>
        <v>IJ</v>
      </c>
      <c r="L11" t="s">
        <v>56</v>
      </c>
      <c r="M11" t="s">
        <v>48</v>
      </c>
      <c r="N11">
        <v>94</v>
      </c>
    </row>
    <row r="12" spans="2:14" x14ac:dyDescent="0.25">
      <c r="B12" s="11">
        <v>44267</v>
      </c>
      <c r="C12" s="12">
        <v>2</v>
      </c>
      <c r="D12" t="s">
        <v>25</v>
      </c>
      <c r="E12">
        <f>VLOOKUP(D12,t_Personnel[],3,0)</f>
        <v>0</v>
      </c>
      <c r="F12" t="str">
        <f>VLOOKUP(D12,t_Personnel[],2,0)</f>
        <v>IJ</v>
      </c>
      <c r="L12" t="s">
        <v>35</v>
      </c>
      <c r="M12" t="s">
        <v>48</v>
      </c>
      <c r="N12">
        <v>94</v>
      </c>
    </row>
    <row r="13" spans="2:14" x14ac:dyDescent="0.25">
      <c r="B13" s="11">
        <v>44267</v>
      </c>
      <c r="C13" s="12">
        <v>2</v>
      </c>
      <c r="D13" t="s">
        <v>1</v>
      </c>
      <c r="E13">
        <f>VLOOKUP(D13,t_Personnel[],3,0)</f>
        <v>93</v>
      </c>
      <c r="F13" t="str">
        <f>VLOOKUP(D13,t_Personnel[],2,0)</f>
        <v>Médecin</v>
      </c>
      <c r="L13" t="s">
        <v>34</v>
      </c>
      <c r="M13" t="s">
        <v>53</v>
      </c>
      <c r="N13">
        <v>94</v>
      </c>
    </row>
    <row r="14" spans="2:14" s="3" customFormat="1" x14ac:dyDescent="0.25">
      <c r="B14" s="11">
        <v>44267</v>
      </c>
      <c r="C14" s="12">
        <v>2</v>
      </c>
      <c r="D14" t="s">
        <v>51</v>
      </c>
      <c r="E14">
        <f>VLOOKUP(D14,t_Personnel[],3,0)</f>
        <v>93</v>
      </c>
      <c r="F14" t="str">
        <f>VLOOKUP(D14,t_Personnel[],2,0)</f>
        <v>Médecin</v>
      </c>
      <c r="L14" s="3" t="s">
        <v>36</v>
      </c>
      <c r="M14" s="3" t="s">
        <v>48</v>
      </c>
      <c r="N14" s="3">
        <v>75</v>
      </c>
    </row>
    <row r="15" spans="2:14" x14ac:dyDescent="0.25">
      <c r="B15" s="11">
        <v>44267</v>
      </c>
      <c r="C15" s="12">
        <v>2</v>
      </c>
      <c r="D15" t="s">
        <v>33</v>
      </c>
      <c r="E15">
        <f>VLOOKUP(D15,t_Personnel[],3,0)</f>
        <v>0</v>
      </c>
      <c r="F15" t="str">
        <f>VLOOKUP(D15,t_Personnel[],2,0)</f>
        <v>IJ</v>
      </c>
      <c r="L15" s="3" t="s">
        <v>37</v>
      </c>
      <c r="M15" t="s">
        <v>48</v>
      </c>
      <c r="N15">
        <v>75</v>
      </c>
    </row>
    <row r="16" spans="2:14" x14ac:dyDescent="0.25">
      <c r="B16" s="11">
        <v>44267</v>
      </c>
      <c r="C16" s="12">
        <v>2</v>
      </c>
      <c r="D16" t="s">
        <v>25</v>
      </c>
      <c r="E16">
        <f>VLOOKUP(D16,t_Personnel[],3,0)</f>
        <v>0</v>
      </c>
      <c r="F16" t="str">
        <f>VLOOKUP(D16,t_Personnel[],2,0)</f>
        <v>IJ</v>
      </c>
      <c r="L16" s="3" t="s">
        <v>38</v>
      </c>
      <c r="M16" t="s">
        <v>48</v>
      </c>
      <c r="N16">
        <v>75</v>
      </c>
    </row>
    <row r="17" spans="2:14" x14ac:dyDescent="0.25">
      <c r="B17" s="11">
        <v>44277</v>
      </c>
      <c r="C17" s="12">
        <v>2</v>
      </c>
      <c r="D17" t="s">
        <v>36</v>
      </c>
      <c r="E17">
        <f>VLOOKUP(D17,t_Personnel[],3,0)</f>
        <v>75</v>
      </c>
      <c r="F17" t="str">
        <f>VLOOKUP(D17,t_Personnel[],2,0)</f>
        <v>Médecin</v>
      </c>
      <c r="L17" s="3" t="s">
        <v>31</v>
      </c>
      <c r="M17" t="s">
        <v>48</v>
      </c>
      <c r="N17">
        <v>75</v>
      </c>
    </row>
    <row r="18" spans="2:14" x14ac:dyDescent="0.25">
      <c r="B18" s="11">
        <v>44277</v>
      </c>
      <c r="C18" s="12">
        <v>2</v>
      </c>
      <c r="D18" t="s">
        <v>36</v>
      </c>
      <c r="E18">
        <f>VLOOKUP(D18,t_Personnel[],3,0)</f>
        <v>75</v>
      </c>
      <c r="F18" t="str">
        <f>VLOOKUP(D18,t_Personnel[],2,0)</f>
        <v>Médecin</v>
      </c>
      <c r="L18" s="3" t="s">
        <v>39</v>
      </c>
      <c r="M18" t="s">
        <v>48</v>
      </c>
      <c r="N18">
        <v>75</v>
      </c>
    </row>
    <row r="19" spans="2:14" x14ac:dyDescent="0.25">
      <c r="B19" s="11">
        <v>44277</v>
      </c>
      <c r="C19" s="12">
        <v>2</v>
      </c>
      <c r="D19" t="s">
        <v>36</v>
      </c>
      <c r="E19">
        <f>VLOOKUP(D19,t_Personnel[],3,0)</f>
        <v>75</v>
      </c>
      <c r="F19" t="str">
        <f>VLOOKUP(D19,t_Personnel[],2,0)</f>
        <v>Médecin</v>
      </c>
      <c r="L19" s="3" t="s">
        <v>40</v>
      </c>
      <c r="M19" t="s">
        <v>48</v>
      </c>
      <c r="N19">
        <v>75</v>
      </c>
    </row>
    <row r="20" spans="2:14" x14ac:dyDescent="0.25">
      <c r="B20" s="11">
        <v>44277</v>
      </c>
      <c r="C20" s="12">
        <v>2</v>
      </c>
      <c r="D20" t="s">
        <v>36</v>
      </c>
      <c r="E20">
        <f>VLOOKUP(D20,t_Personnel[],3,0)</f>
        <v>75</v>
      </c>
      <c r="F20" t="str">
        <f>VLOOKUP(D20,t_Personnel[],2,0)</f>
        <v>Médecin</v>
      </c>
      <c r="L20" s="3" t="s">
        <v>41</v>
      </c>
      <c r="M20" t="s">
        <v>57</v>
      </c>
      <c r="N20">
        <v>75</v>
      </c>
    </row>
    <row r="21" spans="2:14" x14ac:dyDescent="0.25">
      <c r="B21" s="11">
        <v>44277</v>
      </c>
      <c r="C21" s="12">
        <v>2</v>
      </c>
      <c r="D21" t="s">
        <v>36</v>
      </c>
      <c r="E21">
        <f>VLOOKUP(D21,t_Personnel[],3,0)</f>
        <v>75</v>
      </c>
      <c r="F21" t="str">
        <f>VLOOKUP(D21,t_Personnel[],2,0)</f>
        <v>Médecin</v>
      </c>
      <c r="L21" s="3" t="s">
        <v>42</v>
      </c>
      <c r="M21" t="s">
        <v>57</v>
      </c>
      <c r="N21">
        <v>75</v>
      </c>
    </row>
    <row r="22" spans="2:14" x14ac:dyDescent="0.25">
      <c r="B22" s="11">
        <v>44277</v>
      </c>
      <c r="C22" s="12">
        <v>2</v>
      </c>
      <c r="D22" t="s">
        <v>36</v>
      </c>
      <c r="E22">
        <f>VLOOKUP(D22,t_Personnel[],3,0)</f>
        <v>75</v>
      </c>
      <c r="F22" t="str">
        <f>VLOOKUP(D22,t_Personnel[],2,0)</f>
        <v>Médecin</v>
      </c>
      <c r="L22" s="3" t="s">
        <v>43</v>
      </c>
      <c r="M22" t="s">
        <v>57</v>
      </c>
      <c r="N22">
        <v>75</v>
      </c>
    </row>
    <row r="23" spans="2:14" x14ac:dyDescent="0.25">
      <c r="B23" s="11">
        <v>44277</v>
      </c>
      <c r="C23" s="12">
        <v>2</v>
      </c>
      <c r="D23" t="s">
        <v>36</v>
      </c>
      <c r="E23">
        <f>VLOOKUP(D23,t_Personnel[],3,0)</f>
        <v>75</v>
      </c>
      <c r="F23" t="str">
        <f>VLOOKUP(D23,t_Personnel[],2,0)</f>
        <v>Médecin</v>
      </c>
      <c r="L23" s="3" t="s">
        <v>33</v>
      </c>
      <c r="M23" t="s">
        <v>32</v>
      </c>
    </row>
    <row r="24" spans="2:14" x14ac:dyDescent="0.25">
      <c r="L24" s="3" t="s">
        <v>25</v>
      </c>
      <c r="M24" t="s">
        <v>32</v>
      </c>
    </row>
  </sheetData>
  <dataValidations count="1">
    <dataValidation type="list" allowBlank="1" showInputMessage="1" showErrorMessage="1" sqref="D5:D23" xr:uid="{BC64682F-8B4B-4BAF-B89F-07C292995142}">
      <formula1>$L$5:$L$24</formula1>
    </dataValidation>
  </dataValidations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C1F18-4B2A-4623-BD03-F60AC42F1540}">
  <sheetPr>
    <tabColor rgb="FFFFFF00"/>
  </sheetPr>
  <dimension ref="A3:B6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16.42578125" bestFit="1" customWidth="1"/>
  </cols>
  <sheetData>
    <row r="3" spans="1:2" x14ac:dyDescent="0.25">
      <c r="A3" s="13" t="s">
        <v>59</v>
      </c>
      <c r="B3" t="s">
        <v>61</v>
      </c>
    </row>
    <row r="4" spans="1:2" x14ac:dyDescent="0.25">
      <c r="A4" s="14" t="s">
        <v>62</v>
      </c>
      <c r="B4" s="15">
        <v>14</v>
      </c>
    </row>
    <row r="5" spans="1:2" x14ac:dyDescent="0.25">
      <c r="A5" s="16" t="s">
        <v>48</v>
      </c>
      <c r="B5" s="15">
        <v>14</v>
      </c>
    </row>
    <row r="6" spans="1:2" x14ac:dyDescent="0.25">
      <c r="A6" s="14" t="s">
        <v>60</v>
      </c>
      <c r="B6" s="15">
        <v>14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C1A6CD1C13C24CBAA9B5072BF715D9" ma:contentTypeVersion="10" ma:contentTypeDescription="Crée un document." ma:contentTypeScope="" ma:versionID="e8b5ddbef6d4c8ea19a96b0caec23584">
  <xsd:schema xmlns:xsd="http://www.w3.org/2001/XMLSchema" xmlns:xs="http://www.w3.org/2001/XMLSchema" xmlns:p="http://schemas.microsoft.com/office/2006/metadata/properties" xmlns:ns3="4afe7bb1-b137-45f1-b32b-ecc1739e5d50" xmlns:ns4="da6eb69c-2874-4b76-a882-6b9cce79810c" targetNamespace="http://schemas.microsoft.com/office/2006/metadata/properties" ma:root="true" ma:fieldsID="896424b804fa8efac293be1b825de0e4" ns3:_="" ns4:_="">
    <xsd:import namespace="4afe7bb1-b137-45f1-b32b-ecc1739e5d50"/>
    <xsd:import namespace="da6eb69c-2874-4b76-a882-6b9cce79810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fe7bb1-b137-45f1-b32b-ecc1739e5d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eb69c-2874-4b76-a882-6b9cce79810c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1A6C6E-3BC1-4ED3-9BF8-BDC554230C5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4afe7bb1-b137-45f1-b32b-ecc1739e5d50"/>
    <ds:schemaRef ds:uri="http://purl.org/dc/elements/1.1/"/>
    <ds:schemaRef ds:uri="http://schemas.microsoft.com/office/2006/metadata/properties"/>
    <ds:schemaRef ds:uri="da6eb69c-2874-4b76-a882-6b9cce79810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D00DECE-1463-4B13-B9FE-BE43E71370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fe7bb1-b137-45f1-b32b-ecc1739e5d50"/>
    <ds:schemaRef ds:uri="da6eb69c-2874-4b76-a882-6b9cce7981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66CFEF-A6DC-4F6B-A83C-1E7E09434A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IP</vt:lpstr>
      <vt:lpstr>BDD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CHELBA</dc:creator>
  <cp:lastModifiedBy>JF</cp:lastModifiedBy>
  <cp:lastPrinted>2021-07-01T14:27:45Z</cp:lastPrinted>
  <dcterms:created xsi:type="dcterms:W3CDTF">2021-05-02T12:22:20Z</dcterms:created>
  <dcterms:modified xsi:type="dcterms:W3CDTF">2021-07-05T12:03:27Z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0x010100F1C1A6CD1C13C24CBAA9B5072BF715D9</vt:lpwstr>
  </property>
</Properties>
</file>