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F:\Matrice\"/>
    </mc:Choice>
  </mc:AlternateContent>
  <bookViews>
    <workbookView xWindow="0" yWindow="0" windowWidth="14445" windowHeight="6990"/>
  </bookViews>
  <sheets>
    <sheet name="Bulletin" sheetId="3" r:id="rId1"/>
    <sheet name="Données" sheetId="15" r:id="rId2"/>
    <sheet name="Apprenti" sheetId="16" r:id="rId3"/>
    <sheet name="Cadre" sheetId="17" r:id="rId4"/>
    <sheet name="Contrat pro" sheetId="11" r:id="rId5"/>
    <sheet name="CDD" sheetId="12" r:id="rId6"/>
    <sheet name="Intérim" sheetId="13" r:id="rId7"/>
    <sheet name="CDI" sheetId="14" r:id="rId8"/>
  </sheets>
  <definedNames>
    <definedName name="Saisissable" localSheetId="2">#REF!</definedName>
    <definedName name="Saisissable">#REF!</definedName>
    <definedName name="SALBRUT" localSheetId="2">Apprenti!#REF!</definedName>
    <definedName name="SALBRUT" localSheetId="0">Bulletin!#REF!</definedName>
    <definedName name="SALBRUT" localSheetId="5">CDD!#REF!</definedName>
    <definedName name="SALBRUT" localSheetId="7">CDI!#REF!</definedName>
    <definedName name="SALBRUT" localSheetId="4">'Contrat pro'!#REF!</definedName>
    <definedName name="SALBRUT" localSheetId="1">Données!$E$41</definedName>
    <definedName name="SALBRUT" localSheetId="6">Intérim!#REF!</definedName>
    <definedName name="_xlnm.Print_Area" localSheetId="0">Bulletin!#REF!</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59" i="17" l="1"/>
  <c r="F64" i="17" l="1"/>
  <c r="H63" i="17" s="1"/>
  <c r="J63" i="17" s="1"/>
  <c r="F63" i="17"/>
  <c r="H64" i="17" l="1"/>
  <c r="I63" i="17"/>
  <c r="J82" i="17"/>
  <c r="F23" i="17"/>
  <c r="F22" i="17"/>
  <c r="J25" i="15"/>
  <c r="J23" i="15"/>
  <c r="J24" i="15"/>
  <c r="F13" i="17"/>
  <c r="F14" i="17"/>
  <c r="F21" i="17"/>
  <c r="F49" i="17"/>
  <c r="F55" i="17"/>
  <c r="F56" i="17"/>
  <c r="F77" i="17"/>
  <c r="F78" i="17"/>
  <c r="J64" i="17" l="1"/>
  <c r="I64" i="17"/>
  <c r="J76" i="17"/>
  <c r="I75" i="17"/>
  <c r="H75" i="17"/>
  <c r="H73" i="17"/>
  <c r="J73" i="17" s="1"/>
  <c r="H67" i="17"/>
  <c r="J67" i="17" s="1"/>
  <c r="K62" i="17"/>
  <c r="K58" i="17"/>
  <c r="K56" i="17"/>
  <c r="K55" i="17"/>
  <c r="K49" i="17"/>
  <c r="K31" i="17"/>
  <c r="K30" i="17"/>
  <c r="I30" i="17"/>
  <c r="H30" i="17"/>
  <c r="K29" i="17"/>
  <c r="I29" i="17"/>
  <c r="H25" i="17"/>
  <c r="I25" i="17" s="1"/>
  <c r="H23" i="17"/>
  <c r="I23" i="17" s="1"/>
  <c r="H22" i="17"/>
  <c r="I22" i="17" s="1"/>
  <c r="H21" i="17"/>
  <c r="I21" i="17" s="1"/>
  <c r="G18" i="17"/>
  <c r="I13" i="17"/>
  <c r="H23" i="15"/>
  <c r="J25" i="16" s="1"/>
  <c r="H25" i="16"/>
  <c r="I25" i="16" s="1"/>
  <c r="H20" i="17"/>
  <c r="J27" i="15" l="1"/>
  <c r="J28" i="15" s="1"/>
  <c r="F47" i="17" s="1"/>
  <c r="J25" i="17"/>
  <c r="J30" i="17"/>
  <c r="I73" i="17"/>
  <c r="L30" i="17"/>
  <c r="J22" i="17"/>
  <c r="J23" i="17"/>
  <c r="I67" i="17"/>
  <c r="K30" i="16"/>
  <c r="J68" i="16"/>
  <c r="H65" i="16"/>
  <c r="J65" i="16" s="1"/>
  <c r="F14" i="16"/>
  <c r="F13" i="16"/>
  <c r="I13" i="16"/>
  <c r="F70" i="16"/>
  <c r="F69" i="16"/>
  <c r="I67" i="16"/>
  <c r="H67" i="16"/>
  <c r="H59" i="16"/>
  <c r="I59" i="16" s="1"/>
  <c r="J49" i="15"/>
  <c r="I20" i="17" l="1"/>
  <c r="G23" i="15"/>
  <c r="G25" i="15" s="1"/>
  <c r="H25" i="15" s="1"/>
  <c r="I65" i="16"/>
  <c r="J59" i="16"/>
  <c r="B21" i="15"/>
  <c r="G18" i="16"/>
  <c r="B19" i="15"/>
  <c r="I29" i="15" l="1"/>
  <c r="L50" i="17"/>
  <c r="L40" i="17"/>
  <c r="J20" i="17"/>
  <c r="K34" i="17"/>
  <c r="L42" i="17"/>
  <c r="K28" i="17"/>
  <c r="L41" i="17"/>
  <c r="G26" i="15"/>
  <c r="H26" i="15" s="1"/>
  <c r="G24" i="15"/>
  <c r="H24" i="15" s="1"/>
  <c r="H23" i="16"/>
  <c r="J23" i="16" s="1"/>
  <c r="H22" i="16"/>
  <c r="I22" i="16" s="1"/>
  <c r="C14" i="15"/>
  <c r="J21" i="17" l="1"/>
  <c r="J26" i="17" s="1"/>
  <c r="L62" i="17"/>
  <c r="I40" i="17"/>
  <c r="I49" i="17"/>
  <c r="I50" i="17"/>
  <c r="I58" i="17"/>
  <c r="I42" i="17"/>
  <c r="I41" i="17"/>
  <c r="J22" i="16"/>
  <c r="I23" i="16"/>
  <c r="K54" i="16"/>
  <c r="L61" i="17" l="1"/>
  <c r="H61" i="17"/>
  <c r="K61" i="17"/>
  <c r="H38" i="17"/>
  <c r="H40" i="17"/>
  <c r="I28" i="17"/>
  <c r="H46" i="17"/>
  <c r="H37" i="17"/>
  <c r="H36" i="17"/>
  <c r="J36" i="17" s="1"/>
  <c r="H29" i="17"/>
  <c r="H42" i="17"/>
  <c r="H43" i="17"/>
  <c r="H45" i="17"/>
  <c r="H44" i="17"/>
  <c r="H51" i="17"/>
  <c r="H31" i="17"/>
  <c r="L31" i="17" s="1"/>
  <c r="H49" i="17"/>
  <c r="H41" i="17"/>
  <c r="J41" i="17" s="1"/>
  <c r="H52" i="17"/>
  <c r="H55" i="17"/>
  <c r="L55" i="17" s="1"/>
  <c r="H57" i="17"/>
  <c r="L57" i="17" s="1"/>
  <c r="H58" i="17"/>
  <c r="H53" i="17"/>
  <c r="H56" i="17"/>
  <c r="L56" i="17" s="1"/>
  <c r="H34" i="17"/>
  <c r="L34" i="17" s="1"/>
  <c r="J40" i="17"/>
  <c r="H28" i="17"/>
  <c r="L28" i="17" s="1"/>
  <c r="H50" i="17"/>
  <c r="J50" i="17" s="1"/>
  <c r="I29" i="16"/>
  <c r="K29" i="16"/>
  <c r="L53" i="17" l="1"/>
  <c r="J53" i="17"/>
  <c r="H47" i="17"/>
  <c r="L37" i="17"/>
  <c r="J37" i="17"/>
  <c r="J28" i="17"/>
  <c r="L52" i="17"/>
  <c r="J52" i="17"/>
  <c r="J42" i="17"/>
  <c r="J44" i="17"/>
  <c r="L44" i="17"/>
  <c r="J29" i="17"/>
  <c r="L29" i="17"/>
  <c r="H54" i="17" s="1"/>
  <c r="L54" i="17" s="1"/>
  <c r="L45" i="17"/>
  <c r="J45" i="17"/>
  <c r="J46" i="17"/>
  <c r="L46" i="17"/>
  <c r="L43" i="17"/>
  <c r="J43" i="17"/>
  <c r="L38" i="17"/>
  <c r="J38" i="17"/>
  <c r="L51" i="17"/>
  <c r="J51" i="17"/>
  <c r="L49" i="17"/>
  <c r="J49" i="17"/>
  <c r="L58" i="17"/>
  <c r="J58" i="17"/>
  <c r="L80" i="17"/>
  <c r="L36" i="17"/>
  <c r="H21" i="16"/>
  <c r="I21" i="16" s="1"/>
  <c r="F21" i="16"/>
  <c r="K51" i="16"/>
  <c r="I30" i="16"/>
  <c r="L85" i="17" l="1"/>
  <c r="H20" i="16"/>
  <c r="H30" i="16"/>
  <c r="J30" i="16" s="1"/>
  <c r="K31" i="16"/>
  <c r="K36" i="16"/>
  <c r="F44" i="16"/>
  <c r="K44" i="16"/>
  <c r="F48" i="16"/>
  <c r="K48" i="16"/>
  <c r="F49" i="16"/>
  <c r="K49" i="16"/>
  <c r="E13" i="15"/>
  <c r="K13" i="15"/>
  <c r="E14" i="15"/>
  <c r="K14" i="15"/>
  <c r="B15" i="15"/>
  <c r="B16" i="15"/>
  <c r="B22" i="15"/>
  <c r="P22" i="15"/>
  <c r="J67" i="16" l="1"/>
  <c r="J75" i="17"/>
  <c r="L30" i="16"/>
  <c r="C25" i="15" l="1"/>
  <c r="C26" i="15"/>
  <c r="C27" i="15"/>
  <c r="B16" i="3"/>
  <c r="E74" i="3"/>
  <c r="E73" i="3"/>
  <c r="E72" i="3"/>
  <c r="E71" i="3"/>
  <c r="D71" i="3"/>
  <c r="C71" i="3"/>
  <c r="C69" i="3"/>
  <c r="E69" i="3" s="1"/>
  <c r="E66" i="3"/>
  <c r="E65" i="3"/>
  <c r="E64" i="3"/>
  <c r="D63" i="3"/>
  <c r="C63" i="3"/>
  <c r="C59" i="3"/>
  <c r="E59" i="3" s="1"/>
  <c r="C58" i="3"/>
  <c r="E58" i="3" s="1"/>
  <c r="F57" i="3"/>
  <c r="G57" i="3" s="1"/>
  <c r="F56" i="3"/>
  <c r="G56" i="3" s="1"/>
  <c r="G81" i="3" s="1"/>
  <c r="G51" i="3"/>
  <c r="G50" i="3"/>
  <c r="F49" i="3"/>
  <c r="G49" i="3" s="1"/>
  <c r="A49" i="3"/>
  <c r="F48" i="3"/>
  <c r="C48" i="3"/>
  <c r="A48" i="3"/>
  <c r="G47" i="3"/>
  <c r="C47" i="3"/>
  <c r="C46" i="3"/>
  <c r="G46" i="3" s="1"/>
  <c r="C45" i="3"/>
  <c r="G45" i="3" s="1"/>
  <c r="C44" i="3"/>
  <c r="G44" i="3" s="1"/>
  <c r="C43" i="3"/>
  <c r="G43" i="3" s="1"/>
  <c r="G41" i="3"/>
  <c r="C41" i="3"/>
  <c r="E41" i="3" s="1"/>
  <c r="G40" i="3"/>
  <c r="C40" i="3"/>
  <c r="E40" i="3" s="1"/>
  <c r="G39" i="3"/>
  <c r="C39" i="3"/>
  <c r="E39" i="3" s="1"/>
  <c r="G38" i="3"/>
  <c r="C38" i="3"/>
  <c r="E38" i="3" s="1"/>
  <c r="F36" i="3"/>
  <c r="C36" i="3"/>
  <c r="F35" i="3"/>
  <c r="C35" i="3"/>
  <c r="G76" i="3" s="1"/>
  <c r="F33" i="3"/>
  <c r="C33" i="3"/>
  <c r="F30" i="3"/>
  <c r="C30" i="3"/>
  <c r="F29" i="3"/>
  <c r="D29" i="3"/>
  <c r="C29" i="3"/>
  <c r="G28" i="3"/>
  <c r="E28" i="3"/>
  <c r="C27" i="3"/>
  <c r="E24" i="3"/>
  <c r="D24" i="3"/>
  <c r="C24" i="3"/>
  <c r="D22" i="3"/>
  <c r="C22" i="3"/>
  <c r="D21" i="3"/>
  <c r="C21" i="3"/>
  <c r="E18" i="3"/>
  <c r="D18" i="3"/>
  <c r="C18" i="3"/>
  <c r="J76" i="14"/>
  <c r="J75" i="14"/>
  <c r="J74" i="14"/>
  <c r="J73" i="14"/>
  <c r="I73" i="14"/>
  <c r="H73" i="14"/>
  <c r="H71" i="14"/>
  <c r="J71" i="14" s="1"/>
  <c r="J68" i="14"/>
  <c r="J67" i="14"/>
  <c r="J66" i="14"/>
  <c r="I65" i="14"/>
  <c r="H65" i="14"/>
  <c r="H61" i="14"/>
  <c r="J61" i="14" s="1"/>
  <c r="K59" i="14"/>
  <c r="L59" i="14" s="1"/>
  <c r="K58" i="14"/>
  <c r="L58" i="14" s="1"/>
  <c r="L83" i="14" s="1"/>
  <c r="L53" i="14"/>
  <c r="L52" i="14"/>
  <c r="K51" i="14"/>
  <c r="L51" i="14" s="1"/>
  <c r="F51" i="14"/>
  <c r="K50" i="14"/>
  <c r="H50" i="14"/>
  <c r="F50" i="14"/>
  <c r="H49" i="14"/>
  <c r="L49" i="14" s="1"/>
  <c r="H48" i="14"/>
  <c r="L48" i="14" s="1"/>
  <c r="H47" i="14"/>
  <c r="L47" i="14" s="1"/>
  <c r="H46" i="14"/>
  <c r="L46" i="14" s="1"/>
  <c r="H45" i="14"/>
  <c r="L45" i="14" s="1"/>
  <c r="L43" i="14"/>
  <c r="H43" i="14"/>
  <c r="J43" i="14" s="1"/>
  <c r="L42" i="14"/>
  <c r="H42" i="14"/>
  <c r="J42" i="14" s="1"/>
  <c r="L41" i="14"/>
  <c r="H41" i="14"/>
  <c r="J41" i="14" s="1"/>
  <c r="L40" i="14"/>
  <c r="H40" i="14"/>
  <c r="J40" i="14" s="1"/>
  <c r="K38" i="14"/>
  <c r="H38" i="14"/>
  <c r="K37" i="14"/>
  <c r="H37" i="14"/>
  <c r="L78" i="14" s="1"/>
  <c r="K35" i="14"/>
  <c r="H35" i="14"/>
  <c r="K32" i="14"/>
  <c r="H32" i="14"/>
  <c r="K31" i="14"/>
  <c r="I31" i="14"/>
  <c r="H31" i="14"/>
  <c r="L30" i="14"/>
  <c r="J30" i="14"/>
  <c r="K29" i="14"/>
  <c r="H29" i="14"/>
  <c r="J26" i="14"/>
  <c r="I26" i="14"/>
  <c r="H26" i="14"/>
  <c r="I24" i="14"/>
  <c r="H24" i="14"/>
  <c r="I23" i="14"/>
  <c r="H23" i="14"/>
  <c r="J20" i="14"/>
  <c r="I20" i="14"/>
  <c r="H20" i="14"/>
  <c r="J76" i="13"/>
  <c r="J75" i="13"/>
  <c r="J74" i="13"/>
  <c r="J73" i="13"/>
  <c r="I73" i="13"/>
  <c r="H73" i="13"/>
  <c r="H71" i="13"/>
  <c r="J71" i="13" s="1"/>
  <c r="J68" i="13"/>
  <c r="J67" i="13"/>
  <c r="J66" i="13"/>
  <c r="I65" i="13"/>
  <c r="H65" i="13"/>
  <c r="H61" i="13"/>
  <c r="J61" i="13" s="1"/>
  <c r="K59" i="13"/>
  <c r="L59" i="13" s="1"/>
  <c r="K58" i="13"/>
  <c r="L58" i="13" s="1"/>
  <c r="L83" i="13" s="1"/>
  <c r="L53" i="13"/>
  <c r="L52" i="13"/>
  <c r="K51" i="13"/>
  <c r="L51" i="13" s="1"/>
  <c r="F51" i="13"/>
  <c r="K50" i="13"/>
  <c r="H50" i="13"/>
  <c r="F50" i="13"/>
  <c r="H49" i="13"/>
  <c r="L49" i="13" s="1"/>
  <c r="H48" i="13"/>
  <c r="L48" i="13" s="1"/>
  <c r="H47" i="13"/>
  <c r="L47" i="13" s="1"/>
  <c r="H46" i="13"/>
  <c r="L46" i="13" s="1"/>
  <c r="H45" i="13"/>
  <c r="L45" i="13" s="1"/>
  <c r="L43" i="13"/>
  <c r="H43" i="13"/>
  <c r="J43" i="13" s="1"/>
  <c r="L42" i="13"/>
  <c r="H42" i="13"/>
  <c r="J42" i="13" s="1"/>
  <c r="L41" i="13"/>
  <c r="H41" i="13"/>
  <c r="J41" i="13" s="1"/>
  <c r="L40" i="13"/>
  <c r="H40" i="13"/>
  <c r="J40" i="13" s="1"/>
  <c r="K38" i="13"/>
  <c r="H38" i="13"/>
  <c r="K37" i="13"/>
  <c r="H37" i="13"/>
  <c r="L78" i="13" s="1"/>
  <c r="K35" i="13"/>
  <c r="H35" i="13"/>
  <c r="K32" i="13"/>
  <c r="H32" i="13"/>
  <c r="K31" i="13"/>
  <c r="I31" i="13"/>
  <c r="H31" i="13"/>
  <c r="L30" i="13"/>
  <c r="J30" i="13"/>
  <c r="K29" i="13"/>
  <c r="H29" i="13"/>
  <c r="J26" i="13"/>
  <c r="I26" i="13"/>
  <c r="H26" i="13"/>
  <c r="I24" i="13"/>
  <c r="H24" i="13"/>
  <c r="I23" i="13"/>
  <c r="H23" i="13"/>
  <c r="J20" i="13"/>
  <c r="I20" i="13"/>
  <c r="H20" i="13"/>
  <c r="J76" i="12"/>
  <c r="J75" i="12"/>
  <c r="J74" i="12"/>
  <c r="J73" i="12"/>
  <c r="I73" i="12"/>
  <c r="H73" i="12"/>
  <c r="H71" i="12"/>
  <c r="J71" i="12" s="1"/>
  <c r="J68" i="12"/>
  <c r="J67" i="12"/>
  <c r="J66" i="12"/>
  <c r="I65" i="12"/>
  <c r="H65" i="12"/>
  <c r="H61" i="12"/>
  <c r="J61" i="12" s="1"/>
  <c r="K59" i="12"/>
  <c r="L59" i="12" s="1"/>
  <c r="K58" i="12"/>
  <c r="L58" i="12" s="1"/>
  <c r="L83" i="12" s="1"/>
  <c r="L53" i="12"/>
  <c r="L52" i="12"/>
  <c r="K51" i="12"/>
  <c r="L51" i="12" s="1"/>
  <c r="F51" i="12"/>
  <c r="K50" i="12"/>
  <c r="H50" i="12"/>
  <c r="F50" i="12"/>
  <c r="H49" i="12"/>
  <c r="L49" i="12" s="1"/>
  <c r="H48" i="12"/>
  <c r="L48" i="12" s="1"/>
  <c r="H47" i="12"/>
  <c r="L47" i="12" s="1"/>
  <c r="H46" i="12"/>
  <c r="L46" i="12" s="1"/>
  <c r="H45" i="12"/>
  <c r="L45" i="12" s="1"/>
  <c r="L43" i="12"/>
  <c r="H43" i="12"/>
  <c r="J43" i="12" s="1"/>
  <c r="L42" i="12"/>
  <c r="H42" i="12"/>
  <c r="J42" i="12" s="1"/>
  <c r="L41" i="12"/>
  <c r="H41" i="12"/>
  <c r="J41" i="12" s="1"/>
  <c r="L40" i="12"/>
  <c r="H40" i="12"/>
  <c r="J40" i="12" s="1"/>
  <c r="K38" i="12"/>
  <c r="H38" i="12"/>
  <c r="K37" i="12"/>
  <c r="H37" i="12"/>
  <c r="L78" i="12" s="1"/>
  <c r="K35" i="12"/>
  <c r="H35" i="12"/>
  <c r="K32" i="12"/>
  <c r="H32" i="12"/>
  <c r="K31" i="12"/>
  <c r="I31" i="12"/>
  <c r="H31" i="12"/>
  <c r="L30" i="12"/>
  <c r="J30" i="12"/>
  <c r="K29" i="12"/>
  <c r="H29" i="12"/>
  <c r="J26" i="12"/>
  <c r="I26" i="12"/>
  <c r="H26" i="12"/>
  <c r="I24" i="12"/>
  <c r="H24" i="12"/>
  <c r="I23" i="12"/>
  <c r="H23" i="12"/>
  <c r="J20" i="12"/>
  <c r="I20" i="12"/>
  <c r="H20" i="12"/>
  <c r="J76" i="11"/>
  <c r="J75" i="11"/>
  <c r="J74" i="11"/>
  <c r="J73" i="11"/>
  <c r="I73" i="11"/>
  <c r="H73" i="11"/>
  <c r="H71" i="11"/>
  <c r="J71" i="11" s="1"/>
  <c r="J68" i="11"/>
  <c r="J67" i="11"/>
  <c r="J66" i="11"/>
  <c r="I65" i="11"/>
  <c r="H65" i="11"/>
  <c r="H61" i="11"/>
  <c r="J61" i="11" s="1"/>
  <c r="K59" i="11"/>
  <c r="L59" i="11" s="1"/>
  <c r="K58" i="11"/>
  <c r="L58" i="11" s="1"/>
  <c r="L83" i="11" s="1"/>
  <c r="L53" i="11"/>
  <c r="L52" i="11"/>
  <c r="K51" i="11"/>
  <c r="L51" i="11" s="1"/>
  <c r="F51" i="11"/>
  <c r="K50" i="11"/>
  <c r="H50" i="11"/>
  <c r="F50" i="11"/>
  <c r="H49" i="11"/>
  <c r="L49" i="11" s="1"/>
  <c r="H48" i="11"/>
  <c r="L48" i="11" s="1"/>
  <c r="H47" i="11"/>
  <c r="L47" i="11" s="1"/>
  <c r="H46" i="11"/>
  <c r="L46" i="11" s="1"/>
  <c r="H45" i="11"/>
  <c r="L45" i="11" s="1"/>
  <c r="L43" i="11"/>
  <c r="H43" i="11"/>
  <c r="J43" i="11" s="1"/>
  <c r="L42" i="11"/>
  <c r="H42" i="11"/>
  <c r="J42" i="11" s="1"/>
  <c r="L41" i="11"/>
  <c r="H41" i="11"/>
  <c r="J41" i="11" s="1"/>
  <c r="L40" i="11"/>
  <c r="H40" i="11"/>
  <c r="J40" i="11" s="1"/>
  <c r="K38" i="11"/>
  <c r="H38" i="11"/>
  <c r="K37" i="11"/>
  <c r="H37" i="11"/>
  <c r="L78" i="11" s="1"/>
  <c r="K35" i="11"/>
  <c r="H35" i="11"/>
  <c r="L35" i="11" s="1"/>
  <c r="K32" i="11"/>
  <c r="H32" i="11"/>
  <c r="K31" i="11"/>
  <c r="I31" i="11"/>
  <c r="H31" i="11"/>
  <c r="L30" i="11"/>
  <c r="J30" i="11"/>
  <c r="K29" i="11"/>
  <c r="H29" i="11"/>
  <c r="J26" i="11"/>
  <c r="I26" i="11"/>
  <c r="H26" i="11"/>
  <c r="I24" i="11"/>
  <c r="H24" i="11"/>
  <c r="I23" i="11"/>
  <c r="H23" i="11"/>
  <c r="J23" i="11" s="1"/>
  <c r="J20" i="11"/>
  <c r="I20" i="11"/>
  <c r="H20" i="11"/>
  <c r="J65" i="13" l="1"/>
  <c r="J23" i="12"/>
  <c r="L38" i="11"/>
  <c r="J23" i="14"/>
  <c r="L35" i="14"/>
  <c r="J31" i="11"/>
  <c r="J23" i="13"/>
  <c r="L38" i="14"/>
  <c r="J65" i="12"/>
  <c r="L50" i="11"/>
  <c r="L32" i="12"/>
  <c r="L50" i="12"/>
  <c r="L29" i="13"/>
  <c r="J31" i="13"/>
  <c r="J62" i="13" s="1"/>
  <c r="J24" i="12"/>
  <c r="J65" i="14"/>
  <c r="J24" i="11"/>
  <c r="L32" i="11"/>
  <c r="J65" i="11"/>
  <c r="L38" i="12"/>
  <c r="L38" i="13"/>
  <c r="L50" i="14"/>
  <c r="L29" i="12"/>
  <c r="J31" i="12"/>
  <c r="J24" i="14"/>
  <c r="L29" i="14"/>
  <c r="J31" i="14"/>
  <c r="J62" i="14" s="1"/>
  <c r="L32" i="14"/>
  <c r="J24" i="13"/>
  <c r="L32" i="13"/>
  <c r="L29" i="11"/>
  <c r="L35" i="12"/>
  <c r="L35" i="13"/>
  <c r="L50" i="13"/>
  <c r="H60" i="11"/>
  <c r="J60" i="11" s="1"/>
  <c r="H60" i="14"/>
  <c r="J60" i="14" s="1"/>
  <c r="H60" i="13"/>
  <c r="J60" i="13" s="1"/>
  <c r="H60" i="12"/>
  <c r="J60" i="12" s="1"/>
  <c r="E21" i="3"/>
  <c r="E63" i="3"/>
  <c r="E22" i="3"/>
  <c r="E29" i="3"/>
  <c r="E60" i="3" s="1"/>
  <c r="G30" i="3"/>
  <c r="G48" i="3"/>
  <c r="G33" i="3"/>
  <c r="G36" i="3"/>
  <c r="J62" i="11"/>
  <c r="G35" i="3"/>
  <c r="G29" i="3"/>
  <c r="L31" i="14"/>
  <c r="L37" i="14"/>
  <c r="L31" i="13"/>
  <c r="L37" i="13"/>
  <c r="L37" i="12"/>
  <c r="L31" i="12"/>
  <c r="L37" i="11"/>
  <c r="L31" i="11"/>
  <c r="J20" i="16" l="1"/>
  <c r="I20" i="16"/>
  <c r="L62" i="12"/>
  <c r="L84" i="12" s="1"/>
  <c r="L77" i="11"/>
  <c r="G75" i="3"/>
  <c r="L62" i="14"/>
  <c r="L84" i="14" s="1"/>
  <c r="K34" i="16"/>
  <c r="L40" i="16"/>
  <c r="L42" i="16"/>
  <c r="L41" i="16"/>
  <c r="L62" i="13"/>
  <c r="L84" i="13" s="1"/>
  <c r="L62" i="11"/>
  <c r="L84" i="11" s="1"/>
  <c r="J62" i="12"/>
  <c r="L77" i="12" s="1"/>
  <c r="C79" i="3"/>
  <c r="D78" i="3" s="1"/>
  <c r="G78" i="3" s="1"/>
  <c r="G60" i="3"/>
  <c r="G82" i="3" s="1"/>
  <c r="L77" i="14"/>
  <c r="L77" i="13"/>
  <c r="L39" i="16" l="1"/>
  <c r="K28" i="16"/>
  <c r="I41" i="16"/>
  <c r="I51" i="16"/>
  <c r="E80" i="3"/>
  <c r="I42" i="16"/>
  <c r="I44" i="16"/>
  <c r="I39" i="16"/>
  <c r="I40" i="16" l="1"/>
  <c r="J56" i="16"/>
  <c r="G18" i="14"/>
  <c r="G18" i="11"/>
  <c r="G18" i="12"/>
  <c r="L54" i="16"/>
  <c r="G18" i="13"/>
  <c r="H81" i="13"/>
  <c r="I80" i="13" s="1"/>
  <c r="L80" i="13" s="1"/>
  <c r="J82" i="13" s="1"/>
  <c r="H81" i="11"/>
  <c r="I80" i="11" s="1"/>
  <c r="L80" i="11" s="1"/>
  <c r="J82" i="11" s="1"/>
  <c r="H81" i="12"/>
  <c r="I80" i="12" s="1"/>
  <c r="L80" i="12" s="1"/>
  <c r="J82" i="12" s="1"/>
  <c r="H81" i="14"/>
  <c r="I80" i="14" s="1"/>
  <c r="L80" i="14" s="1"/>
  <c r="J82" i="14" s="1"/>
  <c r="J21" i="16" l="1"/>
  <c r="J26" i="16" s="1"/>
  <c r="H55" i="16"/>
  <c r="J55" i="16" s="1"/>
  <c r="H46" i="16" l="1"/>
  <c r="L46" i="16" s="1"/>
  <c r="H48" i="16"/>
  <c r="L48" i="16" s="1"/>
  <c r="H47" i="16"/>
  <c r="L47" i="16" s="1"/>
  <c r="H45" i="16"/>
  <c r="L45" i="16" s="1"/>
  <c r="H53" i="16"/>
  <c r="M77" i="16"/>
  <c r="H29" i="16"/>
  <c r="H31" i="16"/>
  <c r="L31" i="16" s="1"/>
  <c r="H42" i="16"/>
  <c r="J42" i="16" s="1"/>
  <c r="H49" i="16"/>
  <c r="L49" i="16" s="1"/>
  <c r="H34" i="16"/>
  <c r="L34" i="16" s="1"/>
  <c r="H39" i="16"/>
  <c r="J39" i="16" s="1"/>
  <c r="H50" i="16"/>
  <c r="L50" i="16" s="1"/>
  <c r="H28" i="16"/>
  <c r="L28" i="16" s="1"/>
  <c r="H40" i="16"/>
  <c r="J40" i="16" s="1"/>
  <c r="H37" i="16"/>
  <c r="L37" i="16" s="1"/>
  <c r="H36" i="16"/>
  <c r="H41" i="16"/>
  <c r="J41" i="16" s="1"/>
  <c r="H44" i="16"/>
  <c r="H51" i="16"/>
  <c r="K53" i="16" l="1"/>
  <c r="L53" i="16" s="1"/>
  <c r="L77" i="16" s="1"/>
  <c r="L44" i="16"/>
  <c r="J44" i="16"/>
  <c r="L51" i="16"/>
  <c r="J51" i="16"/>
  <c r="J29" i="16"/>
  <c r="L29" i="16"/>
  <c r="L36" i="16"/>
  <c r="L72" i="16"/>
  <c r="J57" i="16" l="1"/>
  <c r="L57" i="16"/>
  <c r="L78" i="16" s="1"/>
  <c r="H75" i="16" l="1"/>
  <c r="I74" i="16" s="1"/>
  <c r="L74" i="16" s="1"/>
  <c r="L71" i="16"/>
  <c r="J76" i="16" l="1"/>
  <c r="I47" i="17"/>
  <c r="K47" i="17"/>
  <c r="L47" i="17" s="1"/>
  <c r="L65" i="17" s="1"/>
  <c r="L86" i="17" s="1"/>
  <c r="J47" i="17"/>
  <c r="J65" i="17" s="1"/>
  <c r="L79" i="17" s="1"/>
  <c r="H83" i="17" l="1"/>
  <c r="I82" i="17" s="1"/>
  <c r="L82" i="17" s="1"/>
  <c r="J84" i="17" s="1"/>
</calcChain>
</file>

<file path=xl/comments1.xml><?xml version="1.0" encoding="utf-8"?>
<comments xmlns="http://schemas.openxmlformats.org/spreadsheetml/2006/main">
  <authors>
    <author>stephane l</author>
  </authors>
  <commentList>
    <comment ref="E29" authorId="0" shapeId="0">
      <text>
        <r>
          <rPr>
            <sz val="9"/>
            <color indexed="81"/>
            <rFont val="Tahoma"/>
            <family val="2"/>
          </rPr>
          <t>Max 218jour sauf si CCN prévoit moins au dela jour supplémentaire</t>
        </r>
      </text>
    </comment>
  </commentList>
</comments>
</file>

<file path=xl/comments2.xml><?xml version="1.0" encoding="utf-8"?>
<comments xmlns="http://schemas.openxmlformats.org/spreadsheetml/2006/main">
  <authors>
    <author>stephane l</author>
  </authors>
  <commentList>
    <comment ref="K53" authorId="0" shapeId="0">
      <text>
        <r>
          <rPr>
            <sz val="9"/>
            <color indexed="81"/>
            <rFont val="Tahoma"/>
            <family val="2"/>
          </rPr>
          <t>(0,3194 ÷ 0,6) × [(1,6 Smic + heures supplémentaires ou complémentaires ÷ rémunération mensuelle brute) - 1]  </t>
        </r>
      </text>
    </comment>
  </commentList>
</comments>
</file>

<file path=xl/comments3.xml><?xml version="1.0" encoding="utf-8"?>
<comments xmlns="http://schemas.openxmlformats.org/spreadsheetml/2006/main">
  <authors>
    <author>stephane l</author>
  </authors>
  <commentList>
    <comment ref="K61" authorId="0" shapeId="0">
      <text>
        <r>
          <rPr>
            <sz val="9"/>
            <color indexed="81"/>
            <rFont val="Tahoma"/>
            <family val="2"/>
          </rPr>
          <t>(0,3194 ÷ 0,6) × [(1,6 Smic + heures supplémentaires ou complémentaires ÷ rémunération mensuelle brute) - 1]  </t>
        </r>
      </text>
    </comment>
  </commentList>
</comments>
</file>

<file path=xl/sharedStrings.xml><?xml version="1.0" encoding="utf-8"?>
<sst xmlns="http://schemas.openxmlformats.org/spreadsheetml/2006/main" count="716" uniqueCount="187">
  <si>
    <t>BULLETIN DE PAIE</t>
  </si>
  <si>
    <t>Plafond SS 2021 :</t>
  </si>
  <si>
    <t xml:space="preserve">Tranche A </t>
  </si>
  <si>
    <t>Tranche 1</t>
  </si>
  <si>
    <t xml:space="preserve">Employeur : </t>
  </si>
  <si>
    <t>Tranche B</t>
  </si>
  <si>
    <t>Tranche 2</t>
  </si>
  <si>
    <t>Adresse :</t>
  </si>
  <si>
    <t>SMIC pour 151,67 h :</t>
  </si>
  <si>
    <t>79% smic :</t>
  </si>
  <si>
    <t>N° SIRET :</t>
  </si>
  <si>
    <t>Paiement :</t>
  </si>
  <si>
    <t>Code APE/NAF :</t>
  </si>
  <si>
    <t>Convention collective :</t>
  </si>
  <si>
    <t>Création :</t>
  </si>
  <si>
    <t>Salarié :</t>
  </si>
  <si>
    <t>Emploi :</t>
  </si>
  <si>
    <t>Classification :</t>
  </si>
  <si>
    <t>N° Sécuité Sociale :</t>
  </si>
  <si>
    <t>Effectif :</t>
  </si>
  <si>
    <t>Contrat :</t>
  </si>
  <si>
    <t xml:space="preserve">Nbre heures </t>
  </si>
  <si>
    <t>Taux horaire</t>
  </si>
  <si>
    <t>Montant</t>
  </si>
  <si>
    <t>Salaire de base</t>
  </si>
  <si>
    <t>Heures supplémentaires 25%</t>
  </si>
  <si>
    <t>Heures supplémentaires 50%</t>
  </si>
  <si>
    <t>Absences jours ouvrables/non ouvrables</t>
  </si>
  <si>
    <t>SALAIRE BRUT :</t>
  </si>
  <si>
    <t>Santé</t>
  </si>
  <si>
    <t>Base</t>
  </si>
  <si>
    <t>Taux salarial</t>
  </si>
  <si>
    <t xml:space="preserve">Montant </t>
  </si>
  <si>
    <t>Taux Patronal</t>
  </si>
  <si>
    <t>Maladie, maternité, invalidité, décès</t>
  </si>
  <si>
    <t>Prévoyance non cadre (non obligatoire)</t>
  </si>
  <si>
    <t>Accidents du travail et maladies professionnelles</t>
  </si>
  <si>
    <t>Famille</t>
  </si>
  <si>
    <t>Allocations Familliales</t>
  </si>
  <si>
    <t>Chômage</t>
  </si>
  <si>
    <t>Assurance chômage TA+TB</t>
  </si>
  <si>
    <t>AGS TA+TB</t>
  </si>
  <si>
    <t>Côtisations Retraite</t>
  </si>
  <si>
    <t>Vielliesse Plafonnée</t>
  </si>
  <si>
    <t>Vielliesse Déplafonnée</t>
  </si>
  <si>
    <t>Retraite T1</t>
  </si>
  <si>
    <t>CEG (Contribution d'Equilibre Général) T1</t>
  </si>
  <si>
    <t>Autres contributions</t>
  </si>
  <si>
    <t>FNAL (aide au logement) - &lt;50 salariés</t>
  </si>
  <si>
    <t>FNAL (aide au logement)- &gt;=50 salariés</t>
  </si>
  <si>
    <t xml:space="preserve">Contribution au dialogue social </t>
  </si>
  <si>
    <t>Contribution solidarité Autonomie</t>
  </si>
  <si>
    <r>
      <t>Depuis le 1er janvier 2019 et pour tous les apprentis, le calcul des cotisations sociales ne se fait plus sur la base d'un forfait</t>
    </r>
    <r>
      <rPr>
        <sz val="14"/>
        <color rgb="FFFF0000"/>
        <rFont val="Tahoma"/>
        <family val="2"/>
      </rPr>
      <t>.</t>
    </r>
  </si>
  <si>
    <t>Participation effort construction &gt;=50 salariés</t>
  </si>
  <si>
    <t>Versement transport (&gt;=11 salariés)</t>
  </si>
  <si>
    <t>Les cotisations sociales des apprentis sont désormais calculées sur la base du salaire réel des apprentis et l'employeur bénéficie de la réduction générale de cotisations patronales, devenue plus favorable que les anciennes exonérations de cotisations calculées sur le forfait.</t>
  </si>
  <si>
    <t>Allègement côtisations :</t>
  </si>
  <si>
    <t xml:space="preserve">Réduction Fillon </t>
  </si>
  <si>
    <t>Les employeurs d'apprentis bénéficient, depuis le 1er janvier 2019, de la réduction générale de cotisations patronales ou réduction Fillon au taux maximum. L'exonération de charges salariales est maintenue jusqu'à 79% du SMIC.</t>
  </si>
  <si>
    <t>Réduction cotisation salariale sur HS 1,25</t>
  </si>
  <si>
    <t>Réduction cotisation salariale sur HS 1,50</t>
  </si>
  <si>
    <t>Sous Total :</t>
  </si>
  <si>
    <t>Primes et indemnités non soumises à cotisations</t>
  </si>
  <si>
    <t>Panier Repas Jour</t>
  </si>
  <si>
    <t>Panier Repas nuit</t>
  </si>
  <si>
    <t>Forfait repas</t>
  </si>
  <si>
    <t>Repas frais réels</t>
  </si>
  <si>
    <t>Prime Fractionnement CP</t>
  </si>
  <si>
    <t>Retenues :</t>
  </si>
  <si>
    <t>Tickets Restaurant</t>
  </si>
  <si>
    <t>Déduction TR soumis à cotisations</t>
  </si>
  <si>
    <t>Avantages en nature à déduire</t>
  </si>
  <si>
    <t>Saisie sur salaire</t>
  </si>
  <si>
    <t>Saisie pension alimentaire</t>
  </si>
  <si>
    <t>Avances et acomptes</t>
  </si>
  <si>
    <t>Net à payer avant prélèvement à la source</t>
  </si>
  <si>
    <t>dont évolution de la rémunération liées à la suppression des cotisations chômage et maladie</t>
  </si>
  <si>
    <t xml:space="preserve">Impôt sur le revenu </t>
  </si>
  <si>
    <t>Taux personnalisé/non personnalisé</t>
  </si>
  <si>
    <t>Impôt sur le revenu prélevé à la source</t>
  </si>
  <si>
    <t>Net imposable</t>
  </si>
  <si>
    <t>NET A PAYER</t>
  </si>
  <si>
    <t>Allègement cotisations employeur</t>
  </si>
  <si>
    <t>coût total employeur</t>
  </si>
  <si>
    <t>Pour plus d'explications sur les différents termes utilisés, vous pouvez consulter le site :</t>
  </si>
  <si>
    <t>www.service-public.fr</t>
  </si>
  <si>
    <r>
      <t xml:space="preserve">Conserver ce bulletin sans limitation de durée
</t>
    </r>
    <r>
      <rPr>
        <sz val="10"/>
        <color theme="1"/>
        <rFont val="Calibri"/>
        <family val="2"/>
        <scheme val="minor"/>
      </rPr>
      <t>Pour la définition des termes employés se reporter aux rubriques bulletin de salaire  du site internet service public.fr</t>
    </r>
  </si>
  <si>
    <t>Les apprentis ne sont assujettis à aucune cotisation salariale lorsque leur rémunération est inférieure à 79 % du Smic. L'instruction précise que lorsque la rémunération dépasse 79 % du Smic, si des heures supplémentaires sont réalisées, l’exonération au titre de ces heures s’applique uniquement sur la part de rémunération supérieure à 79 % du SMIC. L'exonération s'appliquera alors à proportion de la part de la rémunération au titre de ces heures supplémentaires dans le total de la rémunération.</t>
  </si>
  <si>
    <t>hors Alsace Moselle :</t>
  </si>
  <si>
    <t>https://www.compta-online.com/frais-de-repas-des-salaries-indemnite-panier-repas-ao2365</t>
  </si>
  <si>
    <t>Statut :</t>
  </si>
  <si>
    <t>ou selon CC :</t>
  </si>
  <si>
    <t>Titres Restaurant :</t>
  </si>
  <si>
    <t>Valeur TR</t>
  </si>
  <si>
    <t>Valeur Part patronale Tickets restaurant</t>
  </si>
  <si>
    <t>limite pour exonération</t>
  </si>
  <si>
    <t>Nbe TR</t>
  </si>
  <si>
    <t>https://www.service-public.fr/particuliers/vosdroits/F2918</t>
  </si>
  <si>
    <t>Lorsque la participation de l'employeur excède 60%,</t>
  </si>
  <si>
    <t xml:space="preserve">c'est la totalité de cette contribution </t>
  </si>
  <si>
    <t>qui doit être réintégrée et soumise à côtisations</t>
  </si>
  <si>
    <t>https://reassurez-moi.fr/guide/pro/mutuelle-entreprise/apprenti</t>
  </si>
  <si>
    <t>Salaire :</t>
  </si>
  <si>
    <t>Taux horaire :</t>
  </si>
  <si>
    <t>Date de naissance :</t>
  </si>
  <si>
    <t>Age de l'apprenti :</t>
  </si>
  <si>
    <t>Date de contrat</t>
  </si>
  <si>
    <t>Ancienneté :</t>
  </si>
  <si>
    <t>Date de paie :</t>
  </si>
  <si>
    <t>Taux horaire SMIC :</t>
  </si>
  <si>
    <t>Taux apprenti appliqué :</t>
  </si>
  <si>
    <t>1er année</t>
  </si>
  <si>
    <t>2ème année</t>
  </si>
  <si>
    <t>3ème année</t>
  </si>
  <si>
    <t xml:space="preserve">Date de Sortie : </t>
  </si>
  <si>
    <t>au</t>
  </si>
  <si>
    <t>Nouveau taux horaire :</t>
  </si>
  <si>
    <t>Date d'embauche :</t>
  </si>
  <si>
    <t>Période du : 01/04/2020</t>
  </si>
  <si>
    <t>Nombre d'heure :</t>
  </si>
  <si>
    <t>Nombre d'heure total :</t>
  </si>
  <si>
    <t>Ursaaf cotisation employeur</t>
  </si>
  <si>
    <t>Intérim</t>
  </si>
  <si>
    <t>CDD</t>
  </si>
  <si>
    <t>CDI</t>
  </si>
  <si>
    <t>Non</t>
  </si>
  <si>
    <t>Oui</t>
  </si>
  <si>
    <t>Forfait social sur les côtisations patronales de prévoyance et frais de santé &gt;= 11 salariés</t>
  </si>
  <si>
    <t>Heure sup 25</t>
  </si>
  <si>
    <t>Heure sup 50</t>
  </si>
  <si>
    <t>TEPA</t>
  </si>
  <si>
    <t>Panier repas</t>
  </si>
  <si>
    <t>Salaire Brut final :</t>
  </si>
  <si>
    <t>Rajout CCN (% du T horaire SMIC):</t>
  </si>
  <si>
    <t>Complémentaire santé forfait</t>
  </si>
  <si>
    <t>Complémentaire santé forfait :</t>
  </si>
  <si>
    <t>Part salariale</t>
  </si>
  <si>
    <t>Part empl</t>
  </si>
  <si>
    <t>AT/MP</t>
  </si>
  <si>
    <t>Panier Repas Jour pour le mois</t>
  </si>
  <si>
    <t>Panier Repas Nuit pour le mois</t>
  </si>
  <si>
    <t>Par repas 01/01/2024 dans la limite de 2/j ( 4,15 secteur hotel, café, restaurants ou HCR )</t>
  </si>
  <si>
    <t>Taux patr :</t>
  </si>
  <si>
    <t>de 11,97 à 14,36€</t>
  </si>
  <si>
    <t>Entreprise :</t>
  </si>
  <si>
    <t>Entre 50 à 60%</t>
  </si>
  <si>
    <t>Avantage nature :</t>
  </si>
  <si>
    <t>Nbre</t>
  </si>
  <si>
    <t>Taux</t>
  </si>
  <si>
    <t>Date de sortie:</t>
  </si>
  <si>
    <t>Participation effort construction ≥ 50 salariés</t>
  </si>
  <si>
    <t xml:space="preserve">Versement transport ≥ 11 salariés </t>
  </si>
  <si>
    <t>Prévoyance complémentaire ( décès, invalidité )</t>
  </si>
  <si>
    <t>Cotisation transport :</t>
  </si>
  <si>
    <t>Heure supplémentaire mensualisé ( pour 39h ) 17,33 -&gt;</t>
  </si>
  <si>
    <t>TEPA &lt; 20 salariés</t>
  </si>
  <si>
    <t>Réduction des cotisations ( Ex Fillon )</t>
  </si>
  <si>
    <t>Période du : 01/07/2024</t>
  </si>
  <si>
    <t>au : 31/07/2024</t>
  </si>
  <si>
    <t>Emploi</t>
  </si>
  <si>
    <t>Statut</t>
  </si>
  <si>
    <t>Ouvrier</t>
  </si>
  <si>
    <t>Cadre</t>
  </si>
  <si>
    <t>Apprenti</t>
  </si>
  <si>
    <t>Stagiaire</t>
  </si>
  <si>
    <t>NOM prénom</t>
  </si>
  <si>
    <t>Contrat n° :</t>
  </si>
  <si>
    <t>Salaire Brut :</t>
  </si>
  <si>
    <t>Retraite T2</t>
  </si>
  <si>
    <t>APEC cadre T1</t>
  </si>
  <si>
    <t>APEC cadre T2</t>
  </si>
  <si>
    <t>CEG (Contribution d'Equilibre Général) T2</t>
  </si>
  <si>
    <t>Cadre dirigeant</t>
  </si>
  <si>
    <t>Salaire Cadre :</t>
  </si>
  <si>
    <t>Forfait jour :</t>
  </si>
  <si>
    <t>Salaire</t>
  </si>
  <si>
    <t xml:space="preserve">Absence et heure sup  : </t>
  </si>
  <si>
    <t>Autre :</t>
  </si>
  <si>
    <t>Cotisation :</t>
  </si>
  <si>
    <t>Prévoyance Cadre TA</t>
  </si>
  <si>
    <t>Prélèvement à la source ( PAS ) :</t>
  </si>
  <si>
    <t>Assurance chômage TA</t>
  </si>
  <si>
    <t>Assurance chômage TB</t>
  </si>
  <si>
    <t>Type de contrat :</t>
  </si>
  <si>
    <t>base de donnée des listes</t>
  </si>
  <si>
    <t>|</t>
  </si>
  <si>
    <t>Temps partiel</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</si>
</sst>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8" formatCode="#,##0.00\ &quot;€&quot;;[Red]\-#,##0.00\ &quot;€&quot;"/>
    <numFmt numFmtId="164" formatCode="0.000%"/>
    <numFmt numFmtId="165" formatCode="[$-40C]d\-mmm\-yy;@"/>
    <numFmt numFmtId="166" formatCode="#,##0.00\ &quot;€&quot;"/>
    <numFmt numFmtId="167" formatCode="[$-40C]d\ mmmm\ yyyy;@"/>
  </numFmts>
  <fonts count="24" x14ac:knownFonts="1">
    <font>
      <sz val="11"/>
      <color theme="1"/>
      <name val="Calibri"/>
      <family val="2"/>
      <scheme val="minor"/>
    </font>
    <font>
      <sz val="11"/>
      <color theme="1"/>
      <name val="Calibri"/>
      <family val="2"/>
      <scheme val="minor"/>
    </font>
    <font>
      <b/>
      <sz val="11"/>
      <color theme="1"/>
      <name val="Calibri"/>
      <family val="2"/>
      <scheme val="minor"/>
    </font>
    <font>
      <b/>
      <sz val="14"/>
      <color theme="1"/>
      <name val="Calibri"/>
      <family val="2"/>
      <scheme val="minor"/>
    </font>
    <font>
      <sz val="9"/>
      <color theme="1"/>
      <name val="Calibri"/>
      <family val="2"/>
      <scheme val="minor"/>
    </font>
    <font>
      <sz val="8"/>
      <color rgb="FFFF0000"/>
      <name val="Tahoma"/>
      <family val="2"/>
    </font>
    <font>
      <sz val="14"/>
      <color rgb="FFFF0000"/>
      <name val="Tahoma"/>
      <family val="2"/>
    </font>
    <font>
      <u/>
      <sz val="11"/>
      <color theme="10"/>
      <name val="Calibri"/>
      <family val="2"/>
    </font>
    <font>
      <sz val="14"/>
      <color rgb="FF444444"/>
      <name val="Tahoma"/>
      <family val="2"/>
    </font>
    <font>
      <b/>
      <sz val="12"/>
      <color theme="1"/>
      <name val="Calibri"/>
      <family val="2"/>
      <scheme val="minor"/>
    </font>
    <font>
      <sz val="12"/>
      <color theme="1"/>
      <name val="Calibri"/>
      <family val="2"/>
      <scheme val="minor"/>
    </font>
    <font>
      <sz val="9"/>
      <name val="Arial"/>
      <family val="2"/>
    </font>
    <font>
      <u/>
      <sz val="10"/>
      <color theme="10"/>
      <name val="Calibri"/>
      <family val="2"/>
    </font>
    <font>
      <sz val="14"/>
      <color theme="1"/>
      <name val="Calibri"/>
      <family val="2"/>
      <scheme val="minor"/>
    </font>
    <font>
      <sz val="10"/>
      <color theme="1"/>
      <name val="Calibri"/>
      <family val="2"/>
      <scheme val="minor"/>
    </font>
    <font>
      <sz val="10"/>
      <color rgb="FFFF0000"/>
      <name val="Arial"/>
      <family val="2"/>
    </font>
    <font>
      <i/>
      <sz val="11"/>
      <color theme="1"/>
      <name val="Calibri"/>
      <family val="2"/>
      <scheme val="minor"/>
    </font>
    <font>
      <sz val="11"/>
      <color rgb="FFFF0000"/>
      <name val="Calibri"/>
      <family val="2"/>
      <scheme val="minor"/>
    </font>
    <font>
      <b/>
      <u/>
      <sz val="12"/>
      <color theme="1"/>
      <name val="Calibri"/>
      <family val="2"/>
      <scheme val="minor"/>
    </font>
    <font>
      <sz val="10"/>
      <color theme="1"/>
      <name val="Arial"/>
      <family val="2"/>
    </font>
    <font>
      <b/>
      <u/>
      <sz val="16"/>
      <color theme="1"/>
      <name val="Calibri"/>
      <family val="2"/>
      <scheme val="minor"/>
    </font>
    <font>
      <b/>
      <sz val="12"/>
      <color rgb="FF212529"/>
      <name val="Arial"/>
      <family val="2"/>
    </font>
    <font>
      <sz val="9"/>
      <color indexed="81"/>
      <name val="Tahoma"/>
      <family val="2"/>
    </font>
    <font>
      <u/>
      <sz val="11"/>
      <color theme="1"/>
      <name val="Calibri"/>
      <family val="2"/>
      <scheme val="minor"/>
    </font>
  </fonts>
  <fills count="9">
    <fill>
      <patternFill patternType="none"/>
    </fill>
    <fill>
      <patternFill patternType="gray125"/>
    </fill>
    <fill>
      <patternFill patternType="solid">
        <fgColor theme="3" tint="0.59999389629810485"/>
        <bgColor indexed="64"/>
      </patternFill>
    </fill>
    <fill>
      <patternFill patternType="solid">
        <fgColor theme="3" tint="0.79998168889431442"/>
        <bgColor indexed="64"/>
      </patternFill>
    </fill>
    <fill>
      <patternFill patternType="solid">
        <fgColor theme="0" tint="-0.14999847407452621"/>
        <bgColor indexed="64"/>
      </patternFill>
    </fill>
    <fill>
      <patternFill patternType="solid">
        <fgColor theme="8" tint="0.59999389629810485"/>
        <bgColor indexed="64"/>
      </patternFill>
    </fill>
    <fill>
      <patternFill patternType="solid">
        <fgColor theme="2" tint="-9.9978637043366805E-2"/>
        <bgColor indexed="64"/>
      </patternFill>
    </fill>
    <fill>
      <patternFill patternType="solid">
        <fgColor theme="0"/>
        <bgColor indexed="64"/>
      </patternFill>
    </fill>
    <fill>
      <patternFill patternType="solid">
        <fgColor theme="4" tint="0.59999389629810485"/>
        <bgColor indexed="64"/>
      </patternFill>
    </fill>
  </fills>
  <borders count="30">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auto="1"/>
      </left>
      <right/>
      <top/>
      <bottom/>
      <diagonal/>
    </border>
    <border>
      <left/>
      <right style="thin">
        <color auto="1"/>
      </right>
      <top/>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style="thin">
        <color rgb="FF000000"/>
      </left>
      <right style="thin">
        <color rgb="FF000000"/>
      </right>
      <top style="thin">
        <color rgb="FF000000"/>
      </top>
      <bottom style="thin">
        <color rgb="FF000000"/>
      </bottom>
      <diagonal/>
    </border>
    <border>
      <left style="thin">
        <color auto="1"/>
      </left>
      <right style="thin">
        <color auto="1"/>
      </right>
      <top/>
      <bottom style="thin">
        <color auto="1"/>
      </bottom>
      <diagonal/>
    </border>
    <border>
      <left style="thin">
        <color indexed="64"/>
      </left>
      <right style="thin">
        <color rgb="FF000000"/>
      </right>
      <top style="thin">
        <color rgb="FF000000"/>
      </top>
      <bottom style="thin">
        <color rgb="FF000000"/>
      </bottom>
      <diagonal/>
    </border>
    <border>
      <left style="thin">
        <color rgb="FF000000"/>
      </left>
      <right style="thin">
        <color indexed="64"/>
      </right>
      <top style="thin">
        <color rgb="FF000000"/>
      </top>
      <bottom style="thin">
        <color rgb="FF000000"/>
      </bottom>
      <diagonal/>
    </border>
    <border>
      <left style="thin">
        <color auto="1"/>
      </left>
      <right style="thin">
        <color auto="1"/>
      </right>
      <top/>
      <bottom/>
      <diagonal/>
    </border>
    <border>
      <left style="thin">
        <color auto="1"/>
      </left>
      <right/>
      <top style="thin">
        <color auto="1"/>
      </top>
      <bottom style="thin">
        <color rgb="FF000000"/>
      </bottom>
      <diagonal/>
    </border>
    <border>
      <left/>
      <right/>
      <top style="thin">
        <color auto="1"/>
      </top>
      <bottom style="thin">
        <color rgb="FF000000"/>
      </bottom>
      <diagonal/>
    </border>
    <border>
      <left/>
      <right style="thin">
        <color auto="1"/>
      </right>
      <top style="thin">
        <color auto="1"/>
      </top>
      <bottom style="thin">
        <color rgb="FF000000"/>
      </bottom>
      <diagonal/>
    </border>
    <border>
      <left style="thin">
        <color auto="1"/>
      </left>
      <right/>
      <top style="thin">
        <color rgb="FF000000"/>
      </top>
      <bottom style="thin">
        <color auto="1"/>
      </bottom>
      <diagonal/>
    </border>
    <border>
      <left/>
      <right/>
      <top style="thin">
        <color rgb="FF000000"/>
      </top>
      <bottom style="thin">
        <color auto="1"/>
      </bottom>
      <diagonal/>
    </border>
    <border>
      <left/>
      <right style="thin">
        <color auto="1"/>
      </right>
      <top style="thin">
        <color rgb="FF000000"/>
      </top>
      <bottom style="thin">
        <color auto="1"/>
      </bottom>
      <diagonal/>
    </border>
    <border>
      <left style="thin">
        <color rgb="FF000000"/>
      </left>
      <right/>
      <top style="thin">
        <color rgb="FF000000"/>
      </top>
      <bottom style="thin">
        <color rgb="FF000000"/>
      </bottom>
      <diagonal/>
    </border>
    <border>
      <left/>
      <right style="thin">
        <color indexed="64"/>
      </right>
      <top style="thin">
        <color rgb="FF000000"/>
      </top>
      <bottom style="thin">
        <color rgb="FF000000"/>
      </bottom>
      <diagonal/>
    </border>
    <border>
      <left style="thin">
        <color indexed="64"/>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s>
  <cellStyleXfs count="4">
    <xf numFmtId="0" fontId="0" fillId="0" borderId="0"/>
    <xf numFmtId="9" fontId="1" fillId="0" borderId="0" applyFont="0" applyFill="0" applyBorder="0" applyAlignment="0" applyProtection="0"/>
    <xf numFmtId="0" fontId="7" fillId="0" borderId="0" applyNumberFormat="0" applyFill="0" applyBorder="0" applyAlignment="0" applyProtection="0">
      <alignment vertical="top"/>
      <protection locked="0"/>
    </xf>
    <xf numFmtId="0" fontId="1" fillId="0" borderId="0"/>
  </cellStyleXfs>
  <cellXfs count="245">
    <xf numFmtId="0" fontId="0" fillId="0" borderId="0" xfId="0"/>
    <xf numFmtId="0" fontId="0" fillId="0" borderId="1" xfId="0" applyBorder="1"/>
    <xf numFmtId="0" fontId="0" fillId="0" borderId="0" xfId="0" applyAlignment="1">
      <alignment horizontal="center" vertical="center"/>
    </xf>
    <xf numFmtId="0" fontId="0" fillId="3" borderId="2" xfId="0" applyFill="1" applyBorder="1"/>
    <xf numFmtId="0" fontId="0" fillId="3" borderId="4" xfId="0" applyFill="1" applyBorder="1"/>
    <xf numFmtId="0" fontId="0" fillId="3" borderId="3" xfId="0" applyFill="1" applyBorder="1"/>
    <xf numFmtId="14" fontId="0" fillId="3" borderId="3" xfId="0" applyNumberFormat="1" applyFill="1" applyBorder="1"/>
    <xf numFmtId="0" fontId="0" fillId="3" borderId="8" xfId="0" applyFill="1" applyBorder="1"/>
    <xf numFmtId="0" fontId="0" fillId="3" borderId="9" xfId="0" applyFill="1" applyBorder="1"/>
    <xf numFmtId="0" fontId="0" fillId="3" borderId="0" xfId="0" applyFill="1" applyBorder="1"/>
    <xf numFmtId="14" fontId="0" fillId="3" borderId="0" xfId="0" applyNumberFormat="1" applyFill="1" applyBorder="1"/>
    <xf numFmtId="0" fontId="0" fillId="3" borderId="5" xfId="0" applyFill="1" applyBorder="1"/>
    <xf numFmtId="14" fontId="0" fillId="3" borderId="7" xfId="0" applyNumberFormat="1" applyFill="1" applyBorder="1" applyAlignment="1">
      <alignment horizontal="left"/>
    </xf>
    <xf numFmtId="0" fontId="0" fillId="3" borderId="6" xfId="0" applyFill="1" applyBorder="1"/>
    <xf numFmtId="0" fontId="0" fillId="3" borderId="7" xfId="0" applyFill="1" applyBorder="1"/>
    <xf numFmtId="0" fontId="0" fillId="0" borderId="4" xfId="0" applyBorder="1"/>
    <xf numFmtId="0" fontId="0" fillId="0" borderId="0" xfId="0" applyBorder="1"/>
    <xf numFmtId="0" fontId="0" fillId="0" borderId="9" xfId="0" applyBorder="1"/>
    <xf numFmtId="0" fontId="0" fillId="0" borderId="6" xfId="0" applyBorder="1"/>
    <xf numFmtId="0" fontId="0" fillId="0" borderId="7" xfId="0" applyBorder="1"/>
    <xf numFmtId="2" fontId="0" fillId="0" borderId="1" xfId="0" applyNumberFormat="1" applyFill="1" applyBorder="1" applyAlignment="1">
      <alignment horizontal="center" vertical="center"/>
    </xf>
    <xf numFmtId="10" fontId="0" fillId="0" borderId="1" xfId="1" applyNumberFormat="1" applyFont="1" applyFill="1" applyBorder="1" applyAlignment="1">
      <alignment horizontal="center" vertical="center"/>
    </xf>
    <xf numFmtId="0" fontId="0" fillId="0" borderId="1" xfId="0" applyFill="1" applyBorder="1" applyAlignment="1">
      <alignment horizontal="center" vertical="center"/>
    </xf>
    <xf numFmtId="0" fontId="0" fillId="0" borderId="0" xfId="0" applyFill="1"/>
    <xf numFmtId="2" fontId="0" fillId="0" borderId="1" xfId="0" applyNumberFormat="1" applyBorder="1" applyAlignment="1">
      <alignment horizontal="center" vertical="center"/>
    </xf>
    <xf numFmtId="2" fontId="0" fillId="0" borderId="1" xfId="1" applyNumberFormat="1" applyFont="1" applyFill="1" applyBorder="1" applyAlignment="1">
      <alignment horizontal="center" vertical="center"/>
    </xf>
    <xf numFmtId="0" fontId="7" fillId="0" borderId="0" xfId="2" applyAlignment="1" applyProtection="1">
      <alignment vertical="center" wrapText="1"/>
    </xf>
    <xf numFmtId="0" fontId="8" fillId="0" borderId="0" xfId="0" applyFont="1" applyAlignment="1">
      <alignment vertical="center" wrapText="1"/>
    </xf>
    <xf numFmtId="0" fontId="4" fillId="0" borderId="0" xfId="0" applyFont="1" applyFill="1" applyBorder="1"/>
    <xf numFmtId="0" fontId="4" fillId="0" borderId="10" xfId="0" applyFont="1" applyFill="1" applyBorder="1"/>
    <xf numFmtId="0" fontId="0" fillId="0" borderId="11" xfId="0" applyBorder="1"/>
    <xf numFmtId="2" fontId="0" fillId="0" borderId="1" xfId="0" applyNumberFormat="1" applyBorder="1"/>
    <xf numFmtId="10" fontId="0" fillId="0" borderId="11" xfId="0" applyNumberFormat="1" applyBorder="1"/>
    <xf numFmtId="0" fontId="4" fillId="2" borderId="0" xfId="0" applyFont="1" applyFill="1" applyBorder="1"/>
    <xf numFmtId="0" fontId="0" fillId="0" borderId="0" xfId="0" applyBorder="1" applyAlignment="1">
      <alignment horizontal="center"/>
    </xf>
    <xf numFmtId="0" fontId="0" fillId="0" borderId="9" xfId="0" applyBorder="1" applyAlignment="1">
      <alignment horizontal="center"/>
    </xf>
    <xf numFmtId="9" fontId="0" fillId="0" borderId="0" xfId="0" applyNumberFormat="1" applyBorder="1" applyAlignment="1">
      <alignment horizontal="center"/>
    </xf>
    <xf numFmtId="2" fontId="0" fillId="0" borderId="0" xfId="0" applyNumberFormat="1" applyBorder="1" applyAlignment="1">
      <alignment horizontal="center"/>
    </xf>
    <xf numFmtId="2" fontId="3" fillId="0" borderId="12" xfId="0" applyNumberFormat="1" applyFont="1" applyBorder="1"/>
    <xf numFmtId="2" fontId="0" fillId="0" borderId="9" xfId="0" applyNumberFormat="1" applyBorder="1"/>
    <xf numFmtId="0" fontId="0" fillId="3" borderId="1" xfId="0" applyFill="1" applyBorder="1" applyAlignment="1">
      <alignment horizontal="center" vertical="center"/>
    </xf>
    <xf numFmtId="0" fontId="0" fillId="0" borderId="2" xfId="0" applyBorder="1"/>
    <xf numFmtId="0" fontId="0" fillId="0" borderId="3" xfId="0" applyBorder="1"/>
    <xf numFmtId="2" fontId="4" fillId="0" borderId="1" xfId="0" applyNumberFormat="1" applyFont="1" applyFill="1" applyBorder="1"/>
    <xf numFmtId="0" fontId="0" fillId="0" borderId="8" xfId="0" applyBorder="1"/>
    <xf numFmtId="2" fontId="4" fillId="0" borderId="13" xfId="0" applyNumberFormat="1" applyFont="1" applyFill="1" applyBorder="1"/>
    <xf numFmtId="0" fontId="13" fillId="0" borderId="0" xfId="3" applyFont="1" applyBorder="1" applyAlignment="1">
      <alignment vertical="center"/>
    </xf>
    <xf numFmtId="0" fontId="15" fillId="0" borderId="0" xfId="0" applyFont="1" applyAlignment="1">
      <alignment vertical="center" wrapText="1"/>
    </xf>
    <xf numFmtId="0" fontId="0" fillId="4" borderId="1" xfId="0" applyFill="1" applyBorder="1"/>
    <xf numFmtId="0" fontId="2" fillId="6" borderId="0" xfId="0" applyFont="1" applyFill="1"/>
    <xf numFmtId="0" fontId="0" fillId="6" borderId="0" xfId="0" applyFill="1"/>
    <xf numFmtId="0" fontId="16" fillId="6" borderId="0" xfId="0" applyFont="1" applyFill="1"/>
    <xf numFmtId="2" fontId="0" fillId="0" borderId="1" xfId="0" applyNumberFormat="1" applyBorder="1" applyAlignment="1">
      <alignment horizontal="center"/>
    </xf>
    <xf numFmtId="0" fontId="7" fillId="0" borderId="0" xfId="2" applyAlignment="1" applyProtection="1"/>
    <xf numFmtId="0" fontId="5" fillId="0" borderId="0" xfId="0" applyFont="1" applyAlignment="1">
      <alignment vertical="center" wrapText="1"/>
    </xf>
    <xf numFmtId="4" fontId="0" fillId="0" borderId="0" xfId="0" applyNumberFormat="1" applyAlignment="1">
      <alignment horizontal="center" vertical="center"/>
    </xf>
    <xf numFmtId="4" fontId="0" fillId="0" borderId="0" xfId="0" applyNumberFormat="1" applyBorder="1"/>
    <xf numFmtId="10" fontId="0" fillId="0" borderId="0" xfId="0" applyNumberFormat="1"/>
    <xf numFmtId="0" fontId="0" fillId="0" borderId="0" xfId="0" applyFill="1" applyBorder="1"/>
    <xf numFmtId="2" fontId="0" fillId="0" borderId="0" xfId="0" applyNumberFormat="1" applyBorder="1"/>
    <xf numFmtId="0" fontId="0" fillId="5" borderId="0" xfId="0" applyFill="1" applyAlignment="1">
      <alignment horizontal="center" vertical="center"/>
    </xf>
    <xf numFmtId="4" fontId="0" fillId="5" borderId="0" xfId="0" applyNumberFormat="1" applyFill="1" applyAlignment="1">
      <alignment horizontal="center" vertical="center"/>
    </xf>
    <xf numFmtId="14" fontId="0" fillId="5" borderId="0" xfId="0" applyNumberFormat="1" applyFill="1"/>
    <xf numFmtId="2" fontId="0" fillId="0" borderId="0" xfId="0" applyNumberFormat="1"/>
    <xf numFmtId="0" fontId="0" fillId="0" borderId="0" xfId="0" applyNumberFormat="1"/>
    <xf numFmtId="2" fontId="0" fillId="7" borderId="0" xfId="0" applyNumberFormat="1" applyFill="1" applyAlignment="1">
      <alignment horizontal="center" vertical="center"/>
    </xf>
    <xf numFmtId="9" fontId="0" fillId="0" borderId="0" xfId="0" applyNumberFormat="1" applyFill="1" applyBorder="1"/>
    <xf numFmtId="9" fontId="0" fillId="0" borderId="0" xfId="0" applyNumberFormat="1"/>
    <xf numFmtId="10" fontId="0" fillId="0" borderId="0" xfId="0" applyNumberFormat="1" applyFill="1" applyBorder="1" applyAlignment="1">
      <alignment horizontal="center"/>
    </xf>
    <xf numFmtId="0" fontId="17" fillId="0" borderId="0" xfId="0" applyFont="1"/>
    <xf numFmtId="0" fontId="18" fillId="0" borderId="0" xfId="0" applyFont="1"/>
    <xf numFmtId="10" fontId="0" fillId="5" borderId="0" xfId="0" applyNumberFormat="1" applyFill="1" applyBorder="1"/>
    <xf numFmtId="1" fontId="0" fillId="3" borderId="0" xfId="0" applyNumberFormat="1" applyFill="1" applyBorder="1" applyAlignment="1">
      <alignment horizontal="left"/>
    </xf>
    <xf numFmtId="14" fontId="0" fillId="3" borderId="6" xfId="0" applyNumberFormat="1" applyFill="1" applyBorder="1" applyAlignment="1">
      <alignment horizontal="left"/>
    </xf>
    <xf numFmtId="0" fontId="0" fillId="3" borderId="3" xfId="0" applyFill="1" applyBorder="1" applyAlignment="1">
      <alignment horizontal="right"/>
    </xf>
    <xf numFmtId="14" fontId="0" fillId="3" borderId="5" xfId="0" applyNumberFormat="1" applyFill="1" applyBorder="1" applyAlignment="1">
      <alignment horizontal="left" vertical="center"/>
    </xf>
    <xf numFmtId="0" fontId="4" fillId="0" borderId="11" xfId="0" applyFont="1" applyFill="1" applyBorder="1"/>
    <xf numFmtId="0" fontId="0" fillId="3" borderId="0" xfId="0" applyFill="1" applyBorder="1" applyAlignment="1">
      <alignment horizontal="left"/>
    </xf>
    <xf numFmtId="165" fontId="0" fillId="3" borderId="6" xfId="0" applyNumberFormat="1" applyFill="1" applyBorder="1" applyAlignment="1">
      <alignment horizontal="center" vertical="center"/>
    </xf>
    <xf numFmtId="0" fontId="0" fillId="5" borderId="0" xfId="0" applyFill="1" applyBorder="1"/>
    <xf numFmtId="0" fontId="0" fillId="5" borderId="0" xfId="0" applyFill="1"/>
    <xf numFmtId="0" fontId="19" fillId="0" borderId="0" xfId="0" applyFont="1" applyAlignment="1">
      <alignment vertical="center" wrapText="1"/>
    </xf>
    <xf numFmtId="10" fontId="0" fillId="7" borderId="1" xfId="1" applyNumberFormat="1" applyFont="1" applyFill="1" applyBorder="1" applyAlignment="1">
      <alignment horizontal="center" vertical="center"/>
    </xf>
    <xf numFmtId="0" fontId="0" fillId="7" borderId="1" xfId="0" applyFill="1" applyBorder="1" applyAlignment="1">
      <alignment horizontal="center" vertical="center"/>
    </xf>
    <xf numFmtId="2" fontId="0" fillId="7" borderId="1" xfId="0" applyNumberFormat="1" applyFill="1" applyBorder="1" applyAlignment="1">
      <alignment horizontal="center" vertical="center"/>
    </xf>
    <xf numFmtId="10" fontId="1" fillId="7" borderId="1" xfId="1" applyNumberFormat="1" applyFont="1" applyFill="1" applyBorder="1" applyAlignment="1">
      <alignment horizontal="center" vertical="center"/>
    </xf>
    <xf numFmtId="2" fontId="0" fillId="0" borderId="13" xfId="0" applyNumberFormat="1" applyFill="1" applyBorder="1" applyAlignment="1">
      <alignment horizontal="center" vertical="center"/>
    </xf>
    <xf numFmtId="10" fontId="0" fillId="0" borderId="13" xfId="1" applyNumberFormat="1" applyFont="1" applyFill="1" applyBorder="1" applyAlignment="1">
      <alignment horizontal="center" vertical="center"/>
    </xf>
    <xf numFmtId="2" fontId="0" fillId="0" borderId="13" xfId="1" applyNumberFormat="1" applyFont="1" applyFill="1" applyBorder="1" applyAlignment="1">
      <alignment horizontal="center" vertical="center"/>
    </xf>
    <xf numFmtId="2" fontId="0" fillId="0" borderId="13" xfId="0" applyNumberFormat="1" applyBorder="1" applyAlignment="1">
      <alignment horizontal="center" vertical="center"/>
    </xf>
    <xf numFmtId="164" fontId="0" fillId="0" borderId="1" xfId="1" applyNumberFormat="1" applyFont="1" applyFill="1" applyBorder="1" applyAlignment="1">
      <alignment horizontal="center" vertical="center"/>
    </xf>
    <xf numFmtId="0" fontId="0" fillId="0" borderId="0" xfId="0" applyFont="1"/>
    <xf numFmtId="2" fontId="0" fillId="0" borderId="0" xfId="0" applyNumberFormat="1" applyFill="1" applyBorder="1" applyAlignment="1">
      <alignment horizontal="center" vertical="center"/>
    </xf>
    <xf numFmtId="0" fontId="0" fillId="5" borderId="1" xfId="0" applyFill="1" applyBorder="1" applyAlignment="1">
      <alignment horizontal="center" vertical="center"/>
    </xf>
    <xf numFmtId="0" fontId="0" fillId="5" borderId="1" xfId="0" applyFill="1" applyBorder="1"/>
    <xf numFmtId="8" fontId="0" fillId="0" borderId="0" xfId="0" applyNumberFormat="1" applyBorder="1" applyAlignment="1">
      <alignment horizontal="center"/>
    </xf>
    <xf numFmtId="166" fontId="0" fillId="5" borderId="0" xfId="0" applyNumberFormat="1" applyFill="1"/>
    <xf numFmtId="10" fontId="0" fillId="5" borderId="0" xfId="0" applyNumberFormat="1" applyFill="1"/>
    <xf numFmtId="0" fontId="15" fillId="0" borderId="0" xfId="0" applyFont="1" applyAlignment="1">
      <alignment vertical="center"/>
    </xf>
    <xf numFmtId="0" fontId="0" fillId="8" borderId="0" xfId="0" applyFill="1" applyBorder="1" applyAlignment="1">
      <alignment horizontal="center"/>
    </xf>
    <xf numFmtId="8" fontId="0" fillId="8" borderId="0" xfId="0" applyNumberFormat="1" applyFill="1" applyBorder="1" applyAlignment="1">
      <alignment horizontal="center"/>
    </xf>
    <xf numFmtId="0" fontId="0" fillId="0" borderId="1" xfId="0" applyFill="1" applyBorder="1"/>
    <xf numFmtId="0" fontId="19" fillId="0" borderId="0" xfId="0" applyFont="1" applyAlignment="1">
      <alignment vertical="center"/>
    </xf>
    <xf numFmtId="0" fontId="15" fillId="0" borderId="0" xfId="0" applyFont="1" applyFill="1" applyBorder="1" applyAlignment="1">
      <alignment vertical="center"/>
    </xf>
    <xf numFmtId="10" fontId="0" fillId="0" borderId="0" xfId="1" applyNumberFormat="1" applyFont="1" applyFill="1" applyBorder="1" applyAlignment="1">
      <alignment horizontal="center" vertical="center"/>
    </xf>
    <xf numFmtId="10" fontId="0" fillId="0" borderId="0" xfId="1" applyNumberFormat="1" applyFont="1" applyFill="1" applyBorder="1" applyAlignment="1">
      <alignment horizontal="left" vertical="center"/>
    </xf>
    <xf numFmtId="166" fontId="0" fillId="0" borderId="0" xfId="0" applyNumberFormat="1" applyBorder="1" applyAlignment="1">
      <alignment horizontal="center"/>
    </xf>
    <xf numFmtId="2" fontId="0" fillId="5" borderId="0" xfId="0" applyNumberFormat="1" applyFill="1" applyBorder="1" applyAlignment="1">
      <alignment horizontal="center"/>
    </xf>
    <xf numFmtId="0" fontId="20" fillId="0" borderId="0" xfId="0" applyFont="1" applyFill="1" applyBorder="1"/>
    <xf numFmtId="2" fontId="0" fillId="0" borderId="0" xfId="0" applyNumberFormat="1" applyFill="1"/>
    <xf numFmtId="0" fontId="0" fillId="0" borderId="15" xfId="0" applyBorder="1"/>
    <xf numFmtId="2" fontId="0" fillId="0" borderId="0" xfId="0" applyNumberFormat="1" applyFill="1" applyBorder="1" applyAlignment="1">
      <alignment horizontal="center"/>
    </xf>
    <xf numFmtId="0" fontId="0" fillId="0" borderId="5" xfId="0" applyBorder="1"/>
    <xf numFmtId="0" fontId="0" fillId="2" borderId="8" xfId="0" applyFill="1" applyBorder="1"/>
    <xf numFmtId="0" fontId="0" fillId="2" borderId="0" xfId="0" applyFill="1" applyBorder="1"/>
    <xf numFmtId="0" fontId="4" fillId="0" borderId="8" xfId="0" applyFont="1" applyBorder="1"/>
    <xf numFmtId="0" fontId="4" fillId="0" borderId="0" xfId="0" applyFont="1" applyBorder="1"/>
    <xf numFmtId="0" fontId="4" fillId="0" borderId="8" xfId="0" applyFont="1" applyFill="1" applyBorder="1"/>
    <xf numFmtId="0" fontId="0" fillId="0" borderId="8" xfId="0" applyFill="1" applyBorder="1"/>
    <xf numFmtId="0" fontId="4" fillId="0" borderId="8" xfId="0" applyFont="1" applyBorder="1" applyAlignment="1">
      <alignment horizontal="left"/>
    </xf>
    <xf numFmtId="0" fontId="4" fillId="0" borderId="0" xfId="0" applyFont="1" applyBorder="1" applyAlignment="1">
      <alignment horizontal="left"/>
    </xf>
    <xf numFmtId="0" fontId="4" fillId="0" borderId="8" xfId="0" applyFont="1" applyFill="1" applyBorder="1" applyAlignment="1">
      <alignment horizontal="left"/>
    </xf>
    <xf numFmtId="0" fontId="4" fillId="0" borderId="0" xfId="0" applyFont="1" applyFill="1" applyBorder="1" applyAlignment="1">
      <alignment horizontal="left"/>
    </xf>
    <xf numFmtId="10" fontId="0" fillId="0" borderId="0" xfId="0" applyNumberFormat="1" applyBorder="1" applyAlignment="1">
      <alignment horizontal="center"/>
    </xf>
    <xf numFmtId="0" fontId="4" fillId="2" borderId="8" xfId="0" applyFont="1" applyFill="1" applyBorder="1"/>
    <xf numFmtId="167" fontId="0" fillId="3" borderId="6" xfId="0" applyNumberFormat="1" applyFill="1" applyBorder="1" applyAlignment="1">
      <alignment horizontal="center" vertical="center"/>
    </xf>
    <xf numFmtId="0" fontId="0" fillId="0" borderId="10" xfId="0" applyBorder="1" applyAlignment="1">
      <alignment vertical="center"/>
    </xf>
    <xf numFmtId="0" fontId="0" fillId="0" borderId="11" xfId="0" applyBorder="1" applyAlignment="1">
      <alignment vertical="center"/>
    </xf>
    <xf numFmtId="2" fontId="0" fillId="0" borderId="12" xfId="0" applyNumberFormat="1" applyBorder="1" applyAlignment="1">
      <alignment vertical="center"/>
    </xf>
    <xf numFmtId="0" fontId="5" fillId="0" borderId="0" xfId="0" applyFont="1" applyAlignment="1">
      <alignment horizontal="left" vertical="center" wrapText="1"/>
    </xf>
    <xf numFmtId="0" fontId="0" fillId="0" borderId="18" xfId="0" applyBorder="1"/>
    <xf numFmtId="2" fontId="0" fillId="0" borderId="18" xfId="0" applyNumberFormat="1" applyFill="1" applyBorder="1" applyAlignment="1">
      <alignment horizontal="center" vertical="center"/>
    </xf>
    <xf numFmtId="2" fontId="0" fillId="0" borderId="8" xfId="0" applyNumberFormat="1" applyFill="1" applyBorder="1" applyAlignment="1">
      <alignment horizontal="center" vertical="center"/>
    </xf>
    <xf numFmtId="0" fontId="0" fillId="0" borderId="8" xfId="0" applyFill="1" applyBorder="1" applyAlignment="1">
      <alignment horizontal="center" vertical="center"/>
    </xf>
    <xf numFmtId="10" fontId="0" fillId="0" borderId="8" xfId="1" applyNumberFormat="1" applyFont="1" applyFill="1" applyBorder="1" applyAlignment="1">
      <alignment horizontal="center" vertical="center"/>
    </xf>
    <xf numFmtId="164" fontId="0" fillId="0" borderId="8" xfId="1" applyNumberFormat="1" applyFont="1" applyFill="1" applyBorder="1" applyAlignment="1">
      <alignment horizontal="center" vertical="center"/>
    </xf>
    <xf numFmtId="2" fontId="0" fillId="0" borderId="8" xfId="1" applyNumberFormat="1" applyFont="1" applyFill="1" applyBorder="1" applyAlignment="1">
      <alignment horizontal="center" vertical="center"/>
    </xf>
    <xf numFmtId="10" fontId="0" fillId="0" borderId="5" xfId="0" applyNumberFormat="1" applyBorder="1"/>
    <xf numFmtId="2" fontId="0" fillId="0" borderId="18" xfId="0" applyNumberFormat="1" applyBorder="1" applyAlignment="1">
      <alignment horizontal="center" vertical="center"/>
    </xf>
    <xf numFmtId="10" fontId="0" fillId="0" borderId="3" xfId="1" applyNumberFormat="1" applyFont="1" applyFill="1" applyBorder="1" applyAlignment="1">
      <alignment horizontal="center" vertical="center"/>
    </xf>
    <xf numFmtId="0" fontId="0" fillId="0" borderId="2" xfId="0" applyFill="1" applyBorder="1" applyAlignment="1">
      <alignment horizontal="center" vertical="center"/>
    </xf>
    <xf numFmtId="10" fontId="0" fillId="0" borderId="2" xfId="1" applyNumberFormat="1" applyFont="1" applyFill="1" applyBorder="1" applyAlignment="1">
      <alignment horizontal="center" vertical="center"/>
    </xf>
    <xf numFmtId="10" fontId="1" fillId="0" borderId="8" xfId="1" applyNumberFormat="1" applyFont="1" applyFill="1" applyBorder="1" applyAlignment="1">
      <alignment horizontal="center" vertical="center"/>
    </xf>
    <xf numFmtId="0" fontId="0" fillId="2" borderId="10" xfId="0" applyFill="1" applyBorder="1"/>
    <xf numFmtId="0" fontId="0" fillId="2" borderId="12" xfId="0" applyFill="1" applyBorder="1"/>
    <xf numFmtId="2" fontId="0" fillId="0" borderId="15" xfId="0" applyNumberFormat="1" applyBorder="1" applyAlignment="1">
      <alignment horizontal="center" vertical="center"/>
    </xf>
    <xf numFmtId="2" fontId="0" fillId="0" borderId="5" xfId="0" applyNumberFormat="1" applyBorder="1" applyAlignment="1">
      <alignment horizontal="center"/>
    </xf>
    <xf numFmtId="10" fontId="0" fillId="5" borderId="1" xfId="0" applyNumberFormat="1" applyFill="1" applyBorder="1" applyAlignment="1">
      <alignment horizontal="center" vertical="center"/>
    </xf>
    <xf numFmtId="0" fontId="0" fillId="0" borderId="0" xfId="0" applyAlignment="1">
      <alignment horizontal="center" wrapText="1"/>
    </xf>
    <xf numFmtId="166" fontId="0" fillId="0" borderId="0" xfId="0" applyNumberFormat="1" applyFill="1"/>
    <xf numFmtId="0" fontId="21" fillId="0" borderId="0" xfId="0" applyFont="1" applyAlignment="1"/>
    <xf numFmtId="166" fontId="0" fillId="0" borderId="0" xfId="0" applyNumberFormat="1"/>
    <xf numFmtId="2" fontId="0" fillId="0" borderId="18" xfId="0" applyNumberFormat="1" applyBorder="1" applyAlignment="1">
      <alignment horizontal="center"/>
    </xf>
    <xf numFmtId="2" fontId="0" fillId="0" borderId="9" xfId="0" applyNumberFormat="1" applyBorder="1" applyAlignment="1">
      <alignment horizontal="center"/>
    </xf>
    <xf numFmtId="0" fontId="0" fillId="0" borderId="18" xfId="0" applyFill="1" applyBorder="1" applyAlignment="1">
      <alignment horizontal="center" vertical="center"/>
    </xf>
    <xf numFmtId="9" fontId="0" fillId="0" borderId="0" xfId="0" applyNumberFormat="1" applyBorder="1"/>
    <xf numFmtId="14" fontId="0" fillId="3" borderId="5" xfId="0" applyNumberFormat="1" applyFill="1" applyBorder="1" applyAlignment="1">
      <alignment vertical="center"/>
    </xf>
    <xf numFmtId="0" fontId="0" fillId="3" borderId="3" xfId="0" applyFill="1" applyBorder="1" applyAlignment="1">
      <alignment horizontal="left"/>
    </xf>
    <xf numFmtId="0" fontId="0" fillId="3" borderId="0" xfId="0" applyFill="1" applyBorder="1" applyAlignment="1"/>
    <xf numFmtId="0" fontId="0" fillId="3" borderId="0" xfId="0" applyFill="1" applyBorder="1" applyAlignment="1">
      <alignment horizontal="left" vertical="center"/>
    </xf>
    <xf numFmtId="0" fontId="0" fillId="3" borderId="9" xfId="0" applyFill="1" applyBorder="1" applyAlignment="1"/>
    <xf numFmtId="0" fontId="0" fillId="3" borderId="0" xfId="0" applyFill="1" applyBorder="1" applyAlignment="1">
      <alignment horizontal="left"/>
    </xf>
    <xf numFmtId="2" fontId="0" fillId="0" borderId="1" xfId="0" applyNumberFormat="1" applyBorder="1" applyAlignment="1">
      <alignment horizontal="center"/>
    </xf>
    <xf numFmtId="14" fontId="0" fillId="3" borderId="8" xfId="0" applyNumberFormat="1" applyFill="1" applyBorder="1" applyAlignment="1">
      <alignment vertical="center"/>
    </xf>
    <xf numFmtId="0" fontId="18" fillId="0" borderId="0" xfId="0" applyFont="1" applyBorder="1"/>
    <xf numFmtId="0" fontId="18" fillId="0" borderId="0" xfId="0" applyFont="1" applyFill="1"/>
    <xf numFmtId="0" fontId="0" fillId="5" borderId="1" xfId="0" applyFill="1" applyBorder="1" applyAlignment="1">
      <alignment horizontal="center"/>
    </xf>
    <xf numFmtId="166" fontId="0" fillId="5" borderId="0" xfId="0" applyNumberFormat="1" applyFill="1" applyAlignment="1">
      <alignment horizontal="center"/>
    </xf>
    <xf numFmtId="164" fontId="0" fillId="0" borderId="0" xfId="1" applyNumberFormat="1" applyFont="1" applyFill="1" applyBorder="1" applyAlignment="1">
      <alignment horizontal="center" vertical="center"/>
    </xf>
    <xf numFmtId="4" fontId="0" fillId="0" borderId="2" xfId="0" applyNumberFormat="1" applyFill="1" applyBorder="1" applyAlignment="1">
      <alignment horizontal="center" vertical="center"/>
    </xf>
    <xf numFmtId="166" fontId="0" fillId="0" borderId="15" xfId="0" applyNumberFormat="1" applyBorder="1" applyAlignment="1">
      <alignment horizontal="center" vertical="center"/>
    </xf>
    <xf numFmtId="166" fontId="0" fillId="0" borderId="5" xfId="0" applyNumberFormat="1" applyBorder="1" applyAlignment="1">
      <alignment horizontal="center"/>
    </xf>
    <xf numFmtId="0" fontId="0" fillId="3" borderId="0" xfId="0" applyFill="1" applyBorder="1" applyAlignment="1">
      <alignment horizontal="left"/>
    </xf>
    <xf numFmtId="2" fontId="0" fillId="0" borderId="1" xfId="0" applyNumberFormat="1" applyBorder="1" applyAlignment="1">
      <alignment horizontal="center"/>
    </xf>
    <xf numFmtId="0" fontId="11" fillId="0" borderId="16" xfId="0" applyFont="1" applyFill="1" applyBorder="1" applyAlignment="1">
      <alignment horizontal="center" vertical="top" wrapText="1"/>
    </xf>
    <xf numFmtId="0" fontId="11" fillId="0" borderId="14" xfId="0" applyFont="1" applyFill="1" applyBorder="1" applyAlignment="1">
      <alignment horizontal="center" vertical="top" wrapText="1"/>
    </xf>
    <xf numFmtId="0" fontId="12" fillId="0" borderId="14" xfId="2" applyFont="1" applyFill="1" applyBorder="1" applyAlignment="1" applyProtection="1">
      <alignment horizontal="center" vertical="top" wrapText="1"/>
    </xf>
    <xf numFmtId="0" fontId="12" fillId="0" borderId="17" xfId="2" applyFont="1" applyFill="1" applyBorder="1" applyAlignment="1" applyProtection="1">
      <alignment horizontal="center" vertical="top" wrapText="1"/>
    </xf>
    <xf numFmtId="0" fontId="13" fillId="0" borderId="5" xfId="3" applyFont="1" applyBorder="1" applyAlignment="1">
      <alignment horizontal="center" vertical="center" wrapText="1"/>
    </xf>
    <xf numFmtId="0" fontId="13" fillId="0" borderId="6" xfId="3" applyFont="1" applyBorder="1" applyAlignment="1">
      <alignment horizontal="center" vertical="center" wrapText="1"/>
    </xf>
    <xf numFmtId="0" fontId="13" fillId="0" borderId="7" xfId="3" applyFont="1" applyBorder="1" applyAlignment="1">
      <alignment horizontal="center" vertical="center" wrapText="1"/>
    </xf>
    <xf numFmtId="2" fontId="0" fillId="0" borderId="1" xfId="0" applyNumberFormat="1" applyBorder="1" applyAlignment="1">
      <alignment horizontal="center"/>
    </xf>
    <xf numFmtId="0" fontId="0" fillId="0" borderId="1" xfId="0" applyBorder="1" applyAlignment="1">
      <alignment horizontal="center"/>
    </xf>
    <xf numFmtId="0" fontId="2" fillId="3" borderId="1" xfId="0" applyFont="1" applyFill="1" applyBorder="1" applyAlignment="1">
      <alignment horizontal="center"/>
    </xf>
    <xf numFmtId="2" fontId="10" fillId="0" borderId="2" xfId="0" applyNumberFormat="1" applyFont="1" applyBorder="1" applyAlignment="1">
      <alignment horizontal="center" vertical="center"/>
    </xf>
    <xf numFmtId="2" fontId="10" fillId="0" borderId="3" xfId="0" applyNumberFormat="1" applyFont="1" applyBorder="1" applyAlignment="1">
      <alignment horizontal="center" vertical="center"/>
    </xf>
    <xf numFmtId="2" fontId="10" fillId="0" borderId="4" xfId="0" applyNumberFormat="1" applyFont="1" applyBorder="1" applyAlignment="1">
      <alignment horizontal="center" vertical="center"/>
    </xf>
    <xf numFmtId="0" fontId="4" fillId="3" borderId="1" xfId="0" applyFont="1" applyFill="1" applyBorder="1" applyAlignment="1">
      <alignment horizontal="center"/>
    </xf>
    <xf numFmtId="0" fontId="4" fillId="3" borderId="13" xfId="0" applyFont="1" applyFill="1" applyBorder="1" applyAlignment="1">
      <alignment horizontal="center"/>
    </xf>
    <xf numFmtId="0" fontId="9" fillId="3" borderId="10" xfId="0" applyFont="1" applyFill="1" applyBorder="1" applyAlignment="1">
      <alignment horizontal="center"/>
    </xf>
    <xf numFmtId="0" fontId="9" fillId="3" borderId="11" xfId="0" applyFont="1" applyFill="1" applyBorder="1" applyAlignment="1">
      <alignment horizontal="center"/>
    </xf>
    <xf numFmtId="0" fontId="0" fillId="3" borderId="1" xfId="0" applyFill="1" applyBorder="1" applyAlignment="1">
      <alignment horizontal="center"/>
    </xf>
    <xf numFmtId="0" fontId="0" fillId="3" borderId="10" xfId="0" applyFill="1" applyBorder="1" applyAlignment="1">
      <alignment horizontal="center" wrapText="1"/>
    </xf>
    <xf numFmtId="0" fontId="0" fillId="3" borderId="12" xfId="0" applyFill="1" applyBorder="1" applyAlignment="1">
      <alignment horizontal="center" wrapText="1"/>
    </xf>
    <xf numFmtId="10" fontId="0" fillId="0" borderId="1" xfId="1" applyNumberFormat="1" applyFont="1" applyBorder="1" applyAlignment="1">
      <alignment horizontal="center"/>
    </xf>
    <xf numFmtId="0" fontId="4" fillId="0" borderId="8" xfId="0" applyFont="1" applyBorder="1" applyAlignment="1">
      <alignment horizontal="left" vertical="top" wrapText="1"/>
    </xf>
    <xf numFmtId="0" fontId="4" fillId="0" borderId="9" xfId="0" applyFont="1" applyBorder="1" applyAlignment="1">
      <alignment horizontal="left" vertical="top" wrapText="1"/>
    </xf>
    <xf numFmtId="0" fontId="4" fillId="0" borderId="8" xfId="0" applyFont="1" applyFill="1" applyBorder="1" applyAlignment="1">
      <alignment horizontal="left" wrapText="1"/>
    </xf>
    <xf numFmtId="0" fontId="4" fillId="0" borderId="9" xfId="0" applyFont="1" applyFill="1" applyBorder="1" applyAlignment="1">
      <alignment horizontal="left" wrapText="1"/>
    </xf>
    <xf numFmtId="0" fontId="3" fillId="2" borderId="2" xfId="0" applyFont="1" applyFill="1" applyBorder="1" applyAlignment="1">
      <alignment horizontal="center" vertical="center"/>
    </xf>
    <xf numFmtId="0" fontId="3" fillId="2" borderId="3" xfId="0" applyFont="1" applyFill="1" applyBorder="1" applyAlignment="1">
      <alignment horizontal="center" vertical="center"/>
    </xf>
    <xf numFmtId="0" fontId="3" fillId="2" borderId="4" xfId="0" applyFont="1" applyFill="1" applyBorder="1" applyAlignment="1">
      <alignment horizontal="center" vertical="center"/>
    </xf>
    <xf numFmtId="0" fontId="3" fillId="2" borderId="5" xfId="0" applyFont="1" applyFill="1" applyBorder="1" applyAlignment="1">
      <alignment horizontal="center" vertical="center"/>
    </xf>
    <xf numFmtId="0" fontId="3" fillId="2" borderId="6" xfId="0" applyFont="1" applyFill="1" applyBorder="1" applyAlignment="1">
      <alignment horizontal="center" vertical="center"/>
    </xf>
    <xf numFmtId="0" fontId="3" fillId="2" borderId="7" xfId="0" applyFont="1" applyFill="1" applyBorder="1" applyAlignment="1">
      <alignment horizontal="center" vertical="center"/>
    </xf>
    <xf numFmtId="0" fontId="0" fillId="3" borderId="0" xfId="0" applyFill="1" applyBorder="1" applyAlignment="1">
      <alignment horizontal="left"/>
    </xf>
    <xf numFmtId="0" fontId="0" fillId="3" borderId="9" xfId="0" applyFill="1" applyBorder="1" applyAlignment="1">
      <alignment horizontal="left"/>
    </xf>
    <xf numFmtId="0" fontId="0" fillId="3" borderId="0" xfId="0" applyFill="1" applyBorder="1" applyAlignment="1">
      <alignment horizontal="center"/>
    </xf>
    <xf numFmtId="0" fontId="0" fillId="3" borderId="9" xfId="0" applyFill="1" applyBorder="1" applyAlignment="1">
      <alignment horizontal="center"/>
    </xf>
    <xf numFmtId="0" fontId="0" fillId="3" borderId="6" xfId="0" applyFill="1" applyBorder="1" applyAlignment="1">
      <alignment horizontal="center"/>
    </xf>
    <xf numFmtId="0" fontId="0" fillId="3" borderId="7" xfId="0" applyFill="1" applyBorder="1" applyAlignment="1">
      <alignment horizontal="center"/>
    </xf>
    <xf numFmtId="0" fontId="4" fillId="0" borderId="8" xfId="0" applyFont="1" applyFill="1" applyBorder="1" applyAlignment="1">
      <alignment horizontal="left" vertical="top" wrapText="1"/>
    </xf>
    <xf numFmtId="0" fontId="0" fillId="0" borderId="10" xfId="0" applyBorder="1" applyAlignment="1">
      <alignment horizontal="center"/>
    </xf>
    <xf numFmtId="0" fontId="0" fillId="0" borderId="12" xfId="0" applyBorder="1" applyAlignment="1">
      <alignment horizontal="center"/>
    </xf>
    <xf numFmtId="0" fontId="4" fillId="0" borderId="9" xfId="0" applyFont="1" applyFill="1" applyBorder="1" applyAlignment="1">
      <alignment horizontal="left" vertical="top" wrapText="1"/>
    </xf>
    <xf numFmtId="0" fontId="0" fillId="3" borderId="10" xfId="0" applyFill="1" applyBorder="1" applyAlignment="1">
      <alignment horizontal="center"/>
    </xf>
    <xf numFmtId="0" fontId="0" fillId="3" borderId="11" xfId="0" applyFill="1" applyBorder="1" applyAlignment="1">
      <alignment horizontal="center"/>
    </xf>
    <xf numFmtId="0" fontId="0" fillId="3" borderId="12" xfId="0" applyFill="1" applyBorder="1" applyAlignment="1">
      <alignment horizontal="center"/>
    </xf>
    <xf numFmtId="0" fontId="0" fillId="0" borderId="11" xfId="0" applyBorder="1" applyAlignment="1">
      <alignment horizontal="center"/>
    </xf>
    <xf numFmtId="10" fontId="0" fillId="0" borderId="10" xfId="1" applyNumberFormat="1" applyFont="1" applyBorder="1" applyAlignment="1">
      <alignment horizontal="center"/>
    </xf>
    <xf numFmtId="10" fontId="0" fillId="0" borderId="12" xfId="1" applyNumberFormat="1" applyFont="1" applyBorder="1" applyAlignment="1">
      <alignment horizontal="center"/>
    </xf>
    <xf numFmtId="0" fontId="11" fillId="0" borderId="27" xfId="0" applyFont="1" applyFill="1" applyBorder="1" applyAlignment="1">
      <alignment horizontal="center" vertical="top" wrapText="1"/>
    </xf>
    <xf numFmtId="0" fontId="11" fillId="0" borderId="28" xfId="0" applyFont="1" applyFill="1" applyBorder="1" applyAlignment="1">
      <alignment horizontal="center" vertical="top" wrapText="1"/>
    </xf>
    <xf numFmtId="0" fontId="11" fillId="0" borderId="29" xfId="0" applyFont="1" applyFill="1" applyBorder="1" applyAlignment="1">
      <alignment horizontal="center" vertical="top" wrapText="1"/>
    </xf>
    <xf numFmtId="0" fontId="12" fillId="0" borderId="25" xfId="2" applyFont="1" applyFill="1" applyBorder="1" applyAlignment="1" applyProtection="1">
      <alignment horizontal="center" vertical="top" wrapText="1"/>
    </xf>
    <xf numFmtId="0" fontId="12" fillId="0" borderId="26" xfId="2" applyFont="1" applyFill="1" applyBorder="1" applyAlignment="1" applyProtection="1">
      <alignment horizontal="center" vertical="top" wrapText="1"/>
    </xf>
    <xf numFmtId="0" fontId="13" fillId="0" borderId="22" xfId="3" applyFont="1" applyBorder="1" applyAlignment="1">
      <alignment horizontal="center" vertical="center" wrapText="1"/>
    </xf>
    <xf numFmtId="0" fontId="13" fillId="0" borderId="23" xfId="3" applyFont="1" applyBorder="1" applyAlignment="1">
      <alignment horizontal="center" vertical="center" wrapText="1"/>
    </xf>
    <xf numFmtId="0" fontId="13" fillId="0" borderId="24" xfId="3" applyFont="1" applyBorder="1" applyAlignment="1">
      <alignment horizontal="center" vertical="center" wrapText="1"/>
    </xf>
    <xf numFmtId="2" fontId="0" fillId="0" borderId="10" xfId="0" applyNumberFormat="1" applyBorder="1" applyAlignment="1">
      <alignment horizontal="center"/>
    </xf>
    <xf numFmtId="2" fontId="0" fillId="0" borderId="12" xfId="0" applyNumberFormat="1" applyBorder="1" applyAlignment="1">
      <alignment horizontal="center"/>
    </xf>
    <xf numFmtId="0" fontId="2" fillId="3" borderId="10" xfId="0" applyFont="1" applyFill="1" applyBorder="1" applyAlignment="1">
      <alignment horizontal="center"/>
    </xf>
    <xf numFmtId="0" fontId="2" fillId="3" borderId="11" xfId="0" applyFont="1" applyFill="1" applyBorder="1" applyAlignment="1">
      <alignment horizontal="center"/>
    </xf>
    <xf numFmtId="0" fontId="2" fillId="3" borderId="12" xfId="0" applyFont="1" applyFill="1" applyBorder="1" applyAlignment="1">
      <alignment horizontal="center"/>
    </xf>
    <xf numFmtId="2" fontId="10" fillId="0" borderId="10" xfId="0" applyNumberFormat="1" applyFont="1" applyBorder="1" applyAlignment="1">
      <alignment horizontal="center" vertical="center"/>
    </xf>
    <xf numFmtId="2" fontId="10" fillId="0" borderId="11" xfId="0" applyNumberFormat="1" applyFont="1" applyBorder="1" applyAlignment="1">
      <alignment horizontal="center" vertical="center"/>
    </xf>
    <xf numFmtId="2" fontId="10" fillId="0" borderId="12" xfId="0" applyNumberFormat="1" applyFont="1" applyBorder="1" applyAlignment="1">
      <alignment horizontal="center" vertical="center"/>
    </xf>
    <xf numFmtId="0" fontId="4" fillId="3" borderId="10" xfId="0" applyFont="1" applyFill="1" applyBorder="1" applyAlignment="1">
      <alignment horizontal="center"/>
    </xf>
    <xf numFmtId="0" fontId="4" fillId="3" borderId="11" xfId="0" applyFont="1" applyFill="1" applyBorder="1" applyAlignment="1">
      <alignment horizontal="center"/>
    </xf>
    <xf numFmtId="0" fontId="4" fillId="3" borderId="12" xfId="0" applyFont="1" applyFill="1" applyBorder="1" applyAlignment="1">
      <alignment horizontal="center"/>
    </xf>
    <xf numFmtId="0" fontId="4" fillId="3" borderId="19" xfId="0" applyFont="1" applyFill="1" applyBorder="1" applyAlignment="1">
      <alignment horizontal="center"/>
    </xf>
    <xf numFmtId="0" fontId="4" fillId="3" borderId="20" xfId="0" applyFont="1" applyFill="1" applyBorder="1" applyAlignment="1">
      <alignment horizontal="center"/>
    </xf>
    <xf numFmtId="0" fontId="4" fillId="3" borderId="21" xfId="0" applyFont="1" applyFill="1" applyBorder="1" applyAlignment="1">
      <alignment horizontal="center"/>
    </xf>
    <xf numFmtId="0" fontId="23" fillId="0" borderId="0" xfId="0" applyFont="1"/>
    <xf numFmtId="0" fontId="2" fillId="0" borderId="0" xfId="0" applyFont="1"/>
  </cellXfs>
  <cellStyles count="4">
    <cellStyle name="Lien hypertexte" xfId="2" builtinId="8"/>
    <cellStyle name="Normal" xfId="0" builtinId="0"/>
    <cellStyle name="Normal 3" xfId="3"/>
    <cellStyle name="Pourcentage" xfId="1" builtinId="5"/>
  </cellStyles>
  <dxfs count="2">
    <dxf>
      <font>
        <b val="0"/>
        <i val="0"/>
        <strike val="0"/>
        <condense val="0"/>
        <extend val="0"/>
        <outline val="0"/>
        <shadow val="0"/>
        <u/>
        <vertAlign val="baseline"/>
        <sz val="11"/>
        <color theme="1"/>
        <name val="Calibri"/>
        <scheme val="minor"/>
      </font>
    </dxf>
    <dxf>
      <font>
        <b val="0"/>
        <i val="0"/>
        <strike val="0"/>
        <condense val="0"/>
        <extend val="0"/>
        <outline val="0"/>
        <shadow val="0"/>
        <u/>
        <vertAlign val="baseline"/>
        <sz val="11"/>
        <color theme="1"/>
        <name val="Calibri"/>
        <scheme val="minor"/>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Drop" dropLines="5" dropStyle="combo" dx="16" fmlaLink="$I$2" fmlaRange="Données!$E$3:$E$7" noThreeD="1" sel="1" val="0"/>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7</xdr:col>
          <xdr:colOff>523875</xdr:colOff>
          <xdr:row>2</xdr:row>
          <xdr:rowOff>19050</xdr:rowOff>
        </xdr:from>
        <xdr:to>
          <xdr:col>9</xdr:col>
          <xdr:colOff>657225</xdr:colOff>
          <xdr:row>3</xdr:row>
          <xdr:rowOff>57150</xdr:rowOff>
        </xdr:to>
        <xdr:sp macro="" textlink="">
          <xdr:nvSpPr>
            <xdr:cNvPr id="2055" name="Drop Down 7" hidden="1">
              <a:extLst>
                <a:ext uri="{63B3BB69-23CF-44E3-9099-C40C66FF867C}">
                  <a14:compatExt spid="_x0000_s205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ables/table1.xml><?xml version="1.0" encoding="utf-8"?>
<table xmlns="http://schemas.openxmlformats.org/spreadsheetml/2006/main" id="5" name="Tableau5" displayName="Tableau5" ref="G2:G7" totalsRowShown="0" headerRowDxfId="1">
  <autoFilter ref="G2:G7"/>
  <tableColumns count="1">
    <tableColumn id="1" name="Statut :"/>
  </tableColumns>
  <tableStyleInfo name="TableStyleMedium2" showFirstColumn="0" showLastColumn="0" showRowStripes="1" showColumnStripes="0"/>
</table>
</file>

<file path=xl/tables/table2.xml><?xml version="1.0" encoding="utf-8"?>
<table xmlns="http://schemas.openxmlformats.org/spreadsheetml/2006/main" id="6" name="Tableau6" displayName="Tableau6" ref="E2:E7" totalsRowShown="0" headerRowDxfId="0">
  <autoFilter ref="E2:E7"/>
  <tableColumns count="1">
    <tableColumn id="1" name="Type de contrat :"/>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service-public.fr/"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hyperlink" Target="https://www.urssaf.fr/portail/home/employeur/calculer-les-cotisations/les-taux-de-cotisations/le-forfait-social/le-forfait-social-au-taux-de-8.html" TargetMode="External"/><Relationship Id="rId7" Type="http://schemas.openxmlformats.org/officeDocument/2006/relationships/table" Target="../tables/table2.xml"/><Relationship Id="rId2" Type="http://schemas.openxmlformats.org/officeDocument/2006/relationships/hyperlink" Target="https://www.service-public.fr/particuliers/vosdroits/F2918" TargetMode="External"/><Relationship Id="rId1" Type="http://schemas.openxmlformats.org/officeDocument/2006/relationships/hyperlink" Target="https://reassurez-moi.fr/guide/pro/mutuelle-entreprise/apprenti" TargetMode="External"/><Relationship Id="rId6" Type="http://schemas.openxmlformats.org/officeDocument/2006/relationships/table" Target="../tables/table1.xml"/><Relationship Id="rId5" Type="http://schemas.openxmlformats.org/officeDocument/2006/relationships/vmlDrawing" Target="../drawings/vmlDrawing2.vml"/><Relationship Id="rId4"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hyperlink" Target="https://www.compta-online.com/frais-de-repas-des-salaries-indemnite-panier-repas-ao2365" TargetMode="External"/><Relationship Id="rId2" Type="http://schemas.openxmlformats.org/officeDocument/2006/relationships/hyperlink" Target="http://www.service-public.fr/" TargetMode="External"/><Relationship Id="rId1" Type="http://schemas.openxmlformats.org/officeDocument/2006/relationships/hyperlink" Target="https://www.urssaf.fr/portail/home/employeur/calculer-les-cotisations/les-taux-de-cotisations/le-forfait-social/le-forfait-social-au-taux-de-8.html" TargetMode="External"/><Relationship Id="rId6" Type="http://schemas.openxmlformats.org/officeDocument/2006/relationships/comments" Target="../comments2.xml"/><Relationship Id="rId5" Type="http://schemas.openxmlformats.org/officeDocument/2006/relationships/vmlDrawing" Target="../drawings/vmlDrawing3.vml"/><Relationship Id="rId4"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printerSettings" Target="../printerSettings/printerSettings4.bin"/><Relationship Id="rId1" Type="http://schemas.openxmlformats.org/officeDocument/2006/relationships/hyperlink" Target="http://www.service-public.fr/" TargetMode="External"/><Relationship Id="rId4" Type="http://schemas.openxmlformats.org/officeDocument/2006/relationships/comments" Target="../comments3.xml"/></Relationships>
</file>

<file path=xl/worksheets/_rels/sheet5.xml.rels><?xml version="1.0" encoding="UTF-8" standalone="yes"?>
<Relationships xmlns="http://schemas.openxmlformats.org/package/2006/relationships"><Relationship Id="rId1" Type="http://schemas.openxmlformats.org/officeDocument/2006/relationships/hyperlink" Target="http://www.service-public.fr/"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service-public.fr/"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service-public.fr/"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service-public.fr/"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T87"/>
  <sheetViews>
    <sheetView tabSelected="1" topLeftCell="C1" zoomScaleNormal="100" workbookViewId="0">
      <selection activeCell="L3" sqref="L3"/>
    </sheetView>
  </sheetViews>
  <sheetFormatPr baseColWidth="10" defaultRowHeight="15" x14ac:dyDescent="0.25"/>
  <cols>
    <col min="1" max="1" width="23" customWidth="1"/>
    <col min="2" max="2" width="13.7109375" customWidth="1"/>
    <col min="3" max="3" width="20.5703125" customWidth="1"/>
    <col min="4" max="4" width="13.85546875" customWidth="1"/>
    <col min="5" max="5" width="11.42578125" customWidth="1"/>
    <col min="6" max="6" width="13" bestFit="1" customWidth="1"/>
    <col min="7" max="7" width="11.85546875" customWidth="1"/>
    <col min="9" max="9" width="19.28515625" customWidth="1"/>
    <col min="11" max="11" width="22.7109375" customWidth="1"/>
  </cols>
  <sheetData>
    <row r="1" spans="1:20" ht="15.75" customHeight="1" x14ac:dyDescent="0.25"/>
    <row r="2" spans="1:20" ht="15" customHeight="1" x14ac:dyDescent="0.25">
      <c r="A2" s="199" t="s">
        <v>0</v>
      </c>
      <c r="B2" s="200"/>
      <c r="C2" s="200"/>
      <c r="D2" s="200"/>
      <c r="E2" s="200"/>
      <c r="F2" s="200"/>
      <c r="G2" s="201"/>
      <c r="I2">
        <v>1</v>
      </c>
    </row>
    <row r="3" spans="1:20" x14ac:dyDescent="0.25">
      <c r="A3" s="202"/>
      <c r="B3" s="203"/>
      <c r="C3" s="203"/>
      <c r="D3" s="203"/>
      <c r="E3" s="203"/>
      <c r="F3" s="203"/>
      <c r="G3" s="204"/>
      <c r="K3" s="23"/>
      <c r="L3" s="23"/>
      <c r="M3" s="23"/>
      <c r="N3" s="23"/>
      <c r="O3" s="23"/>
      <c r="P3" s="23"/>
      <c r="Q3" s="23"/>
      <c r="R3" s="23"/>
      <c r="S3" s="23"/>
      <c r="T3" s="23"/>
    </row>
    <row r="4" spans="1:20" x14ac:dyDescent="0.25">
      <c r="A4" s="3" t="s">
        <v>4</v>
      </c>
      <c r="B4" s="5"/>
      <c r="C4" s="4"/>
      <c r="D4" s="3" t="s">
        <v>118</v>
      </c>
      <c r="E4" s="74" t="s">
        <v>115</v>
      </c>
      <c r="F4" s="6"/>
      <c r="G4" s="4"/>
      <c r="K4" s="23"/>
      <c r="M4" s="23"/>
      <c r="N4" s="23"/>
      <c r="O4" s="23"/>
      <c r="P4" s="23"/>
      <c r="Q4" s="23"/>
      <c r="R4" s="23"/>
      <c r="S4" s="23"/>
      <c r="T4" s="23"/>
    </row>
    <row r="5" spans="1:20" x14ac:dyDescent="0.25">
      <c r="A5" s="7" t="s">
        <v>7</v>
      </c>
      <c r="B5" s="9"/>
      <c r="C5" s="8"/>
      <c r="D5" s="7"/>
      <c r="E5" s="9"/>
      <c r="F5" s="10"/>
      <c r="G5" s="8"/>
      <c r="K5" s="23"/>
      <c r="M5" s="23"/>
      <c r="N5" s="23"/>
      <c r="O5" s="23"/>
      <c r="P5" s="23"/>
      <c r="Q5" s="23"/>
      <c r="R5" s="23"/>
      <c r="S5" s="23"/>
      <c r="T5" s="23"/>
    </row>
    <row r="6" spans="1:20" x14ac:dyDescent="0.25">
      <c r="A6" s="7"/>
      <c r="B6" s="9"/>
      <c r="C6" s="8"/>
      <c r="D6" s="7"/>
      <c r="E6" s="9"/>
      <c r="F6" s="9"/>
      <c r="G6" s="8"/>
      <c r="K6" s="23"/>
    </row>
    <row r="7" spans="1:20" x14ac:dyDescent="0.25">
      <c r="A7" s="7" t="s">
        <v>10</v>
      </c>
      <c r="B7" s="9"/>
      <c r="C7" s="8"/>
      <c r="D7" s="7"/>
      <c r="E7" s="9" t="s">
        <v>11</v>
      </c>
      <c r="F7" s="9"/>
      <c r="G7" s="8"/>
      <c r="K7" s="23"/>
    </row>
    <row r="8" spans="1:20" x14ac:dyDescent="0.25">
      <c r="A8" s="7" t="s">
        <v>12</v>
      </c>
      <c r="B8" s="9"/>
      <c r="C8" s="8"/>
      <c r="D8" s="7"/>
      <c r="E8" s="9"/>
      <c r="F8" s="9"/>
      <c r="G8" s="8"/>
      <c r="K8" s="23"/>
      <c r="L8" s="23"/>
      <c r="M8" s="23"/>
      <c r="N8" s="23"/>
      <c r="O8" s="23"/>
      <c r="P8" s="23"/>
      <c r="Q8" s="23"/>
      <c r="R8" s="23"/>
      <c r="S8" s="23"/>
      <c r="T8" s="23"/>
    </row>
    <row r="9" spans="1:20" x14ac:dyDescent="0.25">
      <c r="A9" s="7" t="s">
        <v>13</v>
      </c>
      <c r="B9" s="9"/>
      <c r="C9" s="8"/>
      <c r="D9" s="7"/>
      <c r="E9" s="9"/>
      <c r="F9" s="9"/>
      <c r="G9" s="8"/>
    </row>
    <row r="10" spans="1:20" x14ac:dyDescent="0.25">
      <c r="A10" s="11" t="s">
        <v>14</v>
      </c>
      <c r="B10" s="13"/>
      <c r="C10" s="12"/>
      <c r="D10" s="11"/>
      <c r="E10" s="13"/>
      <c r="F10" s="13"/>
      <c r="G10" s="14"/>
    </row>
    <row r="11" spans="1:20" x14ac:dyDescent="0.25">
      <c r="A11" s="7" t="s">
        <v>16</v>
      </c>
      <c r="B11" s="9"/>
      <c r="C11" s="9"/>
      <c r="D11" s="9" t="s">
        <v>15</v>
      </c>
      <c r="E11" s="205"/>
      <c r="F11" s="205"/>
      <c r="G11" s="206"/>
    </row>
    <row r="12" spans="1:20" x14ac:dyDescent="0.25">
      <c r="A12" s="7" t="s">
        <v>90</v>
      </c>
      <c r="B12" s="9"/>
      <c r="C12" s="9"/>
      <c r="D12" s="9" t="s">
        <v>7</v>
      </c>
      <c r="E12" s="205"/>
      <c r="F12" s="205"/>
      <c r="G12" s="206"/>
    </row>
    <row r="13" spans="1:20" x14ac:dyDescent="0.25">
      <c r="A13" s="7" t="s">
        <v>17</v>
      </c>
      <c r="B13" s="9"/>
      <c r="C13" s="77"/>
      <c r="D13" s="9"/>
      <c r="E13" s="205"/>
      <c r="F13" s="205"/>
      <c r="G13" s="206"/>
    </row>
    <row r="14" spans="1:20" x14ac:dyDescent="0.25">
      <c r="A14" s="7" t="s">
        <v>18</v>
      </c>
      <c r="B14" s="9"/>
      <c r="C14" s="72"/>
      <c r="D14" s="9"/>
      <c r="E14" s="207"/>
      <c r="F14" s="207"/>
      <c r="G14" s="208"/>
    </row>
    <row r="15" spans="1:20" x14ac:dyDescent="0.25">
      <c r="A15" s="7" t="s">
        <v>20</v>
      </c>
      <c r="B15" s="9"/>
      <c r="C15" s="77"/>
      <c r="D15" s="9"/>
      <c r="E15" s="207"/>
      <c r="F15" s="207"/>
      <c r="G15" s="208"/>
    </row>
    <row r="16" spans="1:20" x14ac:dyDescent="0.25">
      <c r="A16" s="75" t="s">
        <v>117</v>
      </c>
      <c r="B16" s="125">
        <f>Données!B20</f>
        <v>45444</v>
      </c>
      <c r="C16" s="73"/>
      <c r="D16" s="13" t="s">
        <v>149</v>
      </c>
      <c r="E16" s="209"/>
      <c r="F16" s="209"/>
      <c r="G16" s="210"/>
    </row>
    <row r="17" spans="1:7" x14ac:dyDescent="0.25">
      <c r="A17" s="44"/>
      <c r="B17" s="16"/>
      <c r="C17" s="34" t="s">
        <v>21</v>
      </c>
      <c r="D17" s="34" t="s">
        <v>22</v>
      </c>
      <c r="E17" s="34" t="s">
        <v>23</v>
      </c>
      <c r="F17" s="16"/>
      <c r="G17" s="15"/>
    </row>
    <row r="18" spans="1:7" x14ac:dyDescent="0.25">
      <c r="A18" s="44" t="s">
        <v>24</v>
      </c>
      <c r="B18" s="16"/>
      <c r="C18" s="34">
        <f>Données!J48</f>
        <v>0</v>
      </c>
      <c r="D18" s="37" t="e">
        <f>Données!#REF!</f>
        <v>#REF!</v>
      </c>
      <c r="E18" s="37" t="e">
        <f>Données!#REF!</f>
        <v>#REF!</v>
      </c>
      <c r="F18" s="16"/>
      <c r="G18" s="17"/>
    </row>
    <row r="19" spans="1:7" x14ac:dyDescent="0.25">
      <c r="A19" s="44"/>
      <c r="B19" s="16"/>
      <c r="C19" s="37"/>
      <c r="D19" s="37"/>
      <c r="E19" s="37"/>
      <c r="F19" s="16"/>
      <c r="G19" s="17"/>
    </row>
    <row r="20" spans="1:7" x14ac:dyDescent="0.25">
      <c r="A20" s="44"/>
      <c r="B20" s="16"/>
      <c r="C20" s="34"/>
      <c r="D20" s="37"/>
      <c r="E20" s="37"/>
      <c r="F20" s="16"/>
      <c r="G20" s="17"/>
    </row>
    <row r="21" spans="1:7" x14ac:dyDescent="0.25">
      <c r="A21" s="44" t="s">
        <v>25</v>
      </c>
      <c r="B21" s="16"/>
      <c r="C21" s="37">
        <f>Données!F50</f>
        <v>0</v>
      </c>
      <c r="D21" s="37">
        <f>Données!G50</f>
        <v>0</v>
      </c>
      <c r="E21" s="111">
        <f>C21*D21</f>
        <v>0</v>
      </c>
      <c r="F21" s="37"/>
      <c r="G21" s="17"/>
    </row>
    <row r="22" spans="1:7" x14ac:dyDescent="0.25">
      <c r="A22" s="44" t="s">
        <v>26</v>
      </c>
      <c r="B22" s="16"/>
      <c r="C22" s="37">
        <f>Données!F51</f>
        <v>0</v>
      </c>
      <c r="D22" s="37">
        <f>Données!G51</f>
        <v>0</v>
      </c>
      <c r="E22" s="111">
        <f>C22*D22</f>
        <v>0</v>
      </c>
      <c r="F22" s="16"/>
      <c r="G22" s="17"/>
    </row>
    <row r="23" spans="1:7" x14ac:dyDescent="0.25">
      <c r="A23" s="44"/>
      <c r="B23" s="16"/>
      <c r="C23" s="34"/>
      <c r="D23" s="37"/>
      <c r="E23" s="111"/>
      <c r="F23" s="16"/>
      <c r="G23" s="17"/>
    </row>
    <row r="24" spans="1:7" x14ac:dyDescent="0.25">
      <c r="A24" s="44" t="s">
        <v>27</v>
      </c>
      <c r="B24" s="16"/>
      <c r="C24" s="34">
        <f>Données!F48</f>
        <v>0</v>
      </c>
      <c r="D24" s="37" t="e">
        <f>Données!#REF!</f>
        <v>#REF!</v>
      </c>
      <c r="E24" s="111">
        <f>Données!H48</f>
        <v>0</v>
      </c>
      <c r="F24" s="16"/>
      <c r="G24" s="17"/>
    </row>
    <row r="25" spans="1:7" x14ac:dyDescent="0.25">
      <c r="A25" s="112" t="s">
        <v>28</v>
      </c>
      <c r="B25" s="18"/>
      <c r="C25" s="18"/>
      <c r="D25" s="18"/>
      <c r="E25" s="18"/>
      <c r="F25" s="18"/>
      <c r="G25" s="19"/>
    </row>
    <row r="26" spans="1:7" x14ac:dyDescent="0.25">
      <c r="A26" s="113" t="s">
        <v>29</v>
      </c>
      <c r="B26" s="114"/>
      <c r="C26" s="110" t="s">
        <v>30</v>
      </c>
      <c r="D26" s="110" t="s">
        <v>31</v>
      </c>
      <c r="E26" s="110" t="s">
        <v>32</v>
      </c>
      <c r="F26" s="110" t="s">
        <v>33</v>
      </c>
      <c r="G26" s="110" t="s">
        <v>23</v>
      </c>
    </row>
    <row r="27" spans="1:7" x14ac:dyDescent="0.25">
      <c r="A27" s="115" t="s">
        <v>34</v>
      </c>
      <c r="B27" s="116"/>
      <c r="C27" s="20">
        <f>Données!E51</f>
        <v>0</v>
      </c>
      <c r="D27" s="82"/>
      <c r="E27" s="83"/>
      <c r="F27" s="82"/>
      <c r="G27" s="20"/>
    </row>
    <row r="28" spans="1:7" x14ac:dyDescent="0.25">
      <c r="A28" s="115" t="s">
        <v>35</v>
      </c>
      <c r="B28" s="116"/>
      <c r="C28" s="20"/>
      <c r="D28" s="82"/>
      <c r="E28" s="84">
        <f>C28*D28</f>
        <v>0</v>
      </c>
      <c r="F28" s="82"/>
      <c r="G28" s="20">
        <f>C28*F28</f>
        <v>0</v>
      </c>
    </row>
    <row r="29" spans="1:7" x14ac:dyDescent="0.25">
      <c r="A29" s="117" t="s">
        <v>134</v>
      </c>
      <c r="B29" s="28"/>
      <c r="C29" s="20">
        <f>Données!E55</f>
        <v>0</v>
      </c>
      <c r="D29" s="82" t="e">
        <f>Données!#REF!</f>
        <v>#REF!</v>
      </c>
      <c r="E29" s="84" t="e">
        <f>C29*D29</f>
        <v>#REF!</v>
      </c>
      <c r="F29" s="82" t="e">
        <f>Données!#REF!</f>
        <v>#REF!</v>
      </c>
      <c r="G29" s="20" t="e">
        <f>C29*F29</f>
        <v>#REF!</v>
      </c>
    </row>
    <row r="30" spans="1:7" x14ac:dyDescent="0.25">
      <c r="A30" s="113" t="s">
        <v>36</v>
      </c>
      <c r="B30" s="114"/>
      <c r="C30" s="20">
        <f>Données!E51</f>
        <v>0</v>
      </c>
      <c r="D30" s="21"/>
      <c r="E30" s="20"/>
      <c r="F30" s="21">
        <f>Données!E56</f>
        <v>0</v>
      </c>
      <c r="G30" s="20">
        <f>C30*F30</f>
        <v>0</v>
      </c>
    </row>
    <row r="31" spans="1:7" x14ac:dyDescent="0.25">
      <c r="A31" s="118"/>
      <c r="B31" s="58"/>
      <c r="C31" s="20"/>
      <c r="D31" s="21"/>
      <c r="E31" s="20"/>
      <c r="F31" s="21"/>
      <c r="G31" s="20"/>
    </row>
    <row r="32" spans="1:7" x14ac:dyDescent="0.25">
      <c r="A32" s="113" t="s">
        <v>37</v>
      </c>
      <c r="B32" s="114"/>
      <c r="C32" s="20"/>
      <c r="D32" s="21"/>
      <c r="E32" s="20"/>
      <c r="F32" s="21"/>
      <c r="G32" s="20"/>
    </row>
    <row r="33" spans="1:20" x14ac:dyDescent="0.25">
      <c r="A33" s="115" t="s">
        <v>38</v>
      </c>
      <c r="B33" s="116"/>
      <c r="C33" s="20">
        <f>Données!E51</f>
        <v>0</v>
      </c>
      <c r="D33" s="21"/>
      <c r="E33" s="20"/>
      <c r="F33" s="85" t="e">
        <f>IF(Données!E51&lt;=(3.5*Données!#REF!),3.45%,5.25%)</f>
        <v>#REF!</v>
      </c>
      <c r="G33" s="20" t="e">
        <f>C33*F33</f>
        <v>#REF!</v>
      </c>
    </row>
    <row r="34" spans="1:20" x14ac:dyDescent="0.25">
      <c r="A34" s="113" t="s">
        <v>39</v>
      </c>
      <c r="B34" s="114"/>
      <c r="C34" s="20"/>
      <c r="D34" s="21"/>
      <c r="E34" s="22"/>
      <c r="F34" s="21"/>
      <c r="G34" s="20"/>
    </row>
    <row r="35" spans="1:20" x14ac:dyDescent="0.25">
      <c r="A35" s="117" t="s">
        <v>40</v>
      </c>
      <c r="B35" s="28"/>
      <c r="C35" s="20">
        <f>Données!E51</f>
        <v>0</v>
      </c>
      <c r="D35" s="21"/>
      <c r="E35" s="22"/>
      <c r="F35" s="21">
        <f>Données!E57</f>
        <v>0</v>
      </c>
      <c r="G35" s="20">
        <f>C35*F35</f>
        <v>0</v>
      </c>
    </row>
    <row r="36" spans="1:20" s="23" customFormat="1" x14ac:dyDescent="0.25">
      <c r="A36" s="117" t="s">
        <v>41</v>
      </c>
      <c r="B36" s="28"/>
      <c r="C36" s="20">
        <f>Données!E51</f>
        <v>0</v>
      </c>
      <c r="D36" s="21"/>
      <c r="E36" s="22"/>
      <c r="F36" s="21">
        <f>Données!E58</f>
        <v>0</v>
      </c>
      <c r="G36" s="20">
        <f>C36*F36</f>
        <v>0</v>
      </c>
      <c r="K36"/>
      <c r="L36"/>
      <c r="M36"/>
      <c r="N36"/>
      <c r="O36"/>
      <c r="P36"/>
      <c r="Q36"/>
      <c r="R36"/>
      <c r="S36"/>
      <c r="T36"/>
    </row>
    <row r="37" spans="1:20" s="23" customFormat="1" x14ac:dyDescent="0.25">
      <c r="A37" s="113" t="s">
        <v>42</v>
      </c>
      <c r="B37" s="114"/>
      <c r="C37" s="20"/>
      <c r="D37" s="82"/>
      <c r="E37" s="22"/>
      <c r="F37" s="21"/>
      <c r="G37" s="20"/>
      <c r="K37"/>
      <c r="L37"/>
      <c r="M37"/>
      <c r="N37"/>
      <c r="O37"/>
      <c r="P37"/>
      <c r="Q37"/>
      <c r="R37"/>
      <c r="S37"/>
      <c r="T37"/>
    </row>
    <row r="38" spans="1:20" s="23" customFormat="1" x14ac:dyDescent="0.25">
      <c r="A38" s="115" t="s">
        <v>43</v>
      </c>
      <c r="B38" s="116"/>
      <c r="C38" s="20">
        <f>Données!E51</f>
        <v>0</v>
      </c>
      <c r="D38" s="82">
        <v>6.9000000000000006E-2</v>
      </c>
      <c r="E38" s="20">
        <f>IF(Données!D52="Exonération de cotisation",0,C38*D38)</f>
        <v>0</v>
      </c>
      <c r="F38" s="21">
        <v>8.5500000000000007E-2</v>
      </c>
      <c r="G38" s="20">
        <f>Données!E51*F38</f>
        <v>0</v>
      </c>
      <c r="K38"/>
      <c r="L38"/>
      <c r="M38"/>
      <c r="N38"/>
      <c r="O38"/>
      <c r="P38"/>
      <c r="Q38"/>
      <c r="R38"/>
      <c r="S38"/>
      <c r="T38"/>
    </row>
    <row r="39" spans="1:20" x14ac:dyDescent="0.25">
      <c r="A39" s="115" t="s">
        <v>44</v>
      </c>
      <c r="B39" s="116"/>
      <c r="C39" s="20">
        <f>Données!E51</f>
        <v>0</v>
      </c>
      <c r="D39" s="82">
        <v>4.0000000000000001E-3</v>
      </c>
      <c r="E39" s="20">
        <f>IF(Données!D52="Exonération de cotisation",0,C39*D39)</f>
        <v>0</v>
      </c>
      <c r="F39" s="21">
        <v>2.0199999999999999E-2</v>
      </c>
      <c r="G39" s="20">
        <f>Données!E51*F39</f>
        <v>0</v>
      </c>
    </row>
    <row r="40" spans="1:20" x14ac:dyDescent="0.25">
      <c r="A40" s="117" t="s">
        <v>45</v>
      </c>
      <c r="B40" s="28"/>
      <c r="C40" s="20">
        <f>Données!E51</f>
        <v>0</v>
      </c>
      <c r="D40" s="82">
        <v>3.15E-2</v>
      </c>
      <c r="E40" s="20">
        <f>IF(Données!D52="Exonération de cotisation",0,C40*D40)</f>
        <v>0</v>
      </c>
      <c r="F40" s="21">
        <v>4.7199999999999999E-2</v>
      </c>
      <c r="G40" s="20">
        <f>Données!E51*F40</f>
        <v>0</v>
      </c>
    </row>
    <row r="41" spans="1:20" s="23" customFormat="1" x14ac:dyDescent="0.25">
      <c r="A41" s="117" t="s">
        <v>46</v>
      </c>
      <c r="B41" s="28"/>
      <c r="C41" s="20">
        <f>Données!E51</f>
        <v>0</v>
      </c>
      <c r="D41" s="82">
        <v>8.6E-3</v>
      </c>
      <c r="E41" s="20">
        <f>IF(Données!D52="Exonération de cotisation",0,C41*D41)</f>
        <v>0</v>
      </c>
      <c r="F41" s="21">
        <v>1.29E-2</v>
      </c>
      <c r="G41" s="20">
        <f>Données!E51*F41</f>
        <v>0</v>
      </c>
      <c r="K41"/>
      <c r="L41"/>
      <c r="M41"/>
      <c r="N41"/>
      <c r="O41"/>
      <c r="P41"/>
      <c r="Q41"/>
      <c r="R41"/>
      <c r="S41"/>
      <c r="T41"/>
    </row>
    <row r="42" spans="1:20" x14ac:dyDescent="0.25">
      <c r="A42" s="113" t="s">
        <v>47</v>
      </c>
      <c r="B42" s="114"/>
      <c r="C42" s="20"/>
      <c r="D42" s="82"/>
      <c r="E42" s="22"/>
      <c r="F42" s="21"/>
      <c r="G42" s="20"/>
    </row>
    <row r="43" spans="1:20" x14ac:dyDescent="0.25">
      <c r="A43" s="119" t="s">
        <v>48</v>
      </c>
      <c r="B43" s="120"/>
      <c r="C43" s="20" t="e">
        <f>IF(Données!#REF!&lt;50,Données!E51,0)</f>
        <v>#REF!</v>
      </c>
      <c r="D43" s="21"/>
      <c r="E43" s="22"/>
      <c r="F43" s="21">
        <v>1E-3</v>
      </c>
      <c r="G43" s="20" t="e">
        <f>F43*C43</f>
        <v>#REF!</v>
      </c>
    </row>
    <row r="44" spans="1:20" x14ac:dyDescent="0.25">
      <c r="A44" s="119" t="s">
        <v>49</v>
      </c>
      <c r="B44" s="120"/>
      <c r="C44" s="20" t="e">
        <f>IF(Données!#REF!&gt;=50,Données!E51,0)</f>
        <v>#REF!</v>
      </c>
      <c r="D44" s="21"/>
      <c r="E44" s="22"/>
      <c r="F44" s="21">
        <v>5.0000000000000001E-3</v>
      </c>
      <c r="G44" s="20" t="e">
        <f>C44*F44</f>
        <v>#REF!</v>
      </c>
    </row>
    <row r="45" spans="1:20" x14ac:dyDescent="0.25">
      <c r="A45" s="119" t="s">
        <v>50</v>
      </c>
      <c r="B45" s="120"/>
      <c r="C45" s="20">
        <f>Données!E51</f>
        <v>0</v>
      </c>
      <c r="D45" s="21"/>
      <c r="E45" s="22"/>
      <c r="F45" s="90">
        <v>1.6000000000000001E-4</v>
      </c>
      <c r="G45" s="20">
        <f>C45*F45</f>
        <v>0</v>
      </c>
    </row>
    <row r="46" spans="1:20" x14ac:dyDescent="0.25">
      <c r="A46" s="119" t="s">
        <v>51</v>
      </c>
      <c r="B46" s="120"/>
      <c r="C46" s="20">
        <f>Données!E51</f>
        <v>0</v>
      </c>
      <c r="D46" s="21"/>
      <c r="E46" s="22"/>
      <c r="F46" s="21">
        <v>3.0000000000000001E-3</v>
      </c>
      <c r="G46" s="20">
        <f>C46*F46</f>
        <v>0</v>
      </c>
    </row>
    <row r="47" spans="1:20" x14ac:dyDescent="0.25">
      <c r="A47" s="195" t="s">
        <v>127</v>
      </c>
      <c r="B47" s="196"/>
      <c r="C47" s="20">
        <f>Données!E51</f>
        <v>0</v>
      </c>
      <c r="D47" s="21"/>
      <c r="E47" s="22"/>
      <c r="F47" s="21">
        <v>0.08</v>
      </c>
      <c r="G47" s="20" t="e">
        <f>IF(Données!#REF!&gt;=11,C47*F47,0)</f>
        <v>#REF!</v>
      </c>
    </row>
    <row r="48" spans="1:20" x14ac:dyDescent="0.25">
      <c r="A48" s="121" t="e">
        <f>IF(Données!#REF!="Non","Taxe d'apprentissage hors Alsace Moselle","Taxe d'apprentissage Alsace Moselle")</f>
        <v>#REF!</v>
      </c>
      <c r="B48" s="122"/>
      <c r="C48" s="20">
        <f>Données!E51</f>
        <v>0</v>
      </c>
      <c r="D48" s="21"/>
      <c r="E48" s="22"/>
      <c r="F48" s="21" t="e">
        <f>IF(Données!#REF!="Non",0.68%,0.44%)</f>
        <v>#REF!</v>
      </c>
      <c r="G48" s="20" t="e">
        <f>C48*F48</f>
        <v>#REF!</v>
      </c>
    </row>
    <row r="49" spans="1:7" x14ac:dyDescent="0.25">
      <c r="A49" s="197" t="e">
        <f>IF(Données!#REF!&lt;11,"Contribution unique à la formation professionnelle entreprise &lt;11 salariés","Contribution unique à la formation professionnelle entreprise &gt;11 salariés")</f>
        <v>#REF!</v>
      </c>
      <c r="B49" s="198"/>
      <c r="C49" s="20">
        <v>909.71</v>
      </c>
      <c r="D49" s="21"/>
      <c r="E49" s="22"/>
      <c r="F49" s="21" t="e">
        <f>IF(Données!#REF!&lt;11,0.55%,1%)</f>
        <v>#REF!</v>
      </c>
      <c r="G49" s="24" t="e">
        <f>C49*F49</f>
        <v>#REF!</v>
      </c>
    </row>
    <row r="50" spans="1:7" x14ac:dyDescent="0.25">
      <c r="A50" s="121" t="s">
        <v>53</v>
      </c>
      <c r="B50" s="122"/>
      <c r="C50" s="20">
        <v>909.71</v>
      </c>
      <c r="D50" s="21"/>
      <c r="E50" s="22"/>
      <c r="F50" s="21">
        <v>0.01</v>
      </c>
      <c r="G50" s="24" t="e">
        <f>IF(Données!#REF!&gt;=50,C50*F50,0*C50)</f>
        <v>#REF!</v>
      </c>
    </row>
    <row r="51" spans="1:7" ht="15" customHeight="1" x14ac:dyDescent="0.25">
      <c r="A51" s="121" t="s">
        <v>54</v>
      </c>
      <c r="B51" s="122"/>
      <c r="C51" s="20">
        <v>909.71</v>
      </c>
      <c r="D51" s="21"/>
      <c r="E51" s="22"/>
      <c r="F51" s="21">
        <v>0.01</v>
      </c>
      <c r="G51" s="24">
        <f>C51*F51</f>
        <v>9.0971000000000011</v>
      </c>
    </row>
    <row r="52" spans="1:7" x14ac:dyDescent="0.25">
      <c r="A52" s="117"/>
      <c r="B52" s="28"/>
      <c r="C52" s="20"/>
      <c r="D52" s="21"/>
      <c r="E52" s="22"/>
      <c r="F52" s="21"/>
      <c r="G52" s="24"/>
    </row>
    <row r="53" spans="1:7" x14ac:dyDescent="0.25">
      <c r="A53" s="117"/>
      <c r="B53" s="28"/>
      <c r="C53" s="20"/>
      <c r="D53" s="21"/>
      <c r="E53" s="22"/>
      <c r="F53" s="21"/>
      <c r="G53" s="24"/>
    </row>
    <row r="54" spans="1:7" x14ac:dyDescent="0.25">
      <c r="A54" s="117"/>
      <c r="B54" s="28"/>
      <c r="C54" s="20"/>
      <c r="D54" s="21"/>
      <c r="E54" s="22"/>
      <c r="F54" s="21"/>
      <c r="G54" s="24"/>
    </row>
    <row r="55" spans="1:7" x14ac:dyDescent="0.25">
      <c r="A55" s="113" t="s">
        <v>56</v>
      </c>
      <c r="B55" s="114"/>
      <c r="C55" s="20"/>
      <c r="D55" s="21"/>
      <c r="E55" s="22"/>
      <c r="F55" s="21"/>
      <c r="G55" s="20"/>
    </row>
    <row r="56" spans="1:7" ht="16.5" customHeight="1" x14ac:dyDescent="0.25">
      <c r="A56" s="117" t="s">
        <v>57</v>
      </c>
      <c r="B56" s="28"/>
      <c r="C56" s="20"/>
      <c r="D56" s="21"/>
      <c r="E56" s="22"/>
      <c r="F56" s="123" t="e">
        <f>(IF(Données!E51&lt;50,0.3191,0.3231)/0.6)*((1.6*(Données!#REF!*12)/(Données!E51*12))-1)%</f>
        <v>#REF!</v>
      </c>
      <c r="G56" s="20" t="e">
        <f>-F56*(Données!E51*12)</f>
        <v>#REF!</v>
      </c>
    </row>
    <row r="57" spans="1:7" x14ac:dyDescent="0.25">
      <c r="A57" s="117" t="s">
        <v>130</v>
      </c>
      <c r="B57" s="28"/>
      <c r="C57" s="20"/>
      <c r="D57" s="21"/>
      <c r="E57" s="22"/>
      <c r="F57" s="21" t="e">
        <f>IF(Données!#REF!&lt;20,-1.5%,-0.5%)</f>
        <v>#REF!</v>
      </c>
      <c r="G57" s="24" t="e">
        <f>SUM(Données!A47:A48)*F57</f>
        <v>#REF!</v>
      </c>
    </row>
    <row r="58" spans="1:7" x14ac:dyDescent="0.25">
      <c r="A58" s="117" t="s">
        <v>59</v>
      </c>
      <c r="B58" s="28"/>
      <c r="C58" s="20" t="e">
        <f>Bulletin!#REF!</f>
        <v>#REF!</v>
      </c>
      <c r="D58" s="21">
        <v>0.11310000000000001</v>
      </c>
      <c r="E58" s="20" t="e">
        <f>C58*D58</f>
        <v>#REF!</v>
      </c>
      <c r="F58" s="25"/>
      <c r="G58" s="24"/>
    </row>
    <row r="59" spans="1:7" x14ac:dyDescent="0.25">
      <c r="A59" s="117" t="s">
        <v>60</v>
      </c>
      <c r="B59" s="28"/>
      <c r="C59" s="20" t="e">
        <f>Bulletin!#REF!</f>
        <v>#REF!</v>
      </c>
      <c r="D59" s="87">
        <v>0.11310000000000001</v>
      </c>
      <c r="E59" s="86" t="e">
        <f>C59*D59</f>
        <v>#REF!</v>
      </c>
      <c r="F59" s="88"/>
      <c r="G59" s="89"/>
    </row>
    <row r="60" spans="1:7" ht="16.5" customHeight="1" x14ac:dyDescent="0.25">
      <c r="A60" s="29" t="s">
        <v>61</v>
      </c>
      <c r="B60" s="76"/>
      <c r="C60" s="30"/>
      <c r="D60" s="30"/>
      <c r="E60" s="31" t="e">
        <f>SUM(E26:E58)</f>
        <v>#REF!</v>
      </c>
      <c r="F60" s="32"/>
      <c r="G60" s="31" t="e">
        <f>SUM(G26:G56)</f>
        <v>#REF!</v>
      </c>
    </row>
    <row r="61" spans="1:7" x14ac:dyDescent="0.25">
      <c r="A61" s="44"/>
      <c r="B61" s="16"/>
      <c r="C61" s="16"/>
      <c r="D61" s="16"/>
      <c r="E61" s="16"/>
      <c r="F61" s="16"/>
      <c r="G61" s="17"/>
    </row>
    <row r="62" spans="1:7" x14ac:dyDescent="0.25">
      <c r="A62" s="124" t="s">
        <v>62</v>
      </c>
      <c r="B62" s="33"/>
      <c r="C62" s="16"/>
      <c r="D62" s="16"/>
      <c r="E62" s="16"/>
      <c r="F62" s="16"/>
      <c r="G62" s="17"/>
    </row>
    <row r="63" spans="1:7" x14ac:dyDescent="0.25">
      <c r="A63" s="117" t="s">
        <v>63</v>
      </c>
      <c r="B63" s="28"/>
      <c r="C63" s="34">
        <f>Données!E61</f>
        <v>0</v>
      </c>
      <c r="D63" s="95" t="e">
        <f>Données!#REF!</f>
        <v>#REF!</v>
      </c>
      <c r="E63" s="34" t="e">
        <f>C63*D63</f>
        <v>#REF!</v>
      </c>
      <c r="F63" s="34"/>
      <c r="G63" s="35"/>
    </row>
    <row r="64" spans="1:7" x14ac:dyDescent="0.25">
      <c r="A64" s="117" t="s">
        <v>64</v>
      </c>
      <c r="B64" s="28"/>
      <c r="C64" s="34"/>
      <c r="D64" s="34"/>
      <c r="E64" s="34">
        <f>C64*D64</f>
        <v>0</v>
      </c>
      <c r="F64" s="34"/>
      <c r="G64" s="35"/>
    </row>
    <row r="65" spans="1:7" x14ac:dyDescent="0.25">
      <c r="A65" s="117" t="s">
        <v>65</v>
      </c>
      <c r="B65" s="28"/>
      <c r="C65" s="34"/>
      <c r="D65" s="34"/>
      <c r="E65" s="34">
        <f>C65*D65</f>
        <v>0</v>
      </c>
      <c r="F65" s="34"/>
      <c r="G65" s="35"/>
    </row>
    <row r="66" spans="1:7" x14ac:dyDescent="0.25">
      <c r="A66" s="117" t="s">
        <v>66</v>
      </c>
      <c r="B66" s="28"/>
      <c r="C66" s="34"/>
      <c r="D66" s="34"/>
      <c r="E66" s="34">
        <f>C66*D66</f>
        <v>0</v>
      </c>
      <c r="F66" s="34"/>
      <c r="G66" s="35"/>
    </row>
    <row r="67" spans="1:7" x14ac:dyDescent="0.25">
      <c r="A67" s="117" t="s">
        <v>67</v>
      </c>
      <c r="B67" s="28"/>
      <c r="C67" s="34"/>
      <c r="D67" s="34"/>
      <c r="E67" s="34"/>
      <c r="F67" s="34"/>
      <c r="G67" s="35"/>
    </row>
    <row r="68" spans="1:7" x14ac:dyDescent="0.25">
      <c r="A68" s="124" t="s">
        <v>68</v>
      </c>
      <c r="B68" s="33"/>
      <c r="C68" s="34"/>
      <c r="D68" s="34"/>
      <c r="E68" s="34"/>
      <c r="F68" s="34"/>
      <c r="G68" s="35"/>
    </row>
    <row r="69" spans="1:7" x14ac:dyDescent="0.25">
      <c r="A69" s="117" t="s">
        <v>69</v>
      </c>
      <c r="B69" s="28"/>
      <c r="C69" s="34">
        <f>Données!E70*Données!E73</f>
        <v>0</v>
      </c>
      <c r="D69" s="36">
        <v>0.5</v>
      </c>
      <c r="E69" s="34">
        <f>C69*D69</f>
        <v>0</v>
      </c>
      <c r="F69" s="36"/>
      <c r="G69" s="35"/>
    </row>
    <row r="70" spans="1:7" x14ac:dyDescent="0.25">
      <c r="A70" s="117" t="s">
        <v>70</v>
      </c>
      <c r="B70" s="28"/>
      <c r="C70" s="34"/>
      <c r="D70" s="36"/>
      <c r="E70" s="37"/>
      <c r="F70" s="36"/>
      <c r="G70" s="17"/>
    </row>
    <row r="71" spans="1:7" x14ac:dyDescent="0.25">
      <c r="A71" s="117" t="s">
        <v>71</v>
      </c>
      <c r="B71" s="28"/>
      <c r="C71" s="34" t="str">
        <f>Données!I44</f>
        <v>Titres Restaurant :</v>
      </c>
      <c r="D71" s="106">
        <f>Données!J44</f>
        <v>0</v>
      </c>
      <c r="E71" s="37">
        <f>IF(Données!K44&gt;0,Données!K44,0)</f>
        <v>0</v>
      </c>
      <c r="F71" s="34"/>
      <c r="G71" s="35"/>
    </row>
    <row r="72" spans="1:7" x14ac:dyDescent="0.25">
      <c r="A72" s="117" t="s">
        <v>72</v>
      </c>
      <c r="B72" s="28"/>
      <c r="C72" s="34"/>
      <c r="D72" s="34"/>
      <c r="E72" s="37">
        <f>Données!K45</f>
        <v>0</v>
      </c>
      <c r="F72" s="34"/>
      <c r="G72" s="35"/>
    </row>
    <row r="73" spans="1:7" x14ac:dyDescent="0.25">
      <c r="A73" s="117" t="s">
        <v>73</v>
      </c>
      <c r="B73" s="28"/>
      <c r="C73" s="34"/>
      <c r="D73" s="34"/>
      <c r="E73" s="37">
        <f>Données!K46</f>
        <v>0</v>
      </c>
      <c r="F73" s="34"/>
      <c r="G73" s="35"/>
    </row>
    <row r="74" spans="1:7" x14ac:dyDescent="0.25">
      <c r="A74" s="117" t="s">
        <v>74</v>
      </c>
      <c r="B74" s="28"/>
      <c r="C74" s="34"/>
      <c r="D74" s="34"/>
      <c r="E74" s="37">
        <f>Données!K47</f>
        <v>0</v>
      </c>
      <c r="F74" s="34"/>
      <c r="G74" s="35"/>
    </row>
    <row r="75" spans="1:7" ht="18.75" x14ac:dyDescent="0.3">
      <c r="A75" s="189" t="s">
        <v>75</v>
      </c>
      <c r="B75" s="190"/>
      <c r="C75" s="190"/>
      <c r="D75" s="190"/>
      <c r="E75" s="190"/>
      <c r="F75" s="190"/>
      <c r="G75" s="38" t="e">
        <f>Données!E51-E60+SUM(E63:E67)-SUM(E69:E74)</f>
        <v>#REF!</v>
      </c>
    </row>
    <row r="76" spans="1:7" x14ac:dyDescent="0.25">
      <c r="A76" s="117" t="s">
        <v>76</v>
      </c>
      <c r="B76" s="28"/>
      <c r="C76" s="16"/>
      <c r="D76" s="16"/>
      <c r="E76" s="16"/>
      <c r="F76" s="16"/>
      <c r="G76" s="39">
        <f>(C35*3.15%)</f>
        <v>0</v>
      </c>
    </row>
    <row r="77" spans="1:7" x14ac:dyDescent="0.25">
      <c r="A77" s="191" t="s">
        <v>77</v>
      </c>
      <c r="B77" s="191"/>
      <c r="C77" s="191"/>
      <c r="D77" s="40" t="s">
        <v>30</v>
      </c>
      <c r="E77" s="192" t="s">
        <v>78</v>
      </c>
      <c r="F77" s="193"/>
      <c r="G77" s="40" t="s">
        <v>23</v>
      </c>
    </row>
    <row r="78" spans="1:7" x14ac:dyDescent="0.25">
      <c r="A78" s="182" t="s">
        <v>79</v>
      </c>
      <c r="B78" s="182"/>
      <c r="C78" s="182"/>
      <c r="D78" s="52" t="e">
        <f>C79</f>
        <v>#REF!</v>
      </c>
      <c r="E78" s="194">
        <v>0</v>
      </c>
      <c r="F78" s="194"/>
      <c r="G78" s="31" t="e">
        <f>D78*E78</f>
        <v>#REF!</v>
      </c>
    </row>
    <row r="79" spans="1:7" x14ac:dyDescent="0.25">
      <c r="A79" s="1" t="s">
        <v>80</v>
      </c>
      <c r="B79" s="1"/>
      <c r="C79" s="181" t="e">
        <f>Données!E51-(SUM(Données!C47:C48))-E60+G29</f>
        <v>#REF!</v>
      </c>
      <c r="D79" s="182"/>
      <c r="E79" s="183" t="s">
        <v>81</v>
      </c>
      <c r="F79" s="183"/>
      <c r="G79" s="183"/>
    </row>
    <row r="80" spans="1:7" ht="15.75" x14ac:dyDescent="0.25">
      <c r="A80" s="44"/>
      <c r="B80" s="16"/>
      <c r="C80" s="16"/>
      <c r="D80" s="16"/>
      <c r="E80" s="184" t="e">
        <f>G75-G78</f>
        <v>#REF!</v>
      </c>
      <c r="F80" s="185"/>
      <c r="G80" s="186"/>
    </row>
    <row r="81" spans="1:10" ht="15" customHeight="1" x14ac:dyDescent="0.25">
      <c r="A81" s="41"/>
      <c r="B81" s="42"/>
      <c r="C81" s="42"/>
      <c r="D81" s="187" t="s">
        <v>82</v>
      </c>
      <c r="E81" s="187"/>
      <c r="F81" s="187"/>
      <c r="G81" s="43" t="e">
        <f>-G56-G55+(C32*1.8%)+(C26*6%)</f>
        <v>#REF!</v>
      </c>
    </row>
    <row r="82" spans="1:10" x14ac:dyDescent="0.25">
      <c r="A82" s="44"/>
      <c r="B82" s="16"/>
      <c r="C82" s="16"/>
      <c r="D82" s="188" t="s">
        <v>83</v>
      </c>
      <c r="E82" s="188"/>
      <c r="F82" s="188"/>
      <c r="G82" s="45" t="e">
        <f>SALBRUT+G60+SUM(E63:E67)</f>
        <v>#REF!</v>
      </c>
    </row>
    <row r="83" spans="1:10" x14ac:dyDescent="0.25">
      <c r="A83" s="174" t="s">
        <v>84</v>
      </c>
      <c r="B83" s="175"/>
      <c r="C83" s="175"/>
      <c r="D83" s="175"/>
      <c r="E83" s="175"/>
      <c r="F83" s="176" t="s">
        <v>85</v>
      </c>
      <c r="G83" s="177"/>
    </row>
    <row r="84" spans="1:10" ht="18.75" x14ac:dyDescent="0.25">
      <c r="A84" s="178" t="s">
        <v>86</v>
      </c>
      <c r="B84" s="179"/>
      <c r="C84" s="179"/>
      <c r="D84" s="179"/>
      <c r="E84" s="179"/>
      <c r="F84" s="179"/>
      <c r="G84" s="180"/>
    </row>
    <row r="87" spans="1:10" ht="19.5" customHeight="1" x14ac:dyDescent="0.25">
      <c r="H87" s="46"/>
      <c r="I87" s="46"/>
      <c r="J87" s="46"/>
    </row>
  </sheetData>
  <dataConsolidate/>
  <mergeCells count="22">
    <mergeCell ref="A47:B47"/>
    <mergeCell ref="A49:B49"/>
    <mergeCell ref="A2:G3"/>
    <mergeCell ref="E11:G11"/>
    <mergeCell ref="E12:G12"/>
    <mergeCell ref="E13:G13"/>
    <mergeCell ref="E14:G14"/>
    <mergeCell ref="E15:G15"/>
    <mergeCell ref="E16:G16"/>
    <mergeCell ref="A75:F75"/>
    <mergeCell ref="A77:C77"/>
    <mergeCell ref="E77:F77"/>
    <mergeCell ref="A78:C78"/>
    <mergeCell ref="E78:F78"/>
    <mergeCell ref="A83:E83"/>
    <mergeCell ref="F83:G83"/>
    <mergeCell ref="A84:G84"/>
    <mergeCell ref="C79:D79"/>
    <mergeCell ref="E79:G79"/>
    <mergeCell ref="E80:G80"/>
    <mergeCell ref="D81:F81"/>
    <mergeCell ref="D82:F82"/>
  </mergeCells>
  <hyperlinks>
    <hyperlink ref="F83" r:id="rId1"/>
  </hyperlinks>
  <printOptions horizontalCentered="1" verticalCentered="1"/>
  <pageMargins left="0.70866141732283472" right="0.70866141732283472" top="0.74803149606299213" bottom="0.74803149606299213" header="0.31496062992125984" footer="0.31496062992125984"/>
  <pageSetup paperSize="9" scale="81" fitToHeight="0"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2055" r:id="rId5" name="Drop Down 7">
              <controlPr defaultSize="0" print="0" autoLine="0" autoPict="0">
                <anchor moveWithCells="1">
                  <from>
                    <xdr:col>7</xdr:col>
                    <xdr:colOff>523875</xdr:colOff>
                    <xdr:row>2</xdr:row>
                    <xdr:rowOff>19050</xdr:rowOff>
                  </from>
                  <to>
                    <xdr:col>9</xdr:col>
                    <xdr:colOff>657225</xdr:colOff>
                    <xdr:row>3</xdr:row>
                    <xdr:rowOff>57150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R80"/>
  <sheetViews>
    <sheetView workbookViewId="0">
      <selection activeCell="E10" sqref="E10"/>
    </sheetView>
  </sheetViews>
  <sheetFormatPr baseColWidth="10" defaultRowHeight="15" x14ac:dyDescent="0.25"/>
  <cols>
    <col min="1" max="1" width="30.42578125" customWidth="1"/>
    <col min="2" max="2" width="11.5703125" customWidth="1"/>
    <col min="3" max="3" width="11.7109375" customWidth="1"/>
    <col min="4" max="4" width="13" customWidth="1"/>
    <col min="5" max="5" width="29" customWidth="1"/>
    <col min="6" max="8" width="11.42578125" customWidth="1"/>
    <col min="9" max="9" width="34.5703125" customWidth="1"/>
    <col min="11" max="11" width="12.85546875" customWidth="1"/>
  </cols>
  <sheetData>
    <row r="1" spans="1:11" x14ac:dyDescent="0.25">
      <c r="A1" s="244" t="s">
        <v>184</v>
      </c>
    </row>
    <row r="2" spans="1:11" x14ac:dyDescent="0.25">
      <c r="A2" t="s">
        <v>185</v>
      </c>
      <c r="E2" s="243" t="s">
        <v>183</v>
      </c>
      <c r="G2" s="243" t="s">
        <v>90</v>
      </c>
    </row>
    <row r="3" spans="1:11" x14ac:dyDescent="0.25">
      <c r="A3" t="s">
        <v>185</v>
      </c>
      <c r="E3" t="s">
        <v>124</v>
      </c>
      <c r="F3" t="s">
        <v>126</v>
      </c>
      <c r="G3" t="s">
        <v>161</v>
      </c>
    </row>
    <row r="4" spans="1:11" x14ac:dyDescent="0.25">
      <c r="A4" t="s">
        <v>185</v>
      </c>
      <c r="E4" t="s">
        <v>123</v>
      </c>
      <c r="F4" t="s">
        <v>125</v>
      </c>
      <c r="G4" t="s">
        <v>162</v>
      </c>
    </row>
    <row r="5" spans="1:11" x14ac:dyDescent="0.25">
      <c r="A5" t="s">
        <v>185</v>
      </c>
      <c r="E5" t="s">
        <v>122</v>
      </c>
      <c r="G5" t="s">
        <v>172</v>
      </c>
    </row>
    <row r="6" spans="1:11" x14ac:dyDescent="0.25">
      <c r="A6" t="s">
        <v>185</v>
      </c>
      <c r="E6" t="s">
        <v>163</v>
      </c>
      <c r="G6" t="s">
        <v>163</v>
      </c>
    </row>
    <row r="7" spans="1:11" x14ac:dyDescent="0.25">
      <c r="A7" t="s">
        <v>185</v>
      </c>
      <c r="E7" t="s">
        <v>186</v>
      </c>
      <c r="G7" t="s">
        <v>164</v>
      </c>
    </row>
    <row r="8" spans="1:11" x14ac:dyDescent="0.25">
      <c r="A8" t="s">
        <v>185</v>
      </c>
    </row>
    <row r="9" spans="1:11" x14ac:dyDescent="0.25">
      <c r="A9" t="s">
        <v>185</v>
      </c>
    </row>
    <row r="10" spans="1:11" x14ac:dyDescent="0.25">
      <c r="A10" t="s">
        <v>185</v>
      </c>
    </row>
    <row r="11" spans="1:11" x14ac:dyDescent="0.25">
      <c r="A11" t="s">
        <v>185</v>
      </c>
      <c r="E11" s="91"/>
    </row>
    <row r="13" spans="1:11" x14ac:dyDescent="0.25">
      <c r="A13" t="s">
        <v>1</v>
      </c>
      <c r="B13" s="60">
        <v>3864</v>
      </c>
      <c r="D13" t="s">
        <v>2</v>
      </c>
      <c r="E13" t="str">
        <f>" 0 à " &amp; B13</f>
        <v xml:space="preserve"> 0 à 3864</v>
      </c>
      <c r="J13" t="s">
        <v>3</v>
      </c>
      <c r="K13" t="str">
        <f>" 0 à " &amp; B13</f>
        <v xml:space="preserve"> 0 à 3864</v>
      </c>
    </row>
    <row r="14" spans="1:11" x14ac:dyDescent="0.25">
      <c r="A14" t="s">
        <v>8</v>
      </c>
      <c r="B14" s="61">
        <v>1766.92</v>
      </c>
      <c r="C14" s="63">
        <f>B14*12</f>
        <v>21203.040000000001</v>
      </c>
      <c r="D14" t="s">
        <v>5</v>
      </c>
      <c r="E14" t="str">
        <f xml:space="preserve"> "4 plafonds de " &amp; B13 &amp; " à " &amp; SUM(B13*4)</f>
        <v>4 plafonds de 3864 à 15456</v>
      </c>
      <c r="J14" t="s">
        <v>6</v>
      </c>
      <c r="K14" t="str">
        <f xml:space="preserve"> "8 plafonds de " &amp; B13 &amp; " à " &amp; SUM(B13*8)</f>
        <v>8 plafonds de 3864 à 30912</v>
      </c>
    </row>
    <row r="15" spans="1:11" x14ac:dyDescent="0.25">
      <c r="A15" t="s">
        <v>109</v>
      </c>
      <c r="B15" s="65">
        <f>B14/151.67</f>
        <v>11.649765939210129</v>
      </c>
    </row>
    <row r="16" spans="1:11" x14ac:dyDescent="0.25">
      <c r="A16" t="s">
        <v>9</v>
      </c>
      <c r="B16" s="55">
        <f>B14*0.79</f>
        <v>1395.8668</v>
      </c>
    </row>
    <row r="17" spans="1:16" x14ac:dyDescent="0.25">
      <c r="B17" s="55"/>
    </row>
    <row r="18" spans="1:16" x14ac:dyDescent="0.25">
      <c r="A18" s="58" t="s">
        <v>104</v>
      </c>
      <c r="B18" s="62">
        <v>39610</v>
      </c>
      <c r="D18" t="s">
        <v>165</v>
      </c>
      <c r="E18" s="80"/>
    </row>
    <row r="19" spans="1:16" x14ac:dyDescent="0.25">
      <c r="A19" s="58" t="s">
        <v>105</v>
      </c>
      <c r="B19" s="64">
        <f xml:space="preserve"> TRUNC( YEARFRAC( B18,B21), 0 )</f>
        <v>16</v>
      </c>
      <c r="D19" t="s">
        <v>159</v>
      </c>
      <c r="E19" s="80"/>
    </row>
    <row r="20" spans="1:16" ht="15.75" x14ac:dyDescent="0.25">
      <c r="A20" t="s">
        <v>106</v>
      </c>
      <c r="B20" s="62">
        <v>45444</v>
      </c>
      <c r="D20" t="s">
        <v>160</v>
      </c>
      <c r="E20" s="80" t="s">
        <v>172</v>
      </c>
      <c r="L20" s="70" t="s">
        <v>177</v>
      </c>
    </row>
    <row r="21" spans="1:16" x14ac:dyDescent="0.25">
      <c r="A21" t="s">
        <v>108</v>
      </c>
      <c r="B21" s="62">
        <f>DATE(2024,7,31)</f>
        <v>45504</v>
      </c>
      <c r="F21" t="s">
        <v>147</v>
      </c>
      <c r="G21" t="s">
        <v>148</v>
      </c>
      <c r="H21" t="s">
        <v>23</v>
      </c>
      <c r="N21" t="s">
        <v>147</v>
      </c>
      <c r="O21" t="s">
        <v>148</v>
      </c>
      <c r="P21" t="s">
        <v>23</v>
      </c>
    </row>
    <row r="22" spans="1:16" ht="15.75" x14ac:dyDescent="0.25">
      <c r="A22" t="s">
        <v>107</v>
      </c>
      <c r="B22" s="63">
        <f>YEARFRAC(B20,B21)</f>
        <v>0.16666666666666666</v>
      </c>
      <c r="E22" s="70" t="s">
        <v>176</v>
      </c>
      <c r="I22" s="164" t="s">
        <v>102</v>
      </c>
      <c r="J22" s="16"/>
      <c r="K22" s="16"/>
      <c r="L22" s="16" t="s">
        <v>146</v>
      </c>
      <c r="N22" s="80">
        <v>0</v>
      </c>
      <c r="O22" s="80">
        <v>0</v>
      </c>
      <c r="P22">
        <f>N22*O22</f>
        <v>0</v>
      </c>
    </row>
    <row r="23" spans="1:16" ht="15.75" customHeight="1" x14ac:dyDescent="0.25">
      <c r="E23" s="91" t="s">
        <v>119</v>
      </c>
      <c r="F23" s="80">
        <v>0</v>
      </c>
      <c r="G23" s="109" t="str">
        <f>IF(J23="","",J27)</f>
        <v/>
      </c>
      <c r="H23" s="109" t="str">
        <f>IF(F23=0,"",F23*G23)</f>
        <v/>
      </c>
      <c r="I23" s="16" t="s">
        <v>120</v>
      </c>
      <c r="J23" s="79" t="str">
        <f>IF(OR(E20="Cadre",E20="Cadre dirigeant"),"",151.67)</f>
        <v/>
      </c>
      <c r="K23" s="16"/>
      <c r="L23" s="16" t="s">
        <v>72</v>
      </c>
      <c r="M23" s="28"/>
      <c r="N23" s="34"/>
      <c r="O23" s="34"/>
      <c r="P23" s="107">
        <v>0</v>
      </c>
    </row>
    <row r="24" spans="1:16" ht="29.25" customHeight="1" x14ac:dyDescent="0.25">
      <c r="B24" s="66"/>
      <c r="E24" s="148" t="s">
        <v>154</v>
      </c>
      <c r="F24" s="80">
        <v>0</v>
      </c>
      <c r="G24" s="63" t="str">
        <f>IF(J23="","",(J27*0.25)+G23)</f>
        <v/>
      </c>
      <c r="H24" s="63" t="str">
        <f>IF(G24="","",G24*F24)</f>
        <v/>
      </c>
      <c r="I24" s="16" t="s">
        <v>167</v>
      </c>
      <c r="J24" s="56">
        <f>IF(E20="Apprenti",((IF(B22&lt;1,C25,IF(AND(B22&gt;1,B22&lt;2),C26,C27)))*B14),IF(OR(E20="Cadre",E20="Cadre dirigeant"),F30,B14))</f>
        <v>10450</v>
      </c>
      <c r="K24" s="16"/>
      <c r="L24" s="16" t="s">
        <v>73</v>
      </c>
      <c r="M24" s="28"/>
      <c r="N24" s="34"/>
      <c r="O24" s="34"/>
      <c r="P24" s="107">
        <v>0</v>
      </c>
    </row>
    <row r="25" spans="1:16" ht="15.75" x14ac:dyDescent="0.25">
      <c r="A25" s="70" t="s">
        <v>110</v>
      </c>
      <c r="B25" t="s">
        <v>111</v>
      </c>
      <c r="C25" s="67">
        <f>IF(B19&lt;18,27%,IF(AND(B19&gt;=18,B19&lt;21),43%,IF(AND(B19&gt;=21,B19&lt;26),53%,100%)))</f>
        <v>0.27</v>
      </c>
      <c r="D25" s="151"/>
      <c r="E25" t="s">
        <v>128</v>
      </c>
      <c r="F25" s="80">
        <v>0</v>
      </c>
      <c r="G25" s="63" t="str">
        <f>IF(J23="","",(J27*0.25)+G23)</f>
        <v/>
      </c>
      <c r="H25" s="63" t="str">
        <f>IF(G25="","",G25*F25)</f>
        <v/>
      </c>
      <c r="I25" s="16" t="s">
        <v>103</v>
      </c>
      <c r="J25" s="59">
        <f>IF(OR(E20="Cadre",E20="Cadre dirigeant"),0,J24/J23)</f>
        <v>0</v>
      </c>
      <c r="K25" s="16"/>
      <c r="L25" s="16" t="s">
        <v>74</v>
      </c>
      <c r="M25" s="28"/>
      <c r="N25" s="34"/>
      <c r="O25" s="34"/>
      <c r="P25" s="107">
        <v>0</v>
      </c>
    </row>
    <row r="26" spans="1:16" x14ac:dyDescent="0.25">
      <c r="B26" t="s">
        <v>112</v>
      </c>
      <c r="C26" s="67">
        <f>IF(B19&lt;18,39%,IF(AND(B19&gt;=18,B19&lt;21),51%,IF(AND(B19&gt;=21,B19&lt;26),61%,100%)))</f>
        <v>0.39</v>
      </c>
      <c r="D26" s="151"/>
      <c r="E26" t="s">
        <v>129</v>
      </c>
      <c r="F26" s="80">
        <v>0</v>
      </c>
      <c r="G26" s="109" t="str">
        <f>IF(J23="","",(G23*0.5)+G23)</f>
        <v/>
      </c>
      <c r="H26" s="109" t="str">
        <f>IF(G26="","",G26*F26)</f>
        <v/>
      </c>
      <c r="I26" s="58" t="s">
        <v>133</v>
      </c>
      <c r="J26" s="71">
        <v>0</v>
      </c>
      <c r="K26" s="16"/>
      <c r="N26" t="s">
        <v>141</v>
      </c>
      <c r="O26" s="34"/>
      <c r="P26" s="98"/>
    </row>
    <row r="27" spans="1:16" x14ac:dyDescent="0.25">
      <c r="A27" s="16"/>
      <c r="B27" s="16" t="s">
        <v>113</v>
      </c>
      <c r="C27" s="155">
        <f>IF(B19&lt;18,55%,IF(AND(B19&gt;=18,B19&lt;21),67%,IF(AND(B19&gt;=21,B19&lt;26),78%,100%)))</f>
        <v>0.55000000000000004</v>
      </c>
      <c r="D27" s="151"/>
      <c r="G27" s="23"/>
      <c r="H27" s="23"/>
      <c r="I27" s="58" t="s">
        <v>116</v>
      </c>
      <c r="J27" s="59" t="str">
        <f>IF(J23="","",J25+((J26*J24)/J23))</f>
        <v/>
      </c>
      <c r="K27" s="16"/>
      <c r="L27" t="s">
        <v>139</v>
      </c>
      <c r="M27" s="99">
        <v>0</v>
      </c>
      <c r="N27" s="100">
        <v>5.35</v>
      </c>
      <c r="O27" s="34"/>
      <c r="P27" s="98"/>
    </row>
    <row r="28" spans="1:16" ht="15.75" x14ac:dyDescent="0.25">
      <c r="A28" s="16"/>
      <c r="B28" s="68"/>
      <c r="C28" s="16"/>
      <c r="D28" s="16"/>
      <c r="E28" s="70" t="s">
        <v>173</v>
      </c>
      <c r="G28" s="23"/>
      <c r="H28" s="23"/>
      <c r="I28" s="58" t="s">
        <v>132</v>
      </c>
      <c r="J28" s="59">
        <f>IF(OR(E20="Cadre",E20="Cadre dirigeant"),F30,J27*J23)</f>
        <v>10450</v>
      </c>
      <c r="K28" s="16"/>
      <c r="L28" t="s">
        <v>140</v>
      </c>
      <c r="M28" s="28"/>
      <c r="N28" s="34"/>
      <c r="O28" s="34"/>
      <c r="P28" s="98"/>
    </row>
    <row r="29" spans="1:16" x14ac:dyDescent="0.25">
      <c r="A29" s="16"/>
      <c r="B29" s="16"/>
      <c r="C29" s="16"/>
      <c r="D29" s="16"/>
      <c r="E29" t="s">
        <v>174</v>
      </c>
      <c r="F29" s="60" t="s">
        <v>126</v>
      </c>
      <c r="I29" s="69" t="str">
        <f>IF(E20="Apprenti",IF(J28&gt;B16,"COTISATION SOCIALE DÛ","Exonération de cotisation"),"")</f>
        <v/>
      </c>
      <c r="K29" s="16"/>
      <c r="L29" t="s">
        <v>65</v>
      </c>
      <c r="M29" s="28"/>
      <c r="N29" s="34"/>
      <c r="O29" s="98"/>
      <c r="P29" s="98"/>
    </row>
    <row r="30" spans="1:16" x14ac:dyDescent="0.25">
      <c r="E30" s="91" t="s">
        <v>175</v>
      </c>
      <c r="F30" s="167">
        <v>10450</v>
      </c>
      <c r="L30" t="s">
        <v>66</v>
      </c>
      <c r="M30" s="28"/>
      <c r="N30" s="34"/>
      <c r="O30" s="98"/>
      <c r="P30" s="98"/>
    </row>
    <row r="31" spans="1:16" ht="15.75" x14ac:dyDescent="0.25">
      <c r="A31" s="28"/>
      <c r="B31" s="28"/>
      <c r="C31" s="34"/>
      <c r="D31" s="95"/>
      <c r="H31" s="23"/>
      <c r="I31" s="165" t="s">
        <v>178</v>
      </c>
      <c r="J31" s="23"/>
    </row>
    <row r="32" spans="1:16" ht="21" x14ac:dyDescent="0.35">
      <c r="A32" s="108" t="s">
        <v>144</v>
      </c>
      <c r="B32" s="28"/>
      <c r="C32" s="34"/>
      <c r="D32" s="34"/>
      <c r="F32" s="81"/>
      <c r="G32" s="81"/>
      <c r="H32" s="81"/>
      <c r="I32" s="16"/>
      <c r="J32" s="16"/>
      <c r="K32" s="16" t="s">
        <v>136</v>
      </c>
      <c r="L32" s="16" t="s">
        <v>137</v>
      </c>
    </row>
    <row r="33" spans="1:18" x14ac:dyDescent="0.25">
      <c r="A33" t="s">
        <v>19</v>
      </c>
      <c r="B33" s="93">
        <v>35</v>
      </c>
      <c r="C33" s="34"/>
      <c r="D33" s="34"/>
      <c r="I33" t="s">
        <v>135</v>
      </c>
      <c r="J33" s="96">
        <v>60</v>
      </c>
      <c r="K33" s="57">
        <v>0.33333000000000002</v>
      </c>
      <c r="L33" s="57">
        <v>0.66669999999999996</v>
      </c>
    </row>
    <row r="34" spans="1:18" x14ac:dyDescent="0.25">
      <c r="A34" t="s">
        <v>88</v>
      </c>
      <c r="B34" s="166" t="s">
        <v>125</v>
      </c>
      <c r="C34" s="34"/>
      <c r="I34" t="s">
        <v>152</v>
      </c>
      <c r="J34" s="149"/>
      <c r="K34" s="97">
        <v>0.02</v>
      </c>
      <c r="L34" s="97">
        <v>2.4E-2</v>
      </c>
    </row>
    <row r="35" spans="1:18" x14ac:dyDescent="0.25">
      <c r="A35" t="s">
        <v>153</v>
      </c>
      <c r="B35" s="147">
        <v>0.01</v>
      </c>
      <c r="D35" s="47"/>
      <c r="E35" s="63"/>
      <c r="I35" t="s">
        <v>138</v>
      </c>
      <c r="J35" s="97">
        <v>1.2999999999999999E-2</v>
      </c>
    </row>
    <row r="36" spans="1:18" x14ac:dyDescent="0.25">
      <c r="B36" s="16"/>
      <c r="E36" s="47"/>
      <c r="F36" s="47"/>
      <c r="G36" s="47"/>
      <c r="H36" s="47"/>
      <c r="I36" t="s">
        <v>40</v>
      </c>
      <c r="J36" s="97">
        <v>0</v>
      </c>
      <c r="M36" s="53" t="s">
        <v>121</v>
      </c>
    </row>
    <row r="37" spans="1:18" x14ac:dyDescent="0.25">
      <c r="F37" s="47"/>
      <c r="G37" s="47"/>
      <c r="H37" s="47"/>
      <c r="I37" t="s">
        <v>41</v>
      </c>
      <c r="J37" s="97">
        <v>0</v>
      </c>
    </row>
    <row r="38" spans="1:18" x14ac:dyDescent="0.25">
      <c r="E38" s="98"/>
      <c r="F38" s="98"/>
      <c r="G38" s="98"/>
      <c r="H38" s="98"/>
      <c r="N38" s="98"/>
      <c r="O38" s="98"/>
      <c r="P38" s="98"/>
      <c r="Q38" s="98"/>
    </row>
    <row r="39" spans="1:18" x14ac:dyDescent="0.25">
      <c r="E39" s="98"/>
      <c r="F39" s="98"/>
      <c r="G39" s="98"/>
      <c r="H39" s="98"/>
      <c r="I39" t="s">
        <v>180</v>
      </c>
      <c r="J39" s="97">
        <v>0.13500000000000001</v>
      </c>
      <c r="N39" s="98"/>
      <c r="O39" s="98"/>
      <c r="P39" s="98"/>
      <c r="Q39" s="98"/>
    </row>
    <row r="40" spans="1:18" x14ac:dyDescent="0.25">
      <c r="B40" s="2"/>
      <c r="E40" s="98"/>
      <c r="F40" s="98"/>
      <c r="G40" s="98"/>
      <c r="H40" s="98"/>
      <c r="N40" s="98"/>
      <c r="O40" s="98"/>
      <c r="P40" s="98"/>
      <c r="Q40" s="98"/>
    </row>
    <row r="41" spans="1:18" x14ac:dyDescent="0.25">
      <c r="A41" s="53" t="s">
        <v>97</v>
      </c>
      <c r="B41" s="2"/>
      <c r="E41" s="98"/>
      <c r="F41" s="98"/>
      <c r="G41" s="98"/>
      <c r="H41" s="98"/>
      <c r="N41" s="98"/>
      <c r="O41" s="98"/>
      <c r="P41" s="98"/>
      <c r="Q41" s="98"/>
    </row>
    <row r="42" spans="1:18" x14ac:dyDescent="0.25">
      <c r="A42" s="9" t="s">
        <v>91</v>
      </c>
      <c r="B42" s="2"/>
      <c r="E42" s="98"/>
      <c r="F42" s="98"/>
      <c r="G42" s="98"/>
      <c r="H42" s="98"/>
      <c r="N42" s="98"/>
      <c r="O42" s="98"/>
      <c r="P42" s="98"/>
      <c r="Q42" s="98"/>
    </row>
    <row r="43" spans="1:18" x14ac:dyDescent="0.25">
      <c r="E43" s="103"/>
      <c r="F43" s="103"/>
      <c r="G43" s="103"/>
      <c r="H43" s="103"/>
      <c r="I43" s="103"/>
      <c r="J43" s="103"/>
      <c r="K43" s="103"/>
      <c r="L43" s="103"/>
      <c r="M43" s="103"/>
      <c r="N43" s="103"/>
      <c r="O43" s="103"/>
      <c r="P43" s="103"/>
      <c r="Q43" s="103"/>
      <c r="R43" s="58"/>
    </row>
    <row r="44" spans="1:18" x14ac:dyDescent="0.25">
      <c r="A44" s="53" t="s">
        <v>101</v>
      </c>
      <c r="E44" s="103"/>
      <c r="F44" s="103"/>
      <c r="G44" s="103"/>
      <c r="H44" s="103"/>
      <c r="I44" s="49" t="s">
        <v>92</v>
      </c>
      <c r="J44" s="50"/>
      <c r="K44" s="50"/>
      <c r="M44" s="103"/>
      <c r="N44" s="103"/>
      <c r="O44" s="103"/>
      <c r="P44" s="103"/>
      <c r="Q44" s="103"/>
      <c r="R44" s="58"/>
    </row>
    <row r="45" spans="1:18" x14ac:dyDescent="0.25">
      <c r="E45" s="103"/>
      <c r="F45" s="103"/>
      <c r="G45" s="103"/>
      <c r="H45" s="103"/>
      <c r="I45" s="51" t="s">
        <v>98</v>
      </c>
      <c r="J45" s="50"/>
      <c r="K45" s="50"/>
      <c r="L45" s="47"/>
      <c r="M45" s="103"/>
      <c r="N45" s="103"/>
      <c r="O45" s="103"/>
      <c r="P45" s="103"/>
      <c r="Q45" s="103"/>
      <c r="R45" s="58"/>
    </row>
    <row r="46" spans="1:18" x14ac:dyDescent="0.25">
      <c r="E46" s="103"/>
      <c r="F46" s="103"/>
      <c r="G46" s="103"/>
      <c r="H46" s="103"/>
      <c r="I46" s="51" t="s">
        <v>99</v>
      </c>
      <c r="J46" s="50"/>
      <c r="K46" s="50"/>
      <c r="L46" s="47"/>
      <c r="M46" s="103"/>
      <c r="N46" s="103"/>
      <c r="O46" s="103"/>
      <c r="P46" s="103"/>
      <c r="Q46" s="103"/>
      <c r="R46" s="58"/>
    </row>
    <row r="47" spans="1:18" x14ac:dyDescent="0.25">
      <c r="E47" s="103"/>
      <c r="F47" s="103"/>
      <c r="G47" s="103"/>
      <c r="H47" s="103"/>
      <c r="I47" s="51" t="s">
        <v>100</v>
      </c>
      <c r="J47" s="50"/>
      <c r="K47" s="50"/>
      <c r="L47" s="47"/>
      <c r="M47" s="103"/>
      <c r="N47" s="103"/>
      <c r="O47" s="103"/>
      <c r="P47" s="103"/>
      <c r="Q47" s="103"/>
      <c r="R47" s="58"/>
    </row>
    <row r="48" spans="1:18" x14ac:dyDescent="0.25">
      <c r="E48" s="103"/>
      <c r="F48" s="103"/>
      <c r="G48" s="103"/>
      <c r="H48" s="103"/>
      <c r="I48" s="48" t="s">
        <v>93</v>
      </c>
      <c r="J48" s="94">
        <v>0</v>
      </c>
      <c r="K48" s="102" t="s">
        <v>143</v>
      </c>
      <c r="L48" s="47"/>
      <c r="M48" s="103"/>
      <c r="N48" s="103"/>
      <c r="O48" s="103"/>
      <c r="P48" s="103"/>
      <c r="Q48" s="103"/>
      <c r="R48" s="58"/>
    </row>
    <row r="49" spans="1:18" x14ac:dyDescent="0.25">
      <c r="E49" s="58"/>
      <c r="F49" s="28"/>
      <c r="G49" s="28"/>
      <c r="H49" s="28"/>
      <c r="I49" s="48" t="s">
        <v>94</v>
      </c>
      <c r="J49" s="101">
        <f>J48*L49</f>
        <v>0</v>
      </c>
      <c r="K49" t="s">
        <v>142</v>
      </c>
      <c r="L49" s="97">
        <v>0</v>
      </c>
      <c r="M49" s="105" t="s">
        <v>145</v>
      </c>
      <c r="N49" s="92"/>
      <c r="O49" s="58"/>
      <c r="P49" s="58"/>
      <c r="Q49" s="58"/>
      <c r="R49" s="58"/>
    </row>
    <row r="50" spans="1:18" x14ac:dyDescent="0.25">
      <c r="E50" s="58"/>
      <c r="F50" s="58"/>
      <c r="G50" s="58"/>
      <c r="H50" s="58"/>
      <c r="I50" s="48" t="s">
        <v>95</v>
      </c>
      <c r="J50" s="94">
        <v>7.18</v>
      </c>
      <c r="M50" s="104"/>
      <c r="N50" s="92"/>
      <c r="O50" s="58"/>
      <c r="P50" s="58"/>
      <c r="Q50" s="58"/>
      <c r="R50" s="58"/>
    </row>
    <row r="51" spans="1:18" x14ac:dyDescent="0.25">
      <c r="E51" s="58"/>
      <c r="F51" s="28"/>
      <c r="G51" s="28"/>
      <c r="H51" s="28"/>
      <c r="I51" s="48" t="s">
        <v>96</v>
      </c>
      <c r="J51" s="94">
        <v>0</v>
      </c>
      <c r="M51" s="104"/>
      <c r="N51" s="92"/>
      <c r="O51" s="58"/>
      <c r="P51" s="58"/>
      <c r="Q51" s="58"/>
      <c r="R51" s="58"/>
    </row>
    <row r="52" spans="1:18" x14ac:dyDescent="0.25">
      <c r="E52" s="58"/>
      <c r="F52" s="28"/>
      <c r="G52" s="28"/>
      <c r="H52" s="28"/>
      <c r="I52" s="28"/>
      <c r="J52" s="92"/>
      <c r="K52" s="104"/>
      <c r="L52" s="92"/>
      <c r="M52" s="104"/>
      <c r="N52" s="92"/>
      <c r="O52" s="58"/>
      <c r="P52" s="58"/>
      <c r="Q52" s="58"/>
      <c r="R52" s="58"/>
    </row>
    <row r="53" spans="1:18" x14ac:dyDescent="0.25">
      <c r="E53" s="58"/>
      <c r="P53" s="58"/>
      <c r="Q53" s="58"/>
      <c r="R53" s="58"/>
    </row>
    <row r="54" spans="1:18" x14ac:dyDescent="0.25">
      <c r="Q54" s="58"/>
      <c r="R54" s="58"/>
    </row>
    <row r="55" spans="1:18" x14ac:dyDescent="0.25">
      <c r="Q55" s="58"/>
      <c r="R55" s="58"/>
    </row>
    <row r="56" spans="1:18" x14ac:dyDescent="0.25">
      <c r="Q56" s="58"/>
      <c r="R56" s="58"/>
    </row>
    <row r="57" spans="1:18" x14ac:dyDescent="0.25">
      <c r="A57" s="26"/>
      <c r="Q57" s="58"/>
      <c r="R57" s="58"/>
    </row>
    <row r="58" spans="1:18" ht="15" customHeight="1" x14ac:dyDescent="0.25"/>
    <row r="59" spans="1:18" x14ac:dyDescent="0.25">
      <c r="A59" t="s">
        <v>89</v>
      </c>
    </row>
    <row r="60" spans="1:18" ht="61.5" customHeight="1" x14ac:dyDescent="0.25"/>
    <row r="64" spans="1:18" ht="15" customHeight="1" x14ac:dyDescent="0.25"/>
    <row r="65" ht="18.75" customHeight="1" x14ac:dyDescent="0.25"/>
    <row r="74" ht="15" customHeight="1" x14ac:dyDescent="0.25"/>
    <row r="75" ht="15" customHeight="1" x14ac:dyDescent="0.25"/>
    <row r="77" ht="15" customHeight="1" x14ac:dyDescent="0.25"/>
    <row r="80" ht="15" customHeight="1" x14ac:dyDescent="0.25"/>
  </sheetData>
  <dataConsolidate/>
  <dataValidations count="3">
    <dataValidation allowBlank="1" showInputMessage="1" showErrorMessage="1" promptTitle="Type de contrat" sqref="E3"/>
    <dataValidation type="list" allowBlank="1" showInputMessage="1" showErrorMessage="1" sqref="B34 F29">
      <formula1>$F$3:$F$4</formula1>
    </dataValidation>
    <dataValidation type="list" allowBlank="1" showInputMessage="1" showErrorMessage="1" sqref="E20">
      <formula1>$G$3:$G$7</formula1>
    </dataValidation>
  </dataValidations>
  <hyperlinks>
    <hyperlink ref="A44" r:id="rId1"/>
    <hyperlink ref="A41" r:id="rId2"/>
    <hyperlink ref="M36" r:id="rId3"/>
  </hyperlinks>
  <pageMargins left="0.7" right="0.7" top="0.75" bottom="0.75" header="0.3" footer="0.3"/>
  <pageSetup paperSize="9" orientation="portrait" r:id="rId4"/>
  <legacyDrawing r:id="rId5"/>
  <tableParts count="2">
    <tablePart r:id="rId6"/>
    <tablePart r:id="rId7"/>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2:T80"/>
  <sheetViews>
    <sheetView topLeftCell="D4" workbookViewId="0">
      <selection activeCell="L14" sqref="L14"/>
    </sheetView>
  </sheetViews>
  <sheetFormatPr baseColWidth="10" defaultRowHeight="15" x14ac:dyDescent="0.25"/>
  <cols>
    <col min="1" max="1" width="26" customWidth="1"/>
    <col min="2" max="2" width="11.5703125" customWidth="1"/>
    <col min="5" max="5" width="19" customWidth="1"/>
    <col min="6" max="6" width="17.85546875" customWidth="1"/>
    <col min="7" max="7" width="30.140625" customWidth="1"/>
    <col min="8" max="8" width="18.140625" customWidth="1"/>
    <col min="9" max="9" width="15.42578125" customWidth="1"/>
    <col min="10" max="10" width="16.42578125" customWidth="1"/>
    <col min="11" max="11" width="16" customWidth="1"/>
    <col min="12" max="12" width="19" customWidth="1"/>
  </cols>
  <sheetData>
    <row r="2" spans="1:12" ht="103.5" customHeight="1" x14ac:dyDescent="0.25">
      <c r="A2" s="54" t="s">
        <v>52</v>
      </c>
      <c r="C2" s="54" t="s">
        <v>55</v>
      </c>
      <c r="E2" s="54" t="s">
        <v>58</v>
      </c>
      <c r="F2" s="47"/>
      <c r="G2" s="129" t="s">
        <v>87</v>
      </c>
    </row>
    <row r="3" spans="1:12" ht="13.5" customHeight="1" x14ac:dyDescent="0.25">
      <c r="A3" s="54"/>
      <c r="C3" s="54"/>
      <c r="E3" s="54"/>
      <c r="F3" s="47"/>
      <c r="G3" s="129"/>
    </row>
    <row r="4" spans="1:12" ht="15" customHeight="1" x14ac:dyDescent="0.25">
      <c r="A4" s="54"/>
      <c r="C4" s="54"/>
      <c r="E4" s="54"/>
      <c r="F4" s="199" t="s">
        <v>0</v>
      </c>
      <c r="G4" s="200"/>
      <c r="H4" s="200"/>
      <c r="I4" s="200"/>
      <c r="J4" s="200"/>
      <c r="K4" s="200"/>
      <c r="L4" s="201"/>
    </row>
    <row r="5" spans="1:12" ht="15" customHeight="1" x14ac:dyDescent="0.25">
      <c r="F5" s="202"/>
      <c r="G5" s="203"/>
      <c r="H5" s="203"/>
      <c r="I5" s="203"/>
      <c r="J5" s="203"/>
      <c r="K5" s="203"/>
      <c r="L5" s="204"/>
    </row>
    <row r="6" spans="1:12" x14ac:dyDescent="0.25">
      <c r="F6" s="3" t="s">
        <v>4</v>
      </c>
      <c r="G6" s="5"/>
      <c r="H6" s="4"/>
      <c r="I6" s="3" t="s">
        <v>157</v>
      </c>
      <c r="J6" s="157"/>
      <c r="K6" s="6" t="s">
        <v>158</v>
      </c>
      <c r="L6" s="4"/>
    </row>
    <row r="7" spans="1:12" x14ac:dyDescent="0.25">
      <c r="F7" s="7" t="s">
        <v>7</v>
      </c>
      <c r="G7" s="9"/>
      <c r="H7" s="8"/>
      <c r="I7" s="7"/>
      <c r="J7" s="9"/>
      <c r="K7" s="10"/>
      <c r="L7" s="8"/>
    </row>
    <row r="8" spans="1:12" x14ac:dyDescent="0.25">
      <c r="A8" s="53" t="s">
        <v>121</v>
      </c>
      <c r="F8" s="7"/>
      <c r="G8" s="9"/>
      <c r="H8" s="8"/>
      <c r="I8" s="7"/>
      <c r="J8" s="9"/>
      <c r="K8" s="9"/>
      <c r="L8" s="8"/>
    </row>
    <row r="9" spans="1:12" x14ac:dyDescent="0.25">
      <c r="F9" s="7" t="s">
        <v>10</v>
      </c>
      <c r="G9" s="9"/>
      <c r="H9" s="8"/>
      <c r="I9" s="7"/>
      <c r="J9" s="9" t="s">
        <v>11</v>
      </c>
      <c r="K9" s="9"/>
      <c r="L9" s="8"/>
    </row>
    <row r="10" spans="1:12" x14ac:dyDescent="0.25">
      <c r="A10" s="53" t="s">
        <v>131</v>
      </c>
      <c r="B10" s="54"/>
      <c r="C10" s="54"/>
      <c r="D10" s="54"/>
      <c r="E10" s="54"/>
      <c r="F10" s="7" t="s">
        <v>12</v>
      </c>
      <c r="G10" s="9"/>
      <c r="H10" s="8"/>
      <c r="I10" s="7"/>
      <c r="J10" s="9"/>
      <c r="K10" s="9"/>
      <c r="L10" s="8"/>
    </row>
    <row r="11" spans="1:12" x14ac:dyDescent="0.25">
      <c r="A11" s="54"/>
      <c r="B11" s="54"/>
      <c r="C11" s="54"/>
      <c r="D11" s="54"/>
      <c r="E11" s="54"/>
      <c r="F11" s="7" t="s">
        <v>13</v>
      </c>
      <c r="G11" s="9"/>
      <c r="H11" s="8"/>
      <c r="I11" s="7"/>
      <c r="J11" s="9"/>
      <c r="K11" s="9"/>
      <c r="L11" s="8"/>
    </row>
    <row r="12" spans="1:12" x14ac:dyDescent="0.25">
      <c r="F12" s="11" t="s">
        <v>14</v>
      </c>
      <c r="G12" s="13"/>
      <c r="H12" s="12"/>
      <c r="I12" s="11"/>
      <c r="J12" s="13"/>
      <c r="K12" s="13"/>
      <c r="L12" s="14"/>
    </row>
    <row r="13" spans="1:12" x14ac:dyDescent="0.25">
      <c r="B13" s="54"/>
      <c r="C13" s="54"/>
      <c r="D13" s="54"/>
      <c r="E13" s="54"/>
      <c r="F13" s="7" t="str">
        <f>"Emploi : " &amp; Données!E19</f>
        <v xml:space="preserve">Emploi : </v>
      </c>
      <c r="G13" s="9"/>
      <c r="H13" s="9"/>
      <c r="I13" s="159" t="str">
        <f>"Salarié : " &amp; Données!E18</f>
        <v xml:space="preserve">Salarié : </v>
      </c>
      <c r="J13" s="158"/>
      <c r="K13" s="158"/>
      <c r="L13" s="160"/>
    </row>
    <row r="14" spans="1:12" x14ac:dyDescent="0.25">
      <c r="A14" s="54"/>
      <c r="B14" s="54"/>
      <c r="C14" s="54"/>
      <c r="D14" s="54"/>
      <c r="E14" s="54"/>
      <c r="F14" s="7" t="str">
        <f>"Statut : " &amp; Données!E20</f>
        <v>Statut : Cadre dirigeant</v>
      </c>
      <c r="G14" s="9"/>
      <c r="H14" s="9"/>
      <c r="I14" s="9" t="s">
        <v>7</v>
      </c>
      <c r="J14" s="158"/>
      <c r="K14" s="158"/>
      <c r="L14" s="160"/>
    </row>
    <row r="15" spans="1:12" x14ac:dyDescent="0.25">
      <c r="F15" s="7" t="s">
        <v>18</v>
      </c>
      <c r="G15" s="9"/>
      <c r="H15" s="172"/>
      <c r="I15" s="9"/>
      <c r="J15" s="205"/>
      <c r="K15" s="205"/>
      <c r="L15" s="206"/>
    </row>
    <row r="16" spans="1:12" x14ac:dyDescent="0.25">
      <c r="B16" s="54"/>
      <c r="C16" s="54"/>
      <c r="D16" s="54"/>
      <c r="E16" s="54"/>
      <c r="F16" s="7" t="s">
        <v>166</v>
      </c>
      <c r="G16" s="9"/>
      <c r="H16" s="72"/>
      <c r="I16" s="9"/>
      <c r="J16" s="207"/>
      <c r="K16" s="207"/>
      <c r="L16" s="208"/>
    </row>
    <row r="17" spans="1:12" x14ac:dyDescent="0.25">
      <c r="A17" s="54"/>
      <c r="B17" s="54"/>
      <c r="C17" s="54"/>
      <c r="D17" s="54"/>
      <c r="E17" s="54"/>
      <c r="F17" s="163"/>
      <c r="G17" s="9"/>
      <c r="H17" s="172"/>
      <c r="I17" s="9"/>
      <c r="J17" s="207"/>
      <c r="K17" s="207"/>
      <c r="L17" s="208"/>
    </row>
    <row r="18" spans="1:12" x14ac:dyDescent="0.25">
      <c r="F18" s="156" t="s">
        <v>117</v>
      </c>
      <c r="G18" s="78">
        <f>Données!B20</f>
        <v>45444</v>
      </c>
      <c r="H18" s="73" t="s">
        <v>114</v>
      </c>
      <c r="I18" s="13"/>
      <c r="J18" s="209"/>
      <c r="K18" s="209"/>
      <c r="L18" s="210"/>
    </row>
    <row r="19" spans="1:12" x14ac:dyDescent="0.25">
      <c r="B19" s="129"/>
      <c r="C19" s="129"/>
      <c r="D19" s="129"/>
      <c r="E19" s="129"/>
      <c r="F19" s="44"/>
      <c r="G19" s="16"/>
      <c r="H19" s="34" t="s">
        <v>21</v>
      </c>
      <c r="I19" s="34" t="s">
        <v>22</v>
      </c>
      <c r="J19" s="34" t="s">
        <v>23</v>
      </c>
      <c r="K19" s="16"/>
      <c r="L19" s="15"/>
    </row>
    <row r="20" spans="1:12" x14ac:dyDescent="0.25">
      <c r="A20" s="129"/>
      <c r="B20" s="129"/>
      <c r="C20" s="129"/>
      <c r="D20" s="129"/>
      <c r="E20" s="129"/>
      <c r="F20" s="44" t="s">
        <v>24</v>
      </c>
      <c r="G20" s="16"/>
      <c r="H20" s="34" t="str">
        <f>Données!J23</f>
        <v/>
      </c>
      <c r="I20" s="37" t="str">
        <f>Données!J27</f>
        <v/>
      </c>
      <c r="J20" s="37">
        <f>Données!J28</f>
        <v>10450</v>
      </c>
      <c r="K20" s="16"/>
      <c r="L20" s="17"/>
    </row>
    <row r="21" spans="1:12" ht="18" x14ac:dyDescent="0.25">
      <c r="A21" s="27"/>
      <c r="F21" s="44" t="str">
        <f>IF(Données!F24=0,"","Heure supplémentaire mensualisé")</f>
        <v/>
      </c>
      <c r="G21" s="16"/>
      <c r="H21" s="37" t="str">
        <f>IF(Données!F24=0,"",Données!F24)</f>
        <v/>
      </c>
      <c r="I21" s="37" t="str">
        <f>IF(H21="","",Données!G24)</f>
        <v/>
      </c>
      <c r="J21" s="37" t="str">
        <f>IF(Données!H24=0,"",Données!H24)</f>
        <v/>
      </c>
      <c r="K21" s="16"/>
      <c r="L21" s="17"/>
    </row>
    <row r="22" spans="1:12" x14ac:dyDescent="0.25">
      <c r="F22" s="44" t="s">
        <v>25</v>
      </c>
      <c r="G22" s="16"/>
      <c r="H22" s="37" t="str">
        <f>IF(Données!F25=0,"",Données!F25)</f>
        <v/>
      </c>
      <c r="I22" s="37" t="str">
        <f>IF(H22="","",Données!G25)</f>
        <v/>
      </c>
      <c r="J22" s="111" t="str">
        <f>IF(H22="","",Données!H25)</f>
        <v/>
      </c>
      <c r="K22" s="37"/>
      <c r="L22" s="17"/>
    </row>
    <row r="23" spans="1:12" x14ac:dyDescent="0.25">
      <c r="F23" s="44" t="s">
        <v>26</v>
      </c>
      <c r="G23" s="16"/>
      <c r="H23" s="37" t="str">
        <f>IF(Données!F26=0,"",Données!F26)</f>
        <v/>
      </c>
      <c r="I23" s="37" t="str">
        <f>IF(H23="","",Données!G26)</f>
        <v/>
      </c>
      <c r="J23" s="111" t="str">
        <f>IF(H23="","",Données!H26)</f>
        <v/>
      </c>
      <c r="K23" s="16"/>
      <c r="L23" s="17"/>
    </row>
    <row r="24" spans="1:12" x14ac:dyDescent="0.25">
      <c r="A24" s="26"/>
      <c r="F24" s="44"/>
      <c r="G24" s="16"/>
      <c r="H24" s="34"/>
      <c r="I24" s="37"/>
      <c r="J24" s="111"/>
      <c r="K24" s="16"/>
      <c r="L24" s="17"/>
    </row>
    <row r="25" spans="1:12" ht="24.75" customHeight="1" x14ac:dyDescent="0.25">
      <c r="F25" s="44" t="s">
        <v>27</v>
      </c>
      <c r="G25" s="16"/>
      <c r="H25" s="34" t="str">
        <f>IF(Données!F23=0,"",Données!F23)</f>
        <v/>
      </c>
      <c r="I25" s="37" t="str">
        <f>IF(H25="","",Données!J27)</f>
        <v/>
      </c>
      <c r="J25" s="111" t="str">
        <f>IF(Données!H23="","",Données!H23)</f>
        <v/>
      </c>
      <c r="K25" s="16"/>
      <c r="L25" s="17"/>
    </row>
    <row r="26" spans="1:12" x14ac:dyDescent="0.25">
      <c r="F26" s="126" t="s">
        <v>28</v>
      </c>
      <c r="G26" s="127"/>
      <c r="H26" s="127"/>
      <c r="I26" s="127"/>
      <c r="J26" s="128">
        <f>SUM(J20:J23)-IF(J25="",0,J25)</f>
        <v>10450</v>
      </c>
      <c r="K26" s="18"/>
      <c r="L26" s="19"/>
    </row>
    <row r="27" spans="1:12" ht="27" customHeight="1" x14ac:dyDescent="0.25">
      <c r="F27" s="113" t="s">
        <v>29</v>
      </c>
      <c r="G27" s="114"/>
      <c r="H27" s="130" t="s">
        <v>30</v>
      </c>
      <c r="I27" s="130" t="s">
        <v>31</v>
      </c>
      <c r="J27" s="130" t="s">
        <v>32</v>
      </c>
      <c r="K27" s="130" t="s">
        <v>33</v>
      </c>
      <c r="L27" s="130" t="s">
        <v>23</v>
      </c>
    </row>
    <row r="28" spans="1:12" x14ac:dyDescent="0.25">
      <c r="F28" s="115" t="s">
        <v>34</v>
      </c>
      <c r="G28" s="116"/>
      <c r="H28" s="86">
        <f>J26</f>
        <v>10450</v>
      </c>
      <c r="I28" s="139"/>
      <c r="J28" s="140"/>
      <c r="K28" s="141">
        <f>IF(Données!J28&lt;=(2.5*Données!B14),7%,13%)</f>
        <v>0.13</v>
      </c>
      <c r="L28" s="86">
        <f>H28*K28</f>
        <v>1358.5</v>
      </c>
    </row>
    <row r="29" spans="1:12" x14ac:dyDescent="0.25">
      <c r="F29" s="115" t="s">
        <v>152</v>
      </c>
      <c r="G29" s="116"/>
      <c r="H29" s="131">
        <f>IF(Données!K34=0,"",J26)</f>
        <v>10450</v>
      </c>
      <c r="I29" s="104">
        <f>IF(Données!K34=0,"",Données!K34)</f>
        <v>0.02</v>
      </c>
      <c r="J29" s="132">
        <f>IF(H29="","",H29*I29)</f>
        <v>209</v>
      </c>
      <c r="K29" s="134">
        <f>IF(Données!L34=0,"",Données!L34)</f>
        <v>2.4E-2</v>
      </c>
      <c r="L29" s="131">
        <f>IF(H29="","",K29*H29)</f>
        <v>250.8</v>
      </c>
    </row>
    <row r="30" spans="1:12" x14ac:dyDescent="0.25">
      <c r="F30" s="117" t="s">
        <v>134</v>
      </c>
      <c r="G30" s="28"/>
      <c r="H30" s="131">
        <f>IF(Données!J33=0,"",Données!J33)</f>
        <v>60</v>
      </c>
      <c r="I30" s="104">
        <f>IF(Données!J33=0,"",Données!K33)</f>
        <v>0.33333000000000002</v>
      </c>
      <c r="J30" s="132">
        <f>IF(H30="","",H30*I30)</f>
        <v>19.9998</v>
      </c>
      <c r="K30" s="134">
        <f>IF(Données!J33=0,"",Données!L33)</f>
        <v>0.66669999999999996</v>
      </c>
      <c r="L30" s="131">
        <f>IF(H30="","",H30*K30)</f>
        <v>40.001999999999995</v>
      </c>
    </row>
    <row r="31" spans="1:12" x14ac:dyDescent="0.25">
      <c r="F31" s="113" t="s">
        <v>36</v>
      </c>
      <c r="G31" s="114"/>
      <c r="H31" s="131">
        <f>J26</f>
        <v>10450</v>
      </c>
      <c r="I31" s="104"/>
      <c r="J31" s="132"/>
      <c r="K31" s="134">
        <f>Données!J35</f>
        <v>1.2999999999999999E-2</v>
      </c>
      <c r="L31" s="131">
        <f>H31*K31</f>
        <v>135.85</v>
      </c>
    </row>
    <row r="32" spans="1:12" x14ac:dyDescent="0.25">
      <c r="F32" s="118"/>
      <c r="G32" s="58"/>
      <c r="H32" s="131"/>
      <c r="I32" s="104"/>
      <c r="J32" s="132"/>
      <c r="K32" s="134"/>
      <c r="L32" s="131"/>
    </row>
    <row r="33" spans="6:15" x14ac:dyDescent="0.25">
      <c r="F33" s="113" t="s">
        <v>37</v>
      </c>
      <c r="G33" s="114"/>
      <c r="H33" s="131"/>
      <c r="I33" s="104"/>
      <c r="J33" s="132"/>
      <c r="K33" s="134"/>
      <c r="L33" s="131"/>
    </row>
    <row r="34" spans="6:15" x14ac:dyDescent="0.25">
      <c r="F34" s="115" t="s">
        <v>38</v>
      </c>
      <c r="G34" s="116"/>
      <c r="H34" s="131">
        <f>J26</f>
        <v>10450</v>
      </c>
      <c r="I34" s="104"/>
      <c r="J34" s="132"/>
      <c r="K34" s="142">
        <f>IF(Données!J28&lt;=(3.5*Données!B14),3.45%,5.25%)</f>
        <v>5.2499999999999998E-2</v>
      </c>
      <c r="L34" s="131">
        <f>H34*K34</f>
        <v>548.625</v>
      </c>
    </row>
    <row r="35" spans="6:15" x14ac:dyDescent="0.25">
      <c r="F35" s="113" t="s">
        <v>39</v>
      </c>
      <c r="G35" s="114"/>
      <c r="H35" s="131"/>
      <c r="I35" s="104"/>
      <c r="J35" s="133"/>
      <c r="K35" s="134"/>
      <c r="L35" s="131"/>
    </row>
    <row r="36" spans="6:15" x14ac:dyDescent="0.25">
      <c r="F36" s="117" t="s">
        <v>40</v>
      </c>
      <c r="G36" s="28"/>
      <c r="H36" s="131">
        <f>J26</f>
        <v>10450</v>
      </c>
      <c r="I36" s="104"/>
      <c r="J36" s="133"/>
      <c r="K36" s="134">
        <f>Données!J36</f>
        <v>0</v>
      </c>
      <c r="L36" s="131">
        <f>H36*K36</f>
        <v>0</v>
      </c>
    </row>
    <row r="37" spans="6:15" x14ac:dyDescent="0.25">
      <c r="F37" s="117" t="s">
        <v>41</v>
      </c>
      <c r="G37" s="28"/>
      <c r="H37" s="131">
        <f>J26</f>
        <v>10450</v>
      </c>
      <c r="I37" s="104">
        <v>2.5000000000000001E-3</v>
      </c>
      <c r="J37" s="133"/>
      <c r="K37" s="134">
        <v>2.5000000000000001E-3</v>
      </c>
      <c r="L37" s="131">
        <f>H37*K37</f>
        <v>26.125</v>
      </c>
    </row>
    <row r="38" spans="6:15" x14ac:dyDescent="0.25">
      <c r="F38" s="113" t="s">
        <v>42</v>
      </c>
      <c r="G38" s="114"/>
      <c r="H38" s="131"/>
      <c r="I38" s="104"/>
      <c r="J38" s="133"/>
      <c r="K38" s="134"/>
      <c r="L38" s="131"/>
    </row>
    <row r="39" spans="6:15" x14ac:dyDescent="0.25">
      <c r="F39" s="115" t="s">
        <v>43</v>
      </c>
      <c r="G39" s="116"/>
      <c r="H39" s="131">
        <f>J26</f>
        <v>10450</v>
      </c>
      <c r="I39" s="104">
        <f>IF(Données!I29="Exonération de cotisation","",6.9%)</f>
        <v>6.9000000000000006E-2</v>
      </c>
      <c r="J39" s="132">
        <f>IF(Données!I29="Exonération de cotisation","",H39*I39)</f>
        <v>721.05000000000007</v>
      </c>
      <c r="K39" s="134">
        <v>8.5500000000000007E-2</v>
      </c>
      <c r="L39" s="131">
        <f>Données!J28*K39</f>
        <v>893.47500000000002</v>
      </c>
    </row>
    <row r="40" spans="6:15" x14ac:dyDescent="0.25">
      <c r="F40" s="115" t="s">
        <v>44</v>
      </c>
      <c r="G40" s="116"/>
      <c r="H40" s="131">
        <f>J26</f>
        <v>10450</v>
      </c>
      <c r="I40" s="104">
        <f>IF(Données!I29="Exonération de cotisation","",0.4%)</f>
        <v>4.0000000000000001E-3</v>
      </c>
      <c r="J40" s="132">
        <f>IF(Données!I29="Exonération de cotisation","",H40*I40)</f>
        <v>41.800000000000004</v>
      </c>
      <c r="K40" s="134">
        <v>2.0199999999999999E-2</v>
      </c>
      <c r="L40" s="131">
        <f>Données!J28*K40</f>
        <v>211.09</v>
      </c>
    </row>
    <row r="41" spans="6:15" x14ac:dyDescent="0.25">
      <c r="F41" s="117" t="s">
        <v>45</v>
      </c>
      <c r="G41" s="28"/>
      <c r="H41" s="131">
        <f>J26</f>
        <v>10450</v>
      </c>
      <c r="I41" s="104">
        <f>IF(Données!I29="Exonération de cotisation","",3.56%)</f>
        <v>3.56E-2</v>
      </c>
      <c r="J41" s="132">
        <f>IF(Données!I29="Exonération de cotisation","",H41*I41)</f>
        <v>372.02</v>
      </c>
      <c r="K41" s="134">
        <v>5.33E-2</v>
      </c>
      <c r="L41" s="131">
        <f>Données!J28*K41</f>
        <v>556.98500000000001</v>
      </c>
    </row>
    <row r="42" spans="6:15" x14ac:dyDescent="0.25">
      <c r="F42" s="117" t="s">
        <v>46</v>
      </c>
      <c r="G42" s="28"/>
      <c r="H42" s="131">
        <f>J26</f>
        <v>10450</v>
      </c>
      <c r="I42" s="104">
        <f>IF(Données!I29="Exonération de cotisation","",0.86%)</f>
        <v>8.6E-3</v>
      </c>
      <c r="J42" s="132">
        <f>IF(Données!I29="Exonération de cotisation","",H42*I42)</f>
        <v>89.87</v>
      </c>
      <c r="K42" s="134">
        <v>1.29E-2</v>
      </c>
      <c r="L42" s="131">
        <f>Données!J28*K42</f>
        <v>134.80500000000001</v>
      </c>
    </row>
    <row r="43" spans="6:15" x14ac:dyDescent="0.25">
      <c r="F43" s="113" t="s">
        <v>47</v>
      </c>
      <c r="G43" s="114"/>
      <c r="H43" s="131"/>
      <c r="I43" s="104"/>
      <c r="J43" s="133"/>
      <c r="K43" s="134"/>
      <c r="L43" s="131"/>
    </row>
    <row r="44" spans="6:15" x14ac:dyDescent="0.25">
      <c r="F44" s="119" t="str">
        <f>IF(Données!B33&lt;50,"FNAL (aide au logement)  &lt; 50 salariés","FNAL (aide au logement)  ≥  50 salariés")</f>
        <v>FNAL (aide au logement)  &lt; 50 salariés</v>
      </c>
      <c r="G44" s="120"/>
      <c r="H44" s="131">
        <f>J26</f>
        <v>10450</v>
      </c>
      <c r="I44" s="104">
        <f>IF(Données!I29="Exonération de cotisation","",IF(Données!B33&lt;50,0.1%,0.5%))</f>
        <v>1E-3</v>
      </c>
      <c r="J44" s="133">
        <f>IF(Données!I29="Exonération de cotisation","",H44*I44)</f>
        <v>10.450000000000001</v>
      </c>
      <c r="K44" s="134">
        <f>IF(Données!B33&lt;50,0.1%,0.5%)</f>
        <v>1E-3</v>
      </c>
      <c r="L44" s="131">
        <f>IF(H44="","",K44*H44)</f>
        <v>10.450000000000001</v>
      </c>
    </row>
    <row r="45" spans="6:15" x14ac:dyDescent="0.25">
      <c r="F45" s="119" t="s">
        <v>50</v>
      </c>
      <c r="G45" s="120"/>
      <c r="H45" s="131">
        <f>J26</f>
        <v>10450</v>
      </c>
      <c r="I45" s="104"/>
      <c r="J45" s="133"/>
      <c r="K45" s="135">
        <v>1.6000000000000001E-4</v>
      </c>
      <c r="L45" s="131">
        <f>H45*K45</f>
        <v>1.6720000000000002</v>
      </c>
    </row>
    <row r="46" spans="6:15" x14ac:dyDescent="0.25">
      <c r="F46" s="119" t="s">
        <v>51</v>
      </c>
      <c r="G46" s="120"/>
      <c r="H46" s="131">
        <f>J26</f>
        <v>10450</v>
      </c>
      <c r="I46" s="104"/>
      <c r="J46" s="133"/>
      <c r="K46" s="134">
        <v>3.0000000000000001E-3</v>
      </c>
      <c r="L46" s="131">
        <f>H46*K46</f>
        <v>31.35</v>
      </c>
    </row>
    <row r="47" spans="6:15" ht="15" customHeight="1" x14ac:dyDescent="0.25">
      <c r="F47" s="195" t="s">
        <v>127</v>
      </c>
      <c r="G47" s="196"/>
      <c r="H47" s="131">
        <f>J26</f>
        <v>10450</v>
      </c>
      <c r="I47" s="104"/>
      <c r="J47" s="133"/>
      <c r="K47" s="134">
        <v>0.08</v>
      </c>
      <c r="L47" s="131">
        <f>IF(Données!B33&gt;=11,H47*K47,0)</f>
        <v>836</v>
      </c>
    </row>
    <row r="48" spans="6:15" x14ac:dyDescent="0.25">
      <c r="F48" s="121" t="str">
        <f>IF(Données!B34="Non","Taxe d'apprentissage hors Alsace Moselle","Taxe d'apprentissage Alsace Moselle")</f>
        <v>Taxe d'apprentissage hors Alsace Moselle</v>
      </c>
      <c r="G48" s="122"/>
      <c r="H48" s="131">
        <f>J26</f>
        <v>10450</v>
      </c>
      <c r="I48" s="104"/>
      <c r="J48" s="133"/>
      <c r="K48" s="134">
        <f>IF(Données!B34="Non",0.68%,0.44%)</f>
        <v>6.8000000000000005E-3</v>
      </c>
      <c r="L48" s="131">
        <f>H48*K48</f>
        <v>71.06</v>
      </c>
      <c r="N48" s="16"/>
      <c r="O48" s="16"/>
    </row>
    <row r="49" spans="6:16" ht="26.25" customHeight="1" x14ac:dyDescent="0.25">
      <c r="F49" s="211" t="str">
        <f>IF(Données!B33&lt;11,"Contribution unique à la formation professionnelle entreprise &lt; 11 salariés","Contribution unique à la formation professionnelle entreprise &gt; 11 salariés")</f>
        <v>Contribution unique à la formation professionnelle entreprise &gt; 11 salariés</v>
      </c>
      <c r="G49" s="214"/>
      <c r="H49" s="131">
        <f>J26</f>
        <v>10450</v>
      </c>
      <c r="I49" s="104"/>
      <c r="J49" s="133"/>
      <c r="K49" s="134">
        <f>IF(Données!B33&lt;11,0.55%,1%)</f>
        <v>0.01</v>
      </c>
      <c r="L49" s="138">
        <f>H49*K49</f>
        <v>104.5</v>
      </c>
      <c r="N49" s="16"/>
      <c r="O49" s="16"/>
    </row>
    <row r="50" spans="6:16" x14ac:dyDescent="0.25">
      <c r="F50" s="121" t="s">
        <v>150</v>
      </c>
      <c r="G50" s="122"/>
      <c r="H50" s="131">
        <f>J26</f>
        <v>10450</v>
      </c>
      <c r="I50" s="104"/>
      <c r="J50" s="133"/>
      <c r="K50" s="134">
        <v>0.01</v>
      </c>
      <c r="L50" s="138">
        <f>IF(Données!B33&gt;=50,H50*K50,0*H50)</f>
        <v>0</v>
      </c>
      <c r="N50" s="37"/>
      <c r="O50" s="16"/>
      <c r="P50" s="63"/>
    </row>
    <row r="51" spans="6:16" ht="26.25" customHeight="1" x14ac:dyDescent="0.25">
      <c r="F51" s="121" t="s">
        <v>151</v>
      </c>
      <c r="G51" s="122"/>
      <c r="H51" s="131">
        <f>J26</f>
        <v>10450</v>
      </c>
      <c r="I51" s="104">
        <f>IF(Données!I29="Exonération de cotisation","",2.6%)</f>
        <v>2.6000000000000002E-2</v>
      </c>
      <c r="J51" s="133">
        <f>IF(Données!I29="Exonération de cotisation","",H51*I51)</f>
        <v>271.70000000000005</v>
      </c>
      <c r="K51" s="134">
        <f>Données!B35</f>
        <v>0.01</v>
      </c>
      <c r="L51" s="138">
        <f>H51*K51</f>
        <v>104.5</v>
      </c>
      <c r="N51" s="92"/>
      <c r="O51" s="16"/>
    </row>
    <row r="52" spans="6:16" x14ac:dyDescent="0.25">
      <c r="F52" s="143" t="s">
        <v>56</v>
      </c>
      <c r="G52" s="144"/>
      <c r="H52" s="131"/>
      <c r="I52" s="104"/>
      <c r="J52" s="133"/>
      <c r="K52" s="134"/>
      <c r="L52" s="131"/>
      <c r="N52" s="16"/>
      <c r="O52" s="16"/>
    </row>
    <row r="53" spans="6:16" ht="15.75" x14ac:dyDescent="0.25">
      <c r="F53" s="117" t="s">
        <v>156</v>
      </c>
      <c r="G53" s="28"/>
      <c r="H53" s="131">
        <f>J26</f>
        <v>10450</v>
      </c>
      <c r="I53" s="104"/>
      <c r="J53" s="154"/>
      <c r="K53" s="153">
        <f>(IF(Données!B33&lt;50,0.3194,0.3234)/0.6)*(((1.6*(Données!B14*12))/(H53*12)-1))</f>
        <v>-0.38831949014354078</v>
      </c>
      <c r="L53" s="152">
        <f>-(H53*12)*K53%</f>
        <v>486.95264064000014</v>
      </c>
      <c r="M53" s="150"/>
    </row>
    <row r="54" spans="6:16" x14ac:dyDescent="0.25">
      <c r="F54" s="117" t="s">
        <v>155</v>
      </c>
      <c r="G54" s="28"/>
      <c r="H54" s="131"/>
      <c r="I54" s="104"/>
      <c r="J54" s="133"/>
      <c r="K54" s="136">
        <f>IF(Données!B33&lt;20,1.5,0.5)</f>
        <v>0.5</v>
      </c>
      <c r="L54" s="138">
        <f>IF(Données!B33&lt;20,-SUM(Données!H24:H26)*K54,0)</f>
        <v>0</v>
      </c>
    </row>
    <row r="55" spans="6:16" x14ac:dyDescent="0.25">
      <c r="F55" s="117" t="s">
        <v>59</v>
      </c>
      <c r="G55" s="28"/>
      <c r="H55" s="131">
        <f>SUM(Données!H24:H25)</f>
        <v>0</v>
      </c>
      <c r="I55" s="104">
        <v>0.11310000000000001</v>
      </c>
      <c r="J55" s="132">
        <f>-H55*I55</f>
        <v>0</v>
      </c>
      <c r="K55" s="136"/>
      <c r="L55" s="138"/>
    </row>
    <row r="56" spans="6:16" x14ac:dyDescent="0.25">
      <c r="F56" s="117" t="s">
        <v>60</v>
      </c>
      <c r="G56" s="28"/>
      <c r="H56" s="131">
        <v>0</v>
      </c>
      <c r="I56" s="104">
        <v>0.11310000000000001</v>
      </c>
      <c r="J56" s="132">
        <f>H56*I56</f>
        <v>0</v>
      </c>
      <c r="K56" s="136"/>
      <c r="L56" s="138"/>
    </row>
    <row r="57" spans="6:16" x14ac:dyDescent="0.25">
      <c r="F57" s="29" t="s">
        <v>61</v>
      </c>
      <c r="G57" s="76"/>
      <c r="H57" s="110"/>
      <c r="I57" s="18"/>
      <c r="J57" s="146">
        <f>SUM(J28:J56)</f>
        <v>1735.8897999999999</v>
      </c>
      <c r="K57" s="137"/>
      <c r="L57" s="145">
        <f>SUM(L28:L56)</f>
        <v>5802.7416406400007</v>
      </c>
    </row>
    <row r="58" spans="6:16" x14ac:dyDescent="0.25">
      <c r="F58" s="124" t="s">
        <v>62</v>
      </c>
      <c r="G58" s="33"/>
      <c r="H58" s="16"/>
      <c r="I58" s="16"/>
      <c r="J58" s="16"/>
      <c r="K58" s="16"/>
      <c r="L58" s="17"/>
    </row>
    <row r="59" spans="6:16" x14ac:dyDescent="0.25">
      <c r="F59" s="117" t="s">
        <v>63</v>
      </c>
      <c r="G59" s="28"/>
      <c r="H59" s="34" t="str">
        <f>IF(Données!M27=0,"",Données!M27)</f>
        <v/>
      </c>
      <c r="I59" s="95" t="str">
        <f>IF(H59="","",Données!N27)</f>
        <v/>
      </c>
      <c r="J59" s="34" t="str">
        <f>IF(H59="","",H59*I59)</f>
        <v/>
      </c>
      <c r="K59" s="34"/>
      <c r="L59" s="35"/>
    </row>
    <row r="60" spans="6:16" x14ac:dyDescent="0.25">
      <c r="F60" s="117" t="s">
        <v>64</v>
      </c>
      <c r="G60" s="28"/>
      <c r="H60" s="34"/>
      <c r="I60" s="34"/>
      <c r="J60" s="34"/>
      <c r="K60" s="34"/>
      <c r="L60" s="35"/>
    </row>
    <row r="61" spans="6:16" x14ac:dyDescent="0.25">
      <c r="F61" s="117" t="s">
        <v>65</v>
      </c>
      <c r="G61" s="28"/>
      <c r="H61" s="34"/>
      <c r="I61" s="34"/>
      <c r="J61" s="34"/>
      <c r="K61" s="34"/>
      <c r="L61" s="35"/>
    </row>
    <row r="62" spans="6:16" x14ac:dyDescent="0.25">
      <c r="F62" s="117" t="s">
        <v>66</v>
      </c>
      <c r="G62" s="28"/>
      <c r="H62" s="34"/>
      <c r="I62" s="34"/>
      <c r="J62" s="34"/>
      <c r="K62" s="34"/>
      <c r="L62" s="35"/>
    </row>
    <row r="63" spans="6:16" ht="15" customHeight="1" x14ac:dyDescent="0.25">
      <c r="F63" s="117" t="s">
        <v>67</v>
      </c>
      <c r="G63" s="28"/>
      <c r="H63" s="34"/>
      <c r="I63" s="34"/>
      <c r="J63" s="34"/>
      <c r="K63" s="34"/>
      <c r="L63" s="35"/>
    </row>
    <row r="64" spans="6:16" ht="15" customHeight="1" x14ac:dyDescent="0.25">
      <c r="F64" s="124" t="s">
        <v>68</v>
      </c>
      <c r="G64" s="33"/>
      <c r="H64" s="34"/>
      <c r="I64" s="34"/>
      <c r="J64" s="34"/>
      <c r="K64" s="34"/>
      <c r="L64" s="35"/>
    </row>
    <row r="65" spans="6:20" x14ac:dyDescent="0.25">
      <c r="F65" s="117" t="s">
        <v>69</v>
      </c>
      <c r="G65" s="28"/>
      <c r="H65" s="34" t="str">
        <f>IF(Données!J51=0,"",Données!J48*Données!J51)</f>
        <v/>
      </c>
      <c r="I65" s="36" t="str">
        <f>IF(H65="","",Données!J49)</f>
        <v/>
      </c>
      <c r="J65" s="34" t="str">
        <f>IF(H65="","",H65*I65)</f>
        <v/>
      </c>
      <c r="K65" s="36"/>
      <c r="L65" s="35"/>
    </row>
    <row r="66" spans="6:20" ht="15" customHeight="1" x14ac:dyDescent="0.25">
      <c r="F66" s="117" t="s">
        <v>70</v>
      </c>
      <c r="G66" s="28"/>
      <c r="H66" s="34"/>
      <c r="I66" s="36"/>
      <c r="J66" s="37"/>
      <c r="K66" s="36"/>
      <c r="L66" s="17"/>
    </row>
    <row r="67" spans="6:20" x14ac:dyDescent="0.25">
      <c r="F67" s="117" t="s">
        <v>71</v>
      </c>
      <c r="G67" s="28"/>
      <c r="H67" s="34" t="str">
        <f>IF(Données!N22=0,"",Données!N22)</f>
        <v/>
      </c>
      <c r="I67" s="106" t="str">
        <f>IF(Données!O22=0,"",Données!O22)</f>
        <v/>
      </c>
      <c r="J67" s="37" t="str">
        <f>IF(Données!P22=0,"",Données!P22)</f>
        <v/>
      </c>
      <c r="K67" s="34"/>
      <c r="L67" s="35"/>
    </row>
    <row r="68" spans="6:20" x14ac:dyDescent="0.25">
      <c r="F68" s="117" t="s">
        <v>74</v>
      </c>
      <c r="G68" s="28"/>
      <c r="H68" s="34"/>
      <c r="I68" s="34"/>
      <c r="J68" s="37" t="str">
        <f>IF(Données!P25=0,"",Données!P25)</f>
        <v/>
      </c>
      <c r="K68" s="34"/>
      <c r="L68" s="35"/>
    </row>
    <row r="69" spans="6:20" ht="15" customHeight="1" x14ac:dyDescent="0.25">
      <c r="F69" s="117" t="str">
        <f>IF(R70="","","Saisie sur salaire")</f>
        <v/>
      </c>
      <c r="K69" s="34"/>
      <c r="L69" s="35"/>
    </row>
    <row r="70" spans="6:20" x14ac:dyDescent="0.25">
      <c r="F70" s="117" t="str">
        <f>IF(R71="","","Saisie pension alimentaire")</f>
        <v/>
      </c>
      <c r="K70" s="34"/>
      <c r="L70" s="35"/>
      <c r="Q70" s="28"/>
      <c r="R70" s="34"/>
      <c r="S70" s="34"/>
      <c r="T70" s="37"/>
    </row>
    <row r="71" spans="6:20" ht="18.75" x14ac:dyDescent="0.3">
      <c r="F71" s="189" t="s">
        <v>75</v>
      </c>
      <c r="G71" s="190"/>
      <c r="H71" s="190"/>
      <c r="I71" s="190"/>
      <c r="J71" s="190"/>
      <c r="K71" s="190"/>
      <c r="L71" s="38">
        <f>J26-J57+SUM(J59:J63)-SUM(J65:J69)</f>
        <v>8714.1101999999992</v>
      </c>
      <c r="Q71" s="28"/>
      <c r="R71" s="34"/>
      <c r="S71" s="34"/>
      <c r="T71" s="37"/>
    </row>
    <row r="72" spans="6:20" x14ac:dyDescent="0.25">
      <c r="F72" s="117" t="s">
        <v>76</v>
      </c>
      <c r="G72" s="28"/>
      <c r="H72" s="16"/>
      <c r="I72" s="16"/>
      <c r="J72" s="16"/>
      <c r="K72" s="16"/>
      <c r="L72" s="39">
        <f>(H36*3.15%)</f>
        <v>329.17500000000001</v>
      </c>
    </row>
    <row r="73" spans="6:20" ht="15" customHeight="1" x14ac:dyDescent="0.25">
      <c r="F73" s="215" t="s">
        <v>77</v>
      </c>
      <c r="G73" s="216"/>
      <c r="H73" s="217"/>
      <c r="I73" s="40" t="s">
        <v>30</v>
      </c>
      <c r="J73" s="192" t="s">
        <v>78</v>
      </c>
      <c r="K73" s="193"/>
      <c r="L73" s="40" t="s">
        <v>23</v>
      </c>
    </row>
    <row r="74" spans="6:20" x14ac:dyDescent="0.25">
      <c r="F74" s="212" t="s">
        <v>79</v>
      </c>
      <c r="G74" s="218"/>
      <c r="H74" s="213"/>
      <c r="I74" s="173">
        <f>H75</f>
        <v>8754.1121999999996</v>
      </c>
      <c r="J74" s="219">
        <v>0</v>
      </c>
      <c r="K74" s="220"/>
      <c r="L74" s="31">
        <f>I74*J74</f>
        <v>0</v>
      </c>
    </row>
    <row r="75" spans="6:20" x14ac:dyDescent="0.25">
      <c r="F75" s="212" t="s">
        <v>80</v>
      </c>
      <c r="G75" s="213"/>
      <c r="H75" s="229">
        <f>J26-(SUM(J21:J23))-J57+IF(L30="",0,L30)</f>
        <v>8754.1121999999996</v>
      </c>
      <c r="I75" s="213"/>
      <c r="J75" s="231" t="s">
        <v>81</v>
      </c>
      <c r="K75" s="232"/>
      <c r="L75" s="233"/>
    </row>
    <row r="76" spans="6:20" ht="15.75" x14ac:dyDescent="0.25">
      <c r="F76" s="44"/>
      <c r="G76" s="16"/>
      <c r="H76" s="16"/>
      <c r="I76" s="16"/>
      <c r="J76" s="234">
        <f>L71-L74</f>
        <v>8714.1101999999992</v>
      </c>
      <c r="K76" s="235"/>
      <c r="L76" s="236"/>
    </row>
    <row r="77" spans="6:20" x14ac:dyDescent="0.25">
      <c r="F77" s="41"/>
      <c r="G77" s="42"/>
      <c r="H77" s="42"/>
      <c r="I77" s="237" t="s">
        <v>82</v>
      </c>
      <c r="J77" s="238"/>
      <c r="K77" s="239"/>
      <c r="L77" s="43">
        <f>-(L54+L53)+(H34*1.8%)+(J26*6%)</f>
        <v>328.14735935999988</v>
      </c>
      <c r="M77">
        <f>IF(J26&lt;(1.6*Données!B14),0,0)</f>
        <v>0</v>
      </c>
    </row>
    <row r="78" spans="6:20" x14ac:dyDescent="0.25">
      <c r="F78" s="44"/>
      <c r="G78" s="16"/>
      <c r="H78" s="16"/>
      <c r="I78" s="240" t="s">
        <v>83</v>
      </c>
      <c r="J78" s="241"/>
      <c r="K78" s="242"/>
      <c r="L78" s="45">
        <f>J26+L57+SUM(J59:J63)</f>
        <v>16252.741640640001</v>
      </c>
    </row>
    <row r="79" spans="6:20" ht="15" customHeight="1" x14ac:dyDescent="0.25">
      <c r="F79" s="221" t="s">
        <v>84</v>
      </c>
      <c r="G79" s="222"/>
      <c r="H79" s="222"/>
      <c r="I79" s="222"/>
      <c r="J79" s="223"/>
      <c r="K79" s="224" t="s">
        <v>85</v>
      </c>
      <c r="L79" s="225"/>
    </row>
    <row r="80" spans="6:20" ht="45.75" customHeight="1" x14ac:dyDescent="0.25">
      <c r="F80" s="226" t="s">
        <v>86</v>
      </c>
      <c r="G80" s="227"/>
      <c r="H80" s="227"/>
      <c r="I80" s="227"/>
      <c r="J80" s="227"/>
      <c r="K80" s="227"/>
      <c r="L80" s="228"/>
    </row>
  </sheetData>
  <mergeCells count="21">
    <mergeCell ref="F71:K71"/>
    <mergeCell ref="F73:H73"/>
    <mergeCell ref="J73:K73"/>
    <mergeCell ref="F74:H74"/>
    <mergeCell ref="J74:K74"/>
    <mergeCell ref="J18:L18"/>
    <mergeCell ref="F80:L80"/>
    <mergeCell ref="F49:G49"/>
    <mergeCell ref="F4:L5"/>
    <mergeCell ref="J15:L15"/>
    <mergeCell ref="J16:L16"/>
    <mergeCell ref="J17:L17"/>
    <mergeCell ref="H75:I75"/>
    <mergeCell ref="J75:L75"/>
    <mergeCell ref="J76:L76"/>
    <mergeCell ref="I77:K77"/>
    <mergeCell ref="I78:K78"/>
    <mergeCell ref="F79:J79"/>
    <mergeCell ref="K79:L79"/>
    <mergeCell ref="F75:G75"/>
    <mergeCell ref="F47:G47"/>
  </mergeCells>
  <hyperlinks>
    <hyperlink ref="A8" r:id="rId1"/>
    <hyperlink ref="K79" r:id="rId2"/>
    <hyperlink ref="A10" r:id="rId3"/>
  </hyperlinks>
  <pageMargins left="0.7" right="0.7" top="0.75" bottom="0.75" header="0.3" footer="0.3"/>
  <pageSetup paperSize="9" scale="40" orientation="portrait" r:id="rId4"/>
  <legacyDrawing r:id="rId5"/>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F4:L88"/>
  <sheetViews>
    <sheetView topLeftCell="D25" workbookViewId="0">
      <selection activeCell="H58" sqref="H58"/>
    </sheetView>
  </sheetViews>
  <sheetFormatPr baseColWidth="10" defaultRowHeight="15" x14ac:dyDescent="0.25"/>
  <cols>
    <col min="1" max="3" width="0" hidden="1" customWidth="1"/>
    <col min="7" max="7" width="27" customWidth="1"/>
  </cols>
  <sheetData>
    <row r="4" spans="6:12" ht="15" customHeight="1" x14ac:dyDescent="0.25">
      <c r="F4" s="199" t="s">
        <v>0</v>
      </c>
      <c r="G4" s="200"/>
      <c r="H4" s="200"/>
      <c r="I4" s="200"/>
      <c r="J4" s="200"/>
      <c r="K4" s="200"/>
      <c r="L4" s="201"/>
    </row>
    <row r="5" spans="6:12" ht="15" customHeight="1" x14ac:dyDescent="0.25">
      <c r="F5" s="202"/>
      <c r="G5" s="203"/>
      <c r="H5" s="203"/>
      <c r="I5" s="203"/>
      <c r="J5" s="203"/>
      <c r="K5" s="203"/>
      <c r="L5" s="204"/>
    </row>
    <row r="6" spans="6:12" ht="15" customHeight="1" x14ac:dyDescent="0.25">
      <c r="F6" s="3" t="s">
        <v>4</v>
      </c>
      <c r="G6" s="5"/>
      <c r="H6" s="4"/>
      <c r="I6" s="3" t="s">
        <v>157</v>
      </c>
      <c r="J6" s="157"/>
      <c r="K6" s="6" t="s">
        <v>158</v>
      </c>
      <c r="L6" s="4"/>
    </row>
    <row r="7" spans="6:12" ht="15" customHeight="1" x14ac:dyDescent="0.25">
      <c r="F7" s="7" t="s">
        <v>7</v>
      </c>
      <c r="G7" s="9"/>
      <c r="H7" s="8"/>
      <c r="I7" s="7"/>
      <c r="J7" s="9"/>
      <c r="K7" s="10"/>
      <c r="L7" s="8"/>
    </row>
    <row r="8" spans="6:12" ht="15" customHeight="1" x14ac:dyDescent="0.25">
      <c r="F8" s="7"/>
      <c r="G8" s="9"/>
      <c r="H8" s="8"/>
      <c r="I8" s="7"/>
      <c r="J8" s="9"/>
      <c r="K8" s="9"/>
      <c r="L8" s="8"/>
    </row>
    <row r="9" spans="6:12" ht="15" customHeight="1" x14ac:dyDescent="0.25">
      <c r="F9" s="7" t="s">
        <v>10</v>
      </c>
      <c r="G9" s="9"/>
      <c r="H9" s="8"/>
      <c r="I9" s="7"/>
      <c r="J9" s="9" t="s">
        <v>11</v>
      </c>
      <c r="K9" s="9"/>
      <c r="L9" s="8"/>
    </row>
    <row r="10" spans="6:12" ht="15" customHeight="1" x14ac:dyDescent="0.25">
      <c r="F10" s="7" t="s">
        <v>12</v>
      </c>
      <c r="G10" s="9"/>
      <c r="H10" s="8"/>
      <c r="I10" s="7"/>
      <c r="J10" s="9"/>
      <c r="K10" s="9"/>
      <c r="L10" s="8"/>
    </row>
    <row r="11" spans="6:12" ht="15" customHeight="1" x14ac:dyDescent="0.25">
      <c r="F11" s="7" t="s">
        <v>13</v>
      </c>
      <c r="G11" s="9"/>
      <c r="H11" s="8"/>
      <c r="I11" s="7"/>
      <c r="J11" s="9"/>
      <c r="K11" s="9"/>
      <c r="L11" s="8"/>
    </row>
    <row r="12" spans="6:12" ht="15" customHeight="1" x14ac:dyDescent="0.25">
      <c r="F12" s="11" t="s">
        <v>14</v>
      </c>
      <c r="G12" s="13"/>
      <c r="H12" s="12"/>
      <c r="I12" s="11"/>
      <c r="J12" s="13"/>
      <c r="K12" s="13"/>
      <c r="L12" s="14"/>
    </row>
    <row r="13" spans="6:12" ht="15" customHeight="1" x14ac:dyDescent="0.25">
      <c r="F13" s="7" t="str">
        <f>"Emploi : " &amp; Données!E19</f>
        <v xml:space="preserve">Emploi : </v>
      </c>
      <c r="G13" s="9"/>
      <c r="H13" s="9"/>
      <c r="I13" s="159" t="str">
        <f>"Salarié : " &amp; Données!E18</f>
        <v xml:space="preserve">Salarié : </v>
      </c>
      <c r="J13" s="158"/>
      <c r="K13" s="158"/>
      <c r="L13" s="160"/>
    </row>
    <row r="14" spans="6:12" ht="15" customHeight="1" x14ac:dyDescent="0.25">
      <c r="F14" s="7" t="str">
        <f>"Statut : " &amp; Données!E20</f>
        <v>Statut : Cadre dirigeant</v>
      </c>
      <c r="G14" s="9"/>
      <c r="H14" s="9"/>
      <c r="I14" s="9" t="s">
        <v>7</v>
      </c>
      <c r="J14" s="158"/>
      <c r="K14" s="158"/>
      <c r="L14" s="160"/>
    </row>
    <row r="15" spans="6:12" ht="15" customHeight="1" x14ac:dyDescent="0.25">
      <c r="F15" s="7" t="s">
        <v>18</v>
      </c>
      <c r="G15" s="9"/>
      <c r="H15" s="161"/>
      <c r="I15" s="9"/>
      <c r="J15" s="205"/>
      <c r="K15" s="205"/>
      <c r="L15" s="206"/>
    </row>
    <row r="16" spans="6:12" ht="15" customHeight="1" x14ac:dyDescent="0.25">
      <c r="F16" s="7" t="s">
        <v>166</v>
      </c>
      <c r="G16" s="9"/>
      <c r="H16" s="72"/>
      <c r="I16" s="9"/>
      <c r="J16" s="207"/>
      <c r="K16" s="207"/>
      <c r="L16" s="208"/>
    </row>
    <row r="17" spans="6:12" ht="15" customHeight="1" x14ac:dyDescent="0.25">
      <c r="F17" s="163"/>
      <c r="G17" s="9"/>
      <c r="H17" s="161"/>
      <c r="I17" s="9"/>
      <c r="J17" s="207"/>
      <c r="K17" s="207"/>
      <c r="L17" s="208"/>
    </row>
    <row r="18" spans="6:12" ht="15" customHeight="1" x14ac:dyDescent="0.25">
      <c r="F18" s="156" t="s">
        <v>117</v>
      </c>
      <c r="G18" s="78">
        <f>Données!B20</f>
        <v>45444</v>
      </c>
      <c r="H18" s="73" t="s">
        <v>114</v>
      </c>
      <c r="I18" s="13"/>
      <c r="J18" s="209"/>
      <c r="K18" s="209"/>
      <c r="L18" s="210"/>
    </row>
    <row r="19" spans="6:12" ht="15" customHeight="1" x14ac:dyDescent="0.25">
      <c r="F19" s="44"/>
      <c r="G19" s="16"/>
      <c r="H19" s="34" t="s">
        <v>21</v>
      </c>
      <c r="I19" s="34" t="s">
        <v>22</v>
      </c>
      <c r="J19" s="34" t="s">
        <v>23</v>
      </c>
      <c r="K19" s="16"/>
      <c r="L19" s="15"/>
    </row>
    <row r="20" spans="6:12" ht="15" customHeight="1" x14ac:dyDescent="0.25">
      <c r="F20" s="44" t="s">
        <v>24</v>
      </c>
      <c r="G20" s="16"/>
      <c r="H20" s="34" t="str">
        <f>Données!J23</f>
        <v/>
      </c>
      <c r="I20" s="37" t="str">
        <f>Données!J27</f>
        <v/>
      </c>
      <c r="J20" s="37">
        <f>Données!J28</f>
        <v>10450</v>
      </c>
      <c r="K20" s="16"/>
      <c r="L20" s="17"/>
    </row>
    <row r="21" spans="6:12" ht="15" customHeight="1" x14ac:dyDescent="0.25">
      <c r="F21" s="44" t="str">
        <f>IF(Données!F24=0,"","Heure supplémentaire mensualisé")</f>
        <v/>
      </c>
      <c r="G21" s="16"/>
      <c r="H21" s="37" t="str">
        <f>IF(Données!F24=0,"",Données!F24)</f>
        <v/>
      </c>
      <c r="I21" s="37" t="str">
        <f>IF(H21="","",Données!G24)</f>
        <v/>
      </c>
      <c r="J21" s="37" t="str">
        <f>IF(Données!H24=0,"",Données!H24)</f>
        <v/>
      </c>
      <c r="K21" s="16"/>
      <c r="L21" s="17"/>
    </row>
    <row r="22" spans="6:12" ht="15" customHeight="1" x14ac:dyDescent="0.25">
      <c r="F22" s="44" t="str">
        <f>IF(Données!F29="Oui","","Heures supplémentaires 25%")</f>
        <v/>
      </c>
      <c r="G22" s="16"/>
      <c r="H22" s="37" t="str">
        <f>IF(Données!F25=0,"",Données!F25)</f>
        <v/>
      </c>
      <c r="I22" s="37" t="str">
        <f>IF(H22="","",Données!G25)</f>
        <v/>
      </c>
      <c r="J22" s="111" t="str">
        <f>IF(H22="","",Données!H25)</f>
        <v/>
      </c>
      <c r="K22" s="37"/>
      <c r="L22" s="17"/>
    </row>
    <row r="23" spans="6:12" ht="15" customHeight="1" x14ac:dyDescent="0.25">
      <c r="F23" s="44" t="str">
        <f>IF(Données!F29="Oui","","Heures supplémentaires 50%")</f>
        <v/>
      </c>
      <c r="G23" s="16"/>
      <c r="H23" s="37" t="str">
        <f>IF(Données!F26=0,"",Données!F26)</f>
        <v/>
      </c>
      <c r="I23" s="37" t="str">
        <f>IF(H23="","",Données!G26)</f>
        <v/>
      </c>
      <c r="J23" s="111" t="str">
        <f>IF(H23="","",Données!H26)</f>
        <v/>
      </c>
      <c r="K23" s="16"/>
      <c r="L23" s="17"/>
    </row>
    <row r="24" spans="6:12" ht="15" customHeight="1" x14ac:dyDescent="0.25">
      <c r="F24" s="44"/>
      <c r="G24" s="16"/>
      <c r="H24" s="34"/>
      <c r="I24" s="37"/>
      <c r="J24" s="111"/>
      <c r="K24" s="16"/>
      <c r="L24" s="17"/>
    </row>
    <row r="25" spans="6:12" ht="15" customHeight="1" x14ac:dyDescent="0.25">
      <c r="F25" s="44" t="s">
        <v>27</v>
      </c>
      <c r="G25" s="16"/>
      <c r="H25" s="34" t="str">
        <f>IF(Données!F23=0,"",Données!F23)</f>
        <v/>
      </c>
      <c r="I25" s="37" t="str">
        <f>IF(H25="","",Données!J27)</f>
        <v/>
      </c>
      <c r="J25" s="111" t="str">
        <f>IF(Données!H23="","",Données!H23)</f>
        <v/>
      </c>
      <c r="K25" s="16"/>
      <c r="L25" s="17"/>
    </row>
    <row r="26" spans="6:12" ht="15" customHeight="1" x14ac:dyDescent="0.25">
      <c r="F26" s="126" t="s">
        <v>28</v>
      </c>
      <c r="G26" s="127"/>
      <c r="H26" s="127"/>
      <c r="I26" s="127"/>
      <c r="J26" s="128">
        <f>SUM(J20:J23)-IF(J25="",0,J25)</f>
        <v>10450</v>
      </c>
      <c r="K26" s="18"/>
      <c r="L26" s="19"/>
    </row>
    <row r="27" spans="6:12" ht="15" customHeight="1" x14ac:dyDescent="0.25">
      <c r="F27" s="113" t="s">
        <v>29</v>
      </c>
      <c r="G27" s="114"/>
      <c r="H27" s="130" t="s">
        <v>30</v>
      </c>
      <c r="I27" s="130" t="s">
        <v>31</v>
      </c>
      <c r="J27" s="130" t="s">
        <v>32</v>
      </c>
      <c r="K27" s="130" t="s">
        <v>33</v>
      </c>
      <c r="L27" s="130" t="s">
        <v>23</v>
      </c>
    </row>
    <row r="28" spans="6:12" ht="15" customHeight="1" x14ac:dyDescent="0.25">
      <c r="F28" s="115" t="s">
        <v>34</v>
      </c>
      <c r="G28" s="116"/>
      <c r="H28" s="86">
        <f>J26</f>
        <v>10450</v>
      </c>
      <c r="I28" s="139">
        <f>IF(J26&lt;(2.5*Données!B14),7%,13%)</f>
        <v>0.13</v>
      </c>
      <c r="J28" s="169">
        <f>I28*H28</f>
        <v>1358.5</v>
      </c>
      <c r="K28" s="141">
        <f>IF(Données!J28&lt;=(2.5*Données!B14),7%,13%)</f>
        <v>0.13</v>
      </c>
      <c r="L28" s="86">
        <f>H28*K28</f>
        <v>1358.5</v>
      </c>
    </row>
    <row r="29" spans="6:12" ht="15" customHeight="1" x14ac:dyDescent="0.25">
      <c r="F29" s="115" t="s">
        <v>152</v>
      </c>
      <c r="G29" s="116"/>
      <c r="H29" s="131">
        <f>IF(Données!K34=0,"",J26)</f>
        <v>10450</v>
      </c>
      <c r="I29" s="104">
        <f>IF(Données!K34=0,"",Données!K34)</f>
        <v>0.02</v>
      </c>
      <c r="J29" s="132">
        <f>IF(H29="","",H29*I29)</f>
        <v>209</v>
      </c>
      <c r="K29" s="134">
        <f>IF(Données!L34=0,"",Données!L34)</f>
        <v>2.4E-2</v>
      </c>
      <c r="L29" s="131">
        <f>IF(H29="","",K29*H29)</f>
        <v>250.8</v>
      </c>
    </row>
    <row r="30" spans="6:12" ht="15" customHeight="1" x14ac:dyDescent="0.25">
      <c r="F30" s="117" t="s">
        <v>134</v>
      </c>
      <c r="G30" s="28"/>
      <c r="H30" s="131">
        <f>IF(Données!J33=0,"",Données!J33)</f>
        <v>60</v>
      </c>
      <c r="I30" s="104">
        <f>IF(Données!J33=0,"",Données!K33)</f>
        <v>0.33333000000000002</v>
      </c>
      <c r="J30" s="132">
        <f>IF(H30="","",H30*I30)</f>
        <v>19.9998</v>
      </c>
      <c r="K30" s="134">
        <f>IF(Données!J33=0,"",Données!L33)</f>
        <v>0.66669999999999996</v>
      </c>
      <c r="L30" s="131">
        <f>IF(H30="","",H30*K30)</f>
        <v>40.001999999999995</v>
      </c>
    </row>
    <row r="31" spans="6:12" ht="15" customHeight="1" x14ac:dyDescent="0.25">
      <c r="F31" s="113" t="s">
        <v>36</v>
      </c>
      <c r="G31" s="114"/>
      <c r="H31" s="131">
        <f>J26</f>
        <v>10450</v>
      </c>
      <c r="I31" s="104"/>
      <c r="J31" s="132"/>
      <c r="K31" s="134">
        <f>Données!J35</f>
        <v>1.2999999999999999E-2</v>
      </c>
      <c r="L31" s="131">
        <f>H31*K31</f>
        <v>135.85</v>
      </c>
    </row>
    <row r="32" spans="6:12" ht="15" customHeight="1" x14ac:dyDescent="0.25">
      <c r="F32" s="118"/>
      <c r="G32" s="58"/>
      <c r="H32" s="131"/>
      <c r="I32" s="104"/>
      <c r="J32" s="132"/>
      <c r="K32" s="134"/>
      <c r="L32" s="131"/>
    </row>
    <row r="33" spans="6:12" ht="15" customHeight="1" x14ac:dyDescent="0.25">
      <c r="F33" s="113" t="s">
        <v>37</v>
      </c>
      <c r="G33" s="114"/>
      <c r="H33" s="131"/>
      <c r="I33" s="104"/>
      <c r="J33" s="132"/>
      <c r="K33" s="134"/>
      <c r="L33" s="131"/>
    </row>
    <row r="34" spans="6:12" ht="15" customHeight="1" x14ac:dyDescent="0.25">
      <c r="F34" s="115" t="s">
        <v>38</v>
      </c>
      <c r="G34" s="116"/>
      <c r="H34" s="131">
        <f>J26</f>
        <v>10450</v>
      </c>
      <c r="I34" s="104"/>
      <c r="J34" s="132"/>
      <c r="K34" s="142">
        <f>IF(Données!J28&lt;=(3.5*Données!B14),3.45%,5.25%)</f>
        <v>5.2499999999999998E-2</v>
      </c>
      <c r="L34" s="131">
        <f>H34*K34</f>
        <v>548.625</v>
      </c>
    </row>
    <row r="35" spans="6:12" ht="15" customHeight="1" x14ac:dyDescent="0.25">
      <c r="F35" s="113" t="s">
        <v>39</v>
      </c>
      <c r="G35" s="114"/>
      <c r="H35" s="131"/>
      <c r="I35" s="104"/>
      <c r="J35" s="133"/>
      <c r="K35" s="134"/>
      <c r="L35" s="131"/>
    </row>
    <row r="36" spans="6:12" ht="15" customHeight="1" x14ac:dyDescent="0.25">
      <c r="F36" s="117" t="s">
        <v>181</v>
      </c>
      <c r="G36" s="28"/>
      <c r="H36" s="131">
        <f>IF(J26&lt;=Données!B13,J26,Données!B13)</f>
        <v>3864</v>
      </c>
      <c r="I36" s="104">
        <v>4.0500000000000001E-2</v>
      </c>
      <c r="J36" s="133">
        <f>I36*H36</f>
        <v>156.49200000000002</v>
      </c>
      <c r="K36" s="134">
        <v>4.0500000000000001E-2</v>
      </c>
      <c r="L36" s="131">
        <f>H36*K36</f>
        <v>156.49200000000002</v>
      </c>
    </row>
    <row r="37" spans="6:12" ht="15" customHeight="1" x14ac:dyDescent="0.25">
      <c r="F37" s="117" t="s">
        <v>182</v>
      </c>
      <c r="G37" s="28"/>
      <c r="H37" s="131">
        <f>IF(J26&lt;=(4*Données!B13),Données!J28-Données!B13,(4*Données!B13))</f>
        <v>6586</v>
      </c>
      <c r="I37" s="104">
        <v>4.0500000000000001E-2</v>
      </c>
      <c r="J37" s="133">
        <f>I37*H37</f>
        <v>266.733</v>
      </c>
      <c r="K37" s="134">
        <v>4.0500000000000001E-2</v>
      </c>
      <c r="L37" s="131">
        <f>K37*H37</f>
        <v>266.733</v>
      </c>
    </row>
    <row r="38" spans="6:12" ht="15" customHeight="1" x14ac:dyDescent="0.25">
      <c r="F38" s="117" t="s">
        <v>41</v>
      </c>
      <c r="G38" s="28"/>
      <c r="H38" s="131">
        <f>IF(J26&lt;=(4*Données!B13),J26,(4*Données!B13))</f>
        <v>10450</v>
      </c>
      <c r="I38" s="104">
        <v>2.5000000000000001E-3</v>
      </c>
      <c r="J38" s="132">
        <f>I38*H38</f>
        <v>26.125</v>
      </c>
      <c r="K38" s="134">
        <v>2.5000000000000001E-3</v>
      </c>
      <c r="L38" s="131">
        <f>H38*K38</f>
        <v>26.125</v>
      </c>
    </row>
    <row r="39" spans="6:12" ht="15" customHeight="1" x14ac:dyDescent="0.25">
      <c r="F39" s="113" t="s">
        <v>42</v>
      </c>
      <c r="G39" s="114"/>
      <c r="H39" s="131"/>
      <c r="I39" s="104"/>
      <c r="J39" s="133"/>
      <c r="K39" s="134"/>
      <c r="L39" s="131"/>
    </row>
    <row r="40" spans="6:12" ht="15" customHeight="1" x14ac:dyDescent="0.25">
      <c r="F40" s="115" t="s">
        <v>43</v>
      </c>
      <c r="G40" s="116"/>
      <c r="H40" s="131">
        <f>IF(J26&lt;=Données!B13,J26,Données!B13)</f>
        <v>3864</v>
      </c>
      <c r="I40" s="104">
        <f>IF(Données!I29="Exonération de cotisation","",6.9%)</f>
        <v>6.9000000000000006E-2</v>
      </c>
      <c r="J40" s="132">
        <f>IF(Données!I29="Exonération de cotisation","",H40*I40)</f>
        <v>266.61600000000004</v>
      </c>
      <c r="K40" s="134">
        <v>8.5500000000000007E-2</v>
      </c>
      <c r="L40" s="131">
        <f>Données!J28*K40</f>
        <v>893.47500000000002</v>
      </c>
    </row>
    <row r="41" spans="6:12" ht="15" customHeight="1" x14ac:dyDescent="0.25">
      <c r="F41" s="115" t="s">
        <v>44</v>
      </c>
      <c r="G41" s="116"/>
      <c r="H41" s="131">
        <f>J26</f>
        <v>10450</v>
      </c>
      <c r="I41" s="104">
        <f>IF(Données!I29="Exonération de cotisation","",0.4%)</f>
        <v>4.0000000000000001E-3</v>
      </c>
      <c r="J41" s="132">
        <f>IF(Données!I29="Exonération de cotisation","",H41*I41)</f>
        <v>41.800000000000004</v>
      </c>
      <c r="K41" s="134">
        <v>2.0199999999999999E-2</v>
      </c>
      <c r="L41" s="131">
        <f>Données!J28*K41</f>
        <v>211.09</v>
      </c>
    </row>
    <row r="42" spans="6:12" ht="15" customHeight="1" x14ac:dyDescent="0.25">
      <c r="F42" s="117" t="s">
        <v>45</v>
      </c>
      <c r="G42" s="28"/>
      <c r="H42" s="131">
        <f>IF(J26&lt;=Données!B13,J26,Données!B13)</f>
        <v>3864</v>
      </c>
      <c r="I42" s="104">
        <f>IF(Données!I29="Exonération de cotisation","",3.56%)</f>
        <v>3.56E-2</v>
      </c>
      <c r="J42" s="132">
        <f>IF(Données!I29="Exonération de cotisation","",H42*I42)</f>
        <v>137.55840000000001</v>
      </c>
      <c r="K42" s="134">
        <v>5.33E-2</v>
      </c>
      <c r="L42" s="131">
        <f>Données!J28*K42</f>
        <v>556.98500000000001</v>
      </c>
    </row>
    <row r="43" spans="6:12" ht="15" customHeight="1" x14ac:dyDescent="0.25">
      <c r="F43" s="117" t="s">
        <v>168</v>
      </c>
      <c r="G43" s="28"/>
      <c r="H43" s="131">
        <f>IF(J26&lt;=(8*Données!B13),Données!J28-Données!B13,(8*Données!B13))</f>
        <v>6586</v>
      </c>
      <c r="I43" s="104">
        <v>8.6400000000000005E-2</v>
      </c>
      <c r="J43" s="132">
        <f>I43*H43</f>
        <v>569.03039999999999</v>
      </c>
      <c r="K43" s="134">
        <v>0.1295</v>
      </c>
      <c r="L43" s="131">
        <f>K43*H43</f>
        <v>852.88700000000006</v>
      </c>
    </row>
    <row r="44" spans="6:12" ht="15" customHeight="1" x14ac:dyDescent="0.25">
      <c r="F44" s="117" t="s">
        <v>169</v>
      </c>
      <c r="G44" s="28"/>
      <c r="H44" s="131">
        <f>IF(J26&lt;=Données!B13,J26,Données!B13)</f>
        <v>3864</v>
      </c>
      <c r="I44" s="168">
        <v>2.4000000000000001E-4</v>
      </c>
      <c r="J44" s="132">
        <f>I44*H44</f>
        <v>0.92736000000000007</v>
      </c>
      <c r="K44" s="135">
        <v>3.6000000000000002E-4</v>
      </c>
      <c r="L44" s="131">
        <f>K44*H44</f>
        <v>1.3910400000000001</v>
      </c>
    </row>
    <row r="45" spans="6:12" ht="15" customHeight="1" x14ac:dyDescent="0.25">
      <c r="F45" s="117" t="s">
        <v>170</v>
      </c>
      <c r="G45" s="28"/>
      <c r="H45" s="131">
        <f>IF(J26&lt;=(8*Données!B13),Données!J28-Données!B13,(8*Données!B13))</f>
        <v>6586</v>
      </c>
      <c r="I45" s="168">
        <v>2.4000000000000001E-4</v>
      </c>
      <c r="J45" s="132">
        <f>I45*H45</f>
        <v>1.58064</v>
      </c>
      <c r="K45" s="135">
        <v>3.6000000000000002E-4</v>
      </c>
      <c r="L45" s="131">
        <f>K45*H45</f>
        <v>2.3709600000000002</v>
      </c>
    </row>
    <row r="46" spans="6:12" ht="15" customHeight="1" x14ac:dyDescent="0.25">
      <c r="F46" s="117" t="s">
        <v>179</v>
      </c>
      <c r="G46" s="28"/>
      <c r="H46" s="131">
        <f>J26</f>
        <v>10450</v>
      </c>
      <c r="I46" s="104">
        <v>0.02</v>
      </c>
      <c r="J46" s="132">
        <f>I46*H46</f>
        <v>209</v>
      </c>
      <c r="K46" s="134">
        <v>2.4E-2</v>
      </c>
      <c r="L46" s="131">
        <f>K46*H46</f>
        <v>250.8</v>
      </c>
    </row>
    <row r="47" spans="6:12" ht="15" customHeight="1" x14ac:dyDescent="0.25">
      <c r="F47" s="117" t="str">
        <f>IF(Données!J28&gt;Données!B13,"Contribution d'équilibre Technique CET","")</f>
        <v>Contribution d'équilibre Technique CET</v>
      </c>
      <c r="G47" s="28"/>
      <c r="H47" s="131">
        <f>IF(J26&lt;=(8*Données!B13),IF(F47="","",SUM(H42:H43)),8*Données!B13)</f>
        <v>10450</v>
      </c>
      <c r="I47" s="104">
        <f>IF(H47="","",0.14%)</f>
        <v>1.4000000000000002E-3</v>
      </c>
      <c r="J47" s="132">
        <f>IF(H47="","",I47*H47)</f>
        <v>14.630000000000003</v>
      </c>
      <c r="K47" s="134">
        <f>IF(H47="","",0.21%)</f>
        <v>2.0999999999999999E-3</v>
      </c>
      <c r="L47" s="131">
        <f>IF(H47="","",K47*H47)</f>
        <v>21.945</v>
      </c>
    </row>
    <row r="48" spans="6:12" ht="15" customHeight="1" x14ac:dyDescent="0.25">
      <c r="F48" s="113" t="s">
        <v>47</v>
      </c>
      <c r="G48" s="114"/>
      <c r="H48" s="131"/>
      <c r="I48" s="104"/>
      <c r="J48" s="133"/>
      <c r="K48" s="134"/>
      <c r="L48" s="131"/>
    </row>
    <row r="49" spans="6:12" ht="15" customHeight="1" x14ac:dyDescent="0.25">
      <c r="F49" s="119" t="str">
        <f>IF(Données!B33&lt;50,"FNAL (aide au logement)  &lt; 50 salariés","FNAL (aide au logement)  ≥  50 salariés")</f>
        <v>FNAL (aide au logement)  &lt; 50 salariés</v>
      </c>
      <c r="G49" s="120"/>
      <c r="H49" s="131">
        <f>J26</f>
        <v>10450</v>
      </c>
      <c r="I49" s="104">
        <f>IF(Données!I29="Exonération de cotisation","",IF(Données!B33&lt;50,0.1%,0.5%))</f>
        <v>1E-3</v>
      </c>
      <c r="J49" s="133">
        <f>IF(Données!I29="Exonération de cotisation","",H49*I49)</f>
        <v>10.450000000000001</v>
      </c>
      <c r="K49" s="134">
        <f>IF(Données!B33&lt;50,0.1%,0.5%)</f>
        <v>1E-3</v>
      </c>
      <c r="L49" s="131">
        <f>IF(H49="","",K49*H49)</f>
        <v>10.450000000000001</v>
      </c>
    </row>
    <row r="50" spans="6:12" ht="15" customHeight="1" x14ac:dyDescent="0.25">
      <c r="F50" s="117" t="s">
        <v>46</v>
      </c>
      <c r="G50" s="28"/>
      <c r="H50" s="131">
        <f>J26</f>
        <v>10450</v>
      </c>
      <c r="I50" s="104">
        <f>IF(Données!I29="Exonération de cotisation","",0.86%)</f>
        <v>8.6E-3</v>
      </c>
      <c r="J50" s="132">
        <f>IF(Données!I29="Exonération de cotisation","",H50*I50)</f>
        <v>89.87</v>
      </c>
      <c r="K50" s="134">
        <v>1.29E-2</v>
      </c>
      <c r="L50" s="131">
        <f>Données!J28*K50</f>
        <v>134.80500000000001</v>
      </c>
    </row>
    <row r="51" spans="6:12" ht="15" customHeight="1" x14ac:dyDescent="0.25">
      <c r="F51" s="117" t="s">
        <v>171</v>
      </c>
      <c r="G51" s="28"/>
      <c r="H51" s="131">
        <f>J26</f>
        <v>10450</v>
      </c>
      <c r="I51" s="104">
        <v>1.0800000000000001E-2</v>
      </c>
      <c r="J51" s="132">
        <f>I51*H51</f>
        <v>112.86</v>
      </c>
      <c r="K51" s="134">
        <v>1.6199999999999999E-2</v>
      </c>
      <c r="L51" s="131">
        <f>K51*H51</f>
        <v>169.29</v>
      </c>
    </row>
    <row r="52" spans="6:12" ht="15" customHeight="1" x14ac:dyDescent="0.25">
      <c r="F52" s="119" t="s">
        <v>50</v>
      </c>
      <c r="G52" s="120"/>
      <c r="H52" s="131">
        <f>J26</f>
        <v>10450</v>
      </c>
      <c r="I52" s="168"/>
      <c r="J52" s="132">
        <f>I52*H52</f>
        <v>0</v>
      </c>
      <c r="K52" s="135">
        <v>1.6000000000000001E-4</v>
      </c>
      <c r="L52" s="131">
        <f>H52*K52</f>
        <v>1.6720000000000002</v>
      </c>
    </row>
    <row r="53" spans="6:12" ht="15" customHeight="1" x14ac:dyDescent="0.25">
      <c r="F53" s="119" t="s">
        <v>51</v>
      </c>
      <c r="G53" s="120"/>
      <c r="H53" s="131">
        <f>J26</f>
        <v>10450</v>
      </c>
      <c r="I53" s="104"/>
      <c r="J53" s="133">
        <f>I53*H53</f>
        <v>0</v>
      </c>
      <c r="K53" s="134">
        <v>3.0000000000000001E-3</v>
      </c>
      <c r="L53" s="131">
        <f>H53*K53</f>
        <v>31.35</v>
      </c>
    </row>
    <row r="54" spans="6:12" ht="27" customHeight="1" x14ac:dyDescent="0.25">
      <c r="F54" s="195" t="s">
        <v>127</v>
      </c>
      <c r="G54" s="196"/>
      <c r="H54" s="131">
        <f>L29</f>
        <v>250.8</v>
      </c>
      <c r="I54" s="104"/>
      <c r="J54" s="133"/>
      <c r="K54" s="134">
        <v>0.08</v>
      </c>
      <c r="L54" s="131">
        <f>IF(Données!B33&gt;=11,H54*K54,0)</f>
        <v>20.064</v>
      </c>
    </row>
    <row r="55" spans="6:12" ht="15" customHeight="1" x14ac:dyDescent="0.25">
      <c r="F55" s="121" t="str">
        <f>IF(Données!B34="Non","Taxe d'apprentissage hors Alsace Moselle","Taxe d'apprentissage Alsace Moselle")</f>
        <v>Taxe d'apprentissage hors Alsace Moselle</v>
      </c>
      <c r="G55" s="122"/>
      <c r="H55" s="131">
        <f>J26</f>
        <v>10450</v>
      </c>
      <c r="I55" s="104"/>
      <c r="J55" s="133"/>
      <c r="K55" s="134">
        <f>IF(Données!B34="Non",0.68%,0.44%)</f>
        <v>6.8000000000000005E-3</v>
      </c>
      <c r="L55" s="131">
        <f>H55*K55</f>
        <v>71.06</v>
      </c>
    </row>
    <row r="56" spans="6:12" ht="15" customHeight="1" x14ac:dyDescent="0.25">
      <c r="F56" s="211" t="str">
        <f>IF(Données!B33&lt;11,"Contribution unique à la formation professionnelle entreprise &lt; 11 salariés","Contribution unique à la formation professionnelle entreprise &gt; 11 salariés")</f>
        <v>Contribution unique à la formation professionnelle entreprise &gt; 11 salariés</v>
      </c>
      <c r="G56" s="214"/>
      <c r="H56" s="131">
        <f>J26</f>
        <v>10450</v>
      </c>
      <c r="I56" s="104"/>
      <c r="J56" s="133"/>
      <c r="K56" s="134">
        <f>IF(Données!B33&lt;11,0.55%,1%)</f>
        <v>0.01</v>
      </c>
      <c r="L56" s="138">
        <f>H56*K56</f>
        <v>104.5</v>
      </c>
    </row>
    <row r="57" spans="6:12" ht="15" customHeight="1" x14ac:dyDescent="0.25">
      <c r="F57" s="121" t="s">
        <v>150</v>
      </c>
      <c r="G57" s="122"/>
      <c r="H57" s="131">
        <f>J26</f>
        <v>10450</v>
      </c>
      <c r="I57" s="104"/>
      <c r="J57" s="133"/>
      <c r="K57" s="134">
        <v>0.01</v>
      </c>
      <c r="L57" s="138">
        <f>IF(Données!B33&gt;=50,H57*K57,0*H57)</f>
        <v>0</v>
      </c>
    </row>
    <row r="58" spans="6:12" ht="15" customHeight="1" x14ac:dyDescent="0.25">
      <c r="F58" s="121" t="s">
        <v>151</v>
      </c>
      <c r="G58" s="122"/>
      <c r="H58" s="131">
        <f>J26</f>
        <v>10450</v>
      </c>
      <c r="I58" s="104">
        <f>IF(Données!I29="Exonération de cotisation","",2.6%)</f>
        <v>2.6000000000000002E-2</v>
      </c>
      <c r="J58" s="133">
        <f>IF(Données!I29="Exonération de cotisation","",H58*I58)</f>
        <v>271.70000000000005</v>
      </c>
      <c r="K58" s="134">
        <f>Données!B35</f>
        <v>0.01</v>
      </c>
      <c r="L58" s="138">
        <f>H58*K58</f>
        <v>104.5</v>
      </c>
    </row>
    <row r="59" spans="6:12" ht="27.75" customHeight="1" x14ac:dyDescent="0.25">
      <c r="F59" s="211" t="str">
        <f>IF(Données!B33&gt;=250,"contribution supplémentaire à l'apprentissage &gt;= 250 salarié","")</f>
        <v/>
      </c>
      <c r="G59" s="214"/>
      <c r="H59" s="131"/>
      <c r="I59" s="104"/>
      <c r="J59" s="133"/>
      <c r="K59" s="134"/>
      <c r="L59" s="138"/>
    </row>
    <row r="60" spans="6:12" ht="15" customHeight="1" x14ac:dyDescent="0.25">
      <c r="F60" s="143" t="s">
        <v>56</v>
      </c>
      <c r="G60" s="144"/>
      <c r="H60" s="131"/>
      <c r="I60" s="104"/>
      <c r="J60" s="133"/>
      <c r="K60" s="134"/>
      <c r="L60" s="131"/>
    </row>
    <row r="61" spans="6:12" ht="15" customHeight="1" x14ac:dyDescent="0.25">
      <c r="F61" s="117" t="s">
        <v>156</v>
      </c>
      <c r="G61" s="28"/>
      <c r="H61" s="131" t="str">
        <f>IF(J26&lt;(1.6*Données!B14),J26,"")</f>
        <v/>
      </c>
      <c r="I61" s="104"/>
      <c r="J61" s="154"/>
      <c r="K61" s="153">
        <f>IF(J26&lt;(1.6*Données!B14),((IF(Données!B33&lt;50,0.3194,0.3234))/0.6)*(((1.6*(Données!B14*12))/(H61*12)-1)),0)</f>
        <v>0</v>
      </c>
      <c r="L61" s="152">
        <f>IF(J26&lt;(1.6*Données!B14),-(H61*12)*K61%,0)</f>
        <v>0</v>
      </c>
    </row>
    <row r="62" spans="6:12" ht="15" customHeight="1" x14ac:dyDescent="0.25">
      <c r="F62" s="117" t="s">
        <v>155</v>
      </c>
      <c r="G62" s="28"/>
      <c r="H62" s="131"/>
      <c r="I62" s="104"/>
      <c r="J62" s="133"/>
      <c r="K62" s="136">
        <f>IF(Données!B33&lt;20,1.5,0.5)</f>
        <v>0.5</v>
      </c>
      <c r="L62" s="138">
        <f>IF(Données!B33&lt;20,-SUM(Données!H24:H26)*K62,0)</f>
        <v>0</v>
      </c>
    </row>
    <row r="63" spans="6:12" ht="15" customHeight="1" x14ac:dyDescent="0.25">
      <c r="F63" s="117" t="str">
        <f>IF(Données!F29="Oui","","Réduction cotisation salariale sur HS 1,25")</f>
        <v/>
      </c>
      <c r="G63" s="28"/>
      <c r="H63" s="131" t="str">
        <f>IF(F64="","",SUM(Données!H24:H25))</f>
        <v/>
      </c>
      <c r="I63" s="104" t="str">
        <f>IF(H63="","",11.31%)</f>
        <v/>
      </c>
      <c r="J63" s="132" t="str">
        <f>IF(H63="","",-H63*I63)</f>
        <v/>
      </c>
      <c r="K63" s="136"/>
      <c r="L63" s="138"/>
    </row>
    <row r="64" spans="6:12" ht="15" customHeight="1" x14ac:dyDescent="0.25">
      <c r="F64" s="117" t="str">
        <f>IF(Données!F29="Oui","","Réduction cotisation salariale sur HS 1,50")</f>
        <v/>
      </c>
      <c r="G64" s="28"/>
      <c r="H64" s="131" t="str">
        <f>IF(F64="","",H22)</f>
        <v/>
      </c>
      <c r="I64" s="104" t="str">
        <f>IF(H64="","",11.31%)</f>
        <v/>
      </c>
      <c r="J64" s="132" t="str">
        <f>IF(H64="","",-H64*I64)</f>
        <v/>
      </c>
      <c r="K64" s="136"/>
      <c r="L64" s="138"/>
    </row>
    <row r="65" spans="6:12" ht="15" customHeight="1" x14ac:dyDescent="0.25">
      <c r="F65" s="29" t="s">
        <v>61</v>
      </c>
      <c r="G65" s="76"/>
      <c r="H65" s="110"/>
      <c r="I65" s="18"/>
      <c r="J65" s="171">
        <f>SUM(J28:J64)</f>
        <v>3762.8726000000006</v>
      </c>
      <c r="K65" s="137"/>
      <c r="L65" s="170">
        <f>SUM(L28:L64)</f>
        <v>6221.7620000000015</v>
      </c>
    </row>
    <row r="66" spans="6:12" ht="15" customHeight="1" x14ac:dyDescent="0.25">
      <c r="F66" s="124" t="s">
        <v>62</v>
      </c>
      <c r="G66" s="33"/>
      <c r="H66" s="16"/>
      <c r="I66" s="16"/>
      <c r="J66" s="16"/>
      <c r="K66" s="16"/>
      <c r="L66" s="17"/>
    </row>
    <row r="67" spans="6:12" ht="15" customHeight="1" x14ac:dyDescent="0.25">
      <c r="F67" s="117" t="s">
        <v>63</v>
      </c>
      <c r="G67" s="28"/>
      <c r="H67" s="34" t="str">
        <f>IF(Données!M27=0,"",Données!M27)</f>
        <v/>
      </c>
      <c r="I67" s="95" t="str">
        <f>IF(H67="","",Données!N27)</f>
        <v/>
      </c>
      <c r="J67" s="34" t="str">
        <f>IF(H67="","",H67*I67)</f>
        <v/>
      </c>
      <c r="K67" s="34"/>
      <c r="L67" s="35"/>
    </row>
    <row r="68" spans="6:12" ht="15" customHeight="1" x14ac:dyDescent="0.25">
      <c r="F68" s="117" t="s">
        <v>64</v>
      </c>
      <c r="G68" s="28"/>
      <c r="H68" s="34"/>
      <c r="I68" s="34"/>
      <c r="J68" s="34"/>
      <c r="K68" s="34"/>
      <c r="L68" s="35"/>
    </row>
    <row r="69" spans="6:12" ht="15" customHeight="1" x14ac:dyDescent="0.25">
      <c r="F69" s="117" t="s">
        <v>65</v>
      </c>
      <c r="G69" s="28"/>
      <c r="H69" s="34"/>
      <c r="I69" s="34"/>
      <c r="J69" s="34"/>
      <c r="K69" s="34"/>
      <c r="L69" s="35"/>
    </row>
    <row r="70" spans="6:12" ht="15" customHeight="1" x14ac:dyDescent="0.25">
      <c r="F70" s="117" t="s">
        <v>66</v>
      </c>
      <c r="G70" s="28"/>
      <c r="H70" s="34"/>
      <c r="I70" s="34"/>
      <c r="J70" s="34"/>
      <c r="K70" s="34"/>
      <c r="L70" s="35"/>
    </row>
    <row r="71" spans="6:12" ht="15" customHeight="1" x14ac:dyDescent="0.25">
      <c r="F71" s="117" t="s">
        <v>67</v>
      </c>
      <c r="G71" s="28"/>
      <c r="H71" s="34"/>
      <c r="I71" s="34"/>
      <c r="J71" s="34"/>
      <c r="K71" s="34"/>
      <c r="L71" s="35"/>
    </row>
    <row r="72" spans="6:12" ht="15" customHeight="1" x14ac:dyDescent="0.25">
      <c r="F72" s="124" t="s">
        <v>68</v>
      </c>
      <c r="G72" s="33"/>
      <c r="H72" s="34"/>
      <c r="I72" s="34"/>
      <c r="J72" s="34"/>
      <c r="K72" s="34"/>
      <c r="L72" s="35"/>
    </row>
    <row r="73" spans="6:12" ht="15" customHeight="1" x14ac:dyDescent="0.25">
      <c r="F73" s="117" t="s">
        <v>69</v>
      </c>
      <c r="G73" s="28"/>
      <c r="H73" s="34" t="str">
        <f>IF(Données!J51=0,"",Données!J48*Données!J51)</f>
        <v/>
      </c>
      <c r="I73" s="36" t="str">
        <f>IF(H73="","",Données!J49)</f>
        <v/>
      </c>
      <c r="J73" s="34" t="str">
        <f>IF(H73="","",H73*I73)</f>
        <v/>
      </c>
      <c r="K73" s="36"/>
      <c r="L73" s="35"/>
    </row>
    <row r="74" spans="6:12" ht="15" customHeight="1" x14ac:dyDescent="0.25">
      <c r="F74" s="117" t="s">
        <v>70</v>
      </c>
      <c r="G74" s="28"/>
      <c r="H74" s="34"/>
      <c r="I74" s="36"/>
      <c r="J74" s="37"/>
      <c r="K74" s="36"/>
      <c r="L74" s="17"/>
    </row>
    <row r="75" spans="6:12" ht="15" customHeight="1" x14ac:dyDescent="0.25">
      <c r="F75" s="117" t="s">
        <v>71</v>
      </c>
      <c r="G75" s="28"/>
      <c r="H75" s="34" t="str">
        <f>IF(Données!N22=0,"",Données!N22)</f>
        <v/>
      </c>
      <c r="I75" s="106" t="str">
        <f>IF(Données!O22=0,"",Données!O22)</f>
        <v/>
      </c>
      <c r="J75" s="37" t="str">
        <f>IF(Données!P22=0,"",Données!P22)</f>
        <v/>
      </c>
      <c r="K75" s="34"/>
      <c r="L75" s="35"/>
    </row>
    <row r="76" spans="6:12" ht="15" customHeight="1" x14ac:dyDescent="0.25">
      <c r="F76" s="117" t="s">
        <v>74</v>
      </c>
      <c r="G76" s="28"/>
      <c r="H76" s="34"/>
      <c r="I76" s="34"/>
      <c r="J76" s="37" t="str">
        <f>IF(Données!P25=0,"",Données!P25)</f>
        <v/>
      </c>
      <c r="K76" s="34"/>
      <c r="L76" s="35"/>
    </row>
    <row r="77" spans="6:12" ht="15" customHeight="1" x14ac:dyDescent="0.25">
      <c r="F77" s="117" t="str">
        <f>IF(R78="","","Saisie sur salaire")</f>
        <v/>
      </c>
      <c r="K77" s="34"/>
      <c r="L77" s="35"/>
    </row>
    <row r="78" spans="6:12" ht="15" customHeight="1" x14ac:dyDescent="0.25">
      <c r="F78" s="117" t="str">
        <f>IF(R79="","","Saisie pension alimentaire")</f>
        <v/>
      </c>
      <c r="K78" s="34"/>
      <c r="L78" s="35"/>
    </row>
    <row r="79" spans="6:12" ht="18.75" x14ac:dyDescent="0.3">
      <c r="F79" s="189" t="s">
        <v>75</v>
      </c>
      <c r="G79" s="190"/>
      <c r="H79" s="190"/>
      <c r="I79" s="190"/>
      <c r="J79" s="190"/>
      <c r="K79" s="190"/>
      <c r="L79" s="38">
        <f>J26-J65+SUM(J67:J71)-SUM(J73:J77)</f>
        <v>6687.1273999999994</v>
      </c>
    </row>
    <row r="80" spans="6:12" ht="15" customHeight="1" x14ac:dyDescent="0.25">
      <c r="F80" s="117" t="s">
        <v>76</v>
      </c>
      <c r="G80" s="28"/>
      <c r="H80" s="16"/>
      <c r="I80" s="16"/>
      <c r="J80" s="16"/>
      <c r="K80" s="16"/>
      <c r="L80" s="39">
        <f>(H36*3.15%)</f>
        <v>121.71599999999999</v>
      </c>
    </row>
    <row r="81" spans="6:12" ht="15" customHeight="1" x14ac:dyDescent="0.25">
      <c r="F81" s="215" t="s">
        <v>77</v>
      </c>
      <c r="G81" s="216"/>
      <c r="H81" s="217"/>
      <c r="I81" s="40" t="s">
        <v>30</v>
      </c>
      <c r="J81" s="192" t="s">
        <v>78</v>
      </c>
      <c r="K81" s="193"/>
      <c r="L81" s="40" t="s">
        <v>23</v>
      </c>
    </row>
    <row r="82" spans="6:12" ht="15" customHeight="1" x14ac:dyDescent="0.25">
      <c r="F82" s="212" t="s">
        <v>79</v>
      </c>
      <c r="G82" s="218"/>
      <c r="H82" s="213"/>
      <c r="I82" s="162">
        <f>H83</f>
        <v>6727.1293999999998</v>
      </c>
      <c r="J82" s="219">
        <f>Données!J39</f>
        <v>0.13500000000000001</v>
      </c>
      <c r="K82" s="220"/>
      <c r="L82" s="31">
        <f>I82*J82</f>
        <v>908.16246899999999</v>
      </c>
    </row>
    <row r="83" spans="6:12" ht="15" customHeight="1" x14ac:dyDescent="0.25">
      <c r="F83" s="212" t="s">
        <v>80</v>
      </c>
      <c r="G83" s="213"/>
      <c r="H83" s="229">
        <f>J26-(SUM(J21:J23))-J65+IF(L30="",0,L30)</f>
        <v>6727.1293999999998</v>
      </c>
      <c r="I83" s="230"/>
      <c r="J83" s="231" t="s">
        <v>81</v>
      </c>
      <c r="K83" s="232"/>
      <c r="L83" s="233"/>
    </row>
    <row r="84" spans="6:12" ht="15.75" customHeight="1" x14ac:dyDescent="0.25">
      <c r="F84" s="44"/>
      <c r="G84" s="16"/>
      <c r="H84" s="16"/>
      <c r="I84" s="16"/>
      <c r="J84" s="234">
        <f>L79-L82</f>
        <v>5778.9649309999995</v>
      </c>
      <c r="K84" s="235"/>
      <c r="L84" s="236"/>
    </row>
    <row r="85" spans="6:12" ht="15" customHeight="1" x14ac:dyDescent="0.25">
      <c r="F85" s="41"/>
      <c r="G85" s="42"/>
      <c r="H85" s="42"/>
      <c r="I85" s="237" t="s">
        <v>82</v>
      </c>
      <c r="J85" s="238"/>
      <c r="K85" s="239"/>
      <c r="L85" s="43">
        <f>-(L62+L61)+(H34*1.8%)+(J26*6%)</f>
        <v>815.1</v>
      </c>
    </row>
    <row r="86" spans="6:12" ht="15" customHeight="1" x14ac:dyDescent="0.25">
      <c r="F86" s="44"/>
      <c r="G86" s="16"/>
      <c r="H86" s="16"/>
      <c r="I86" s="240" t="s">
        <v>83</v>
      </c>
      <c r="J86" s="241"/>
      <c r="K86" s="242"/>
      <c r="L86" s="45">
        <f>J26+L65+SUM(J67:J71)</f>
        <v>16671.762000000002</v>
      </c>
    </row>
    <row r="87" spans="6:12" ht="15" customHeight="1" x14ac:dyDescent="0.25">
      <c r="F87" s="221" t="s">
        <v>84</v>
      </c>
      <c r="G87" s="222"/>
      <c r="H87" s="222"/>
      <c r="I87" s="222"/>
      <c r="J87" s="223"/>
      <c r="K87" s="224" t="s">
        <v>85</v>
      </c>
      <c r="L87" s="225"/>
    </row>
    <row r="88" spans="6:12" ht="18.75" customHeight="1" x14ac:dyDescent="0.25">
      <c r="F88" s="226" t="s">
        <v>86</v>
      </c>
      <c r="G88" s="227"/>
      <c r="H88" s="227"/>
      <c r="I88" s="227"/>
      <c r="J88" s="227"/>
      <c r="K88" s="227"/>
      <c r="L88" s="228"/>
    </row>
  </sheetData>
  <mergeCells count="22">
    <mergeCell ref="F87:J87"/>
    <mergeCell ref="K87:L87"/>
    <mergeCell ref="F88:L88"/>
    <mergeCell ref="F83:G83"/>
    <mergeCell ref="H83:I83"/>
    <mergeCell ref="J83:L83"/>
    <mergeCell ref="J84:L84"/>
    <mergeCell ref="I85:K85"/>
    <mergeCell ref="I86:K86"/>
    <mergeCell ref="F56:G56"/>
    <mergeCell ref="F79:K79"/>
    <mergeCell ref="F81:H81"/>
    <mergeCell ref="J81:K81"/>
    <mergeCell ref="F82:H82"/>
    <mergeCell ref="J82:K82"/>
    <mergeCell ref="F59:G59"/>
    <mergeCell ref="F54:G54"/>
    <mergeCell ref="F4:L5"/>
    <mergeCell ref="J15:L15"/>
    <mergeCell ref="J16:L16"/>
    <mergeCell ref="J17:L17"/>
    <mergeCell ref="J18:L18"/>
  </mergeCells>
  <hyperlinks>
    <hyperlink ref="K87" r:id="rId1"/>
  </hyperlinks>
  <pageMargins left="0.7" right="0.7" top="0.75" bottom="0.75" header="0.3" footer="0.3"/>
  <pageSetup paperSize="9" orientation="portrait" r:id="rId2"/>
  <legacyDrawing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F4:L86"/>
  <sheetViews>
    <sheetView workbookViewId="0">
      <selection activeCell="C30" sqref="C30"/>
    </sheetView>
  </sheetViews>
  <sheetFormatPr baseColWidth="10" defaultRowHeight="15" x14ac:dyDescent="0.25"/>
  <sheetData>
    <row r="4" spans="6:12" x14ac:dyDescent="0.25">
      <c r="F4" s="199" t="s">
        <v>0</v>
      </c>
      <c r="G4" s="200"/>
      <c r="H4" s="200"/>
      <c r="I4" s="200"/>
      <c r="J4" s="200"/>
      <c r="K4" s="200"/>
      <c r="L4" s="201"/>
    </row>
    <row r="5" spans="6:12" x14ac:dyDescent="0.25">
      <c r="F5" s="202"/>
      <c r="G5" s="203"/>
      <c r="H5" s="203"/>
      <c r="I5" s="203"/>
      <c r="J5" s="203"/>
      <c r="K5" s="203"/>
      <c r="L5" s="204"/>
    </row>
    <row r="6" spans="6:12" x14ac:dyDescent="0.25">
      <c r="F6" s="3" t="s">
        <v>4</v>
      </c>
      <c r="G6" s="5"/>
      <c r="H6" s="4"/>
      <c r="I6" s="3" t="s">
        <v>118</v>
      </c>
      <c r="J6" s="74" t="s">
        <v>115</v>
      </c>
      <c r="K6" s="6"/>
      <c r="L6" s="4"/>
    </row>
    <row r="7" spans="6:12" x14ac:dyDescent="0.25">
      <c r="F7" s="7" t="s">
        <v>7</v>
      </c>
      <c r="G7" s="9"/>
      <c r="H7" s="8"/>
      <c r="I7" s="7"/>
      <c r="J7" s="9"/>
      <c r="K7" s="10"/>
      <c r="L7" s="8"/>
    </row>
    <row r="8" spans="6:12" x14ac:dyDescent="0.25">
      <c r="F8" s="7"/>
      <c r="G8" s="9"/>
      <c r="H8" s="8"/>
      <c r="I8" s="7"/>
      <c r="J8" s="9"/>
      <c r="K8" s="9"/>
      <c r="L8" s="8"/>
    </row>
    <row r="9" spans="6:12" x14ac:dyDescent="0.25">
      <c r="F9" s="7" t="s">
        <v>10</v>
      </c>
      <c r="G9" s="9"/>
      <c r="H9" s="8"/>
      <c r="I9" s="7"/>
      <c r="J9" s="9" t="s">
        <v>11</v>
      </c>
      <c r="K9" s="9"/>
      <c r="L9" s="8"/>
    </row>
    <row r="10" spans="6:12" x14ac:dyDescent="0.25">
      <c r="F10" s="7" t="s">
        <v>12</v>
      </c>
      <c r="G10" s="9"/>
      <c r="H10" s="8"/>
      <c r="I10" s="7"/>
      <c r="J10" s="9"/>
      <c r="K10" s="9"/>
      <c r="L10" s="8"/>
    </row>
    <row r="11" spans="6:12" x14ac:dyDescent="0.25">
      <c r="F11" s="7" t="s">
        <v>13</v>
      </c>
      <c r="G11" s="9"/>
      <c r="H11" s="8"/>
      <c r="I11" s="7"/>
      <c r="J11" s="9"/>
      <c r="K11" s="9"/>
      <c r="L11" s="8"/>
    </row>
    <row r="12" spans="6:12" x14ac:dyDescent="0.25">
      <c r="F12" s="11" t="s">
        <v>14</v>
      </c>
      <c r="G12" s="13"/>
      <c r="H12" s="12"/>
      <c r="I12" s="11"/>
      <c r="J12" s="13"/>
      <c r="K12" s="13"/>
      <c r="L12" s="14"/>
    </row>
    <row r="13" spans="6:12" x14ac:dyDescent="0.25">
      <c r="F13" s="7" t="s">
        <v>16</v>
      </c>
      <c r="G13" s="9"/>
      <c r="H13" s="9"/>
      <c r="I13" s="9" t="s">
        <v>15</v>
      </c>
      <c r="J13" s="205"/>
      <c r="K13" s="205"/>
      <c r="L13" s="206"/>
    </row>
    <row r="14" spans="6:12" x14ac:dyDescent="0.25">
      <c r="F14" s="7" t="s">
        <v>90</v>
      </c>
      <c r="G14" s="9"/>
      <c r="H14" s="9"/>
      <c r="I14" s="9" t="s">
        <v>7</v>
      </c>
      <c r="J14" s="205"/>
      <c r="K14" s="205"/>
      <c r="L14" s="206"/>
    </row>
    <row r="15" spans="6:12" x14ac:dyDescent="0.25">
      <c r="F15" s="7" t="s">
        <v>17</v>
      </c>
      <c r="G15" s="9"/>
      <c r="H15" s="77"/>
      <c r="I15" s="9"/>
      <c r="J15" s="205"/>
      <c r="K15" s="205"/>
      <c r="L15" s="206"/>
    </row>
    <row r="16" spans="6:12" x14ac:dyDescent="0.25">
      <c r="F16" s="7" t="s">
        <v>18</v>
      </c>
      <c r="G16" s="9"/>
      <c r="H16" s="72"/>
      <c r="I16" s="9"/>
      <c r="J16" s="207"/>
      <c r="K16" s="207"/>
      <c r="L16" s="208"/>
    </row>
    <row r="17" spans="6:12" x14ac:dyDescent="0.25">
      <c r="F17" s="7" t="s">
        <v>20</v>
      </c>
      <c r="G17" s="9"/>
      <c r="H17" s="77"/>
      <c r="I17" s="9"/>
      <c r="J17" s="207"/>
      <c r="K17" s="207"/>
      <c r="L17" s="208"/>
    </row>
    <row r="18" spans="6:12" x14ac:dyDescent="0.25">
      <c r="F18" s="75" t="s">
        <v>117</v>
      </c>
      <c r="G18" s="78" t="str">
        <f>Données!G24</f>
        <v/>
      </c>
      <c r="H18" s="73" t="s">
        <v>114</v>
      </c>
      <c r="I18" s="13"/>
      <c r="J18" s="209"/>
      <c r="K18" s="209"/>
      <c r="L18" s="210"/>
    </row>
    <row r="19" spans="6:12" x14ac:dyDescent="0.25">
      <c r="F19" s="44"/>
      <c r="G19" s="16"/>
      <c r="H19" s="34" t="s">
        <v>21</v>
      </c>
      <c r="I19" s="34" t="s">
        <v>22</v>
      </c>
      <c r="J19" s="34" t="s">
        <v>23</v>
      </c>
      <c r="K19" s="16"/>
      <c r="L19" s="15"/>
    </row>
    <row r="20" spans="6:12" x14ac:dyDescent="0.25">
      <c r="F20" s="44" t="s">
        <v>24</v>
      </c>
      <c r="G20" s="16"/>
      <c r="H20" s="34" t="e">
        <f>Données!#REF!</f>
        <v>#REF!</v>
      </c>
      <c r="I20" s="37">
        <f>Données!O32</f>
        <v>0</v>
      </c>
      <c r="J20" s="37">
        <f>Données!O33</f>
        <v>0</v>
      </c>
      <c r="K20" s="16"/>
      <c r="L20" s="17"/>
    </row>
    <row r="21" spans="6:12" x14ac:dyDescent="0.25">
      <c r="F21" s="44"/>
      <c r="G21" s="16"/>
      <c r="H21" s="37"/>
      <c r="I21" s="37"/>
      <c r="J21" s="37"/>
      <c r="K21" s="16"/>
      <c r="L21" s="17"/>
    </row>
    <row r="22" spans="6:12" x14ac:dyDescent="0.25">
      <c r="F22" s="44"/>
      <c r="G22" s="16"/>
      <c r="H22" s="34"/>
      <c r="I22" s="37"/>
      <c r="J22" s="37"/>
      <c r="K22" s="16"/>
      <c r="L22" s="17"/>
    </row>
    <row r="23" spans="6:12" x14ac:dyDescent="0.25">
      <c r="F23" s="44" t="s">
        <v>25</v>
      </c>
      <c r="G23" s="16"/>
      <c r="H23" s="37">
        <f>Données!K29</f>
        <v>0</v>
      </c>
      <c r="I23" s="37" t="e">
        <f>Données!#REF!</f>
        <v>#REF!</v>
      </c>
      <c r="J23" s="111" t="e">
        <f>H23*I23</f>
        <v>#REF!</v>
      </c>
      <c r="K23" s="37"/>
      <c r="L23" s="17"/>
    </row>
    <row r="24" spans="6:12" x14ac:dyDescent="0.25">
      <c r="F24" s="44" t="s">
        <v>26</v>
      </c>
      <c r="G24" s="16"/>
      <c r="H24" s="37">
        <f>Données!K30</f>
        <v>0</v>
      </c>
      <c r="I24" s="37" t="e">
        <f>Données!#REF!</f>
        <v>#REF!</v>
      </c>
      <c r="J24" s="111" t="e">
        <f>H24*I24</f>
        <v>#REF!</v>
      </c>
      <c r="K24" s="16"/>
      <c r="L24" s="17"/>
    </row>
    <row r="25" spans="6:12" x14ac:dyDescent="0.25">
      <c r="F25" s="44"/>
      <c r="G25" s="16"/>
      <c r="H25" s="34"/>
      <c r="I25" s="37"/>
      <c r="J25" s="111"/>
      <c r="K25" s="16"/>
      <c r="L25" s="17"/>
    </row>
    <row r="26" spans="6:12" x14ac:dyDescent="0.25">
      <c r="F26" s="44" t="s">
        <v>27</v>
      </c>
      <c r="G26" s="16"/>
      <c r="H26" s="34">
        <f>Données!K27</f>
        <v>0</v>
      </c>
      <c r="I26" s="37">
        <f>Données!O32</f>
        <v>0</v>
      </c>
      <c r="J26" s="111" t="e">
        <f>Données!#REF!</f>
        <v>#REF!</v>
      </c>
      <c r="K26" s="16"/>
      <c r="L26" s="17"/>
    </row>
    <row r="27" spans="6:12" x14ac:dyDescent="0.25">
      <c r="F27" s="112" t="s">
        <v>28</v>
      </c>
      <c r="G27" s="18"/>
      <c r="H27" s="18"/>
      <c r="I27" s="18"/>
      <c r="J27" s="18"/>
      <c r="K27" s="18"/>
      <c r="L27" s="19"/>
    </row>
    <row r="28" spans="6:12" x14ac:dyDescent="0.25">
      <c r="F28" s="113" t="s">
        <v>29</v>
      </c>
      <c r="G28" s="114"/>
      <c r="H28" s="110" t="s">
        <v>30</v>
      </c>
      <c r="I28" s="110" t="s">
        <v>31</v>
      </c>
      <c r="J28" s="110" t="s">
        <v>32</v>
      </c>
      <c r="K28" s="110" t="s">
        <v>33</v>
      </c>
      <c r="L28" s="110" t="s">
        <v>23</v>
      </c>
    </row>
    <row r="29" spans="6:12" x14ac:dyDescent="0.25">
      <c r="F29" s="115" t="s">
        <v>34</v>
      </c>
      <c r="G29" s="116"/>
      <c r="H29" s="20">
        <f>Données!J29</f>
        <v>0</v>
      </c>
      <c r="I29" s="82"/>
      <c r="J29" s="83"/>
      <c r="K29" s="82">
        <f>IF(Données!J29&lt;=(2.5*Données!B15),7%,13%)</f>
        <v>7.0000000000000007E-2</v>
      </c>
      <c r="L29" s="20">
        <f>H29*K29</f>
        <v>0</v>
      </c>
    </row>
    <row r="30" spans="6:12" x14ac:dyDescent="0.25">
      <c r="F30" s="115" t="s">
        <v>35</v>
      </c>
      <c r="G30" s="116"/>
      <c r="H30" s="20"/>
      <c r="I30" s="82"/>
      <c r="J30" s="84">
        <f>H30*I30</f>
        <v>0</v>
      </c>
      <c r="K30" s="82"/>
      <c r="L30" s="20">
        <f>H30*K30</f>
        <v>0</v>
      </c>
    </row>
    <row r="31" spans="6:12" x14ac:dyDescent="0.25">
      <c r="F31" s="117" t="s">
        <v>134</v>
      </c>
      <c r="G31" s="28"/>
      <c r="H31" s="20">
        <f>Données!J35</f>
        <v>1.2999999999999999E-2</v>
      </c>
      <c r="I31" s="82">
        <f>Données!K35</f>
        <v>0</v>
      </c>
      <c r="J31" s="84">
        <f>H31*I31</f>
        <v>0</v>
      </c>
      <c r="K31" s="82">
        <f>Données!L35</f>
        <v>0</v>
      </c>
      <c r="L31" s="20">
        <f>H31*K31</f>
        <v>0</v>
      </c>
    </row>
    <row r="32" spans="6:12" x14ac:dyDescent="0.25">
      <c r="F32" s="113" t="s">
        <v>36</v>
      </c>
      <c r="G32" s="114"/>
      <c r="H32" s="20">
        <f>Données!J29</f>
        <v>0</v>
      </c>
      <c r="I32" s="21"/>
      <c r="J32" s="20"/>
      <c r="K32" s="21">
        <f>Données!J36</f>
        <v>0</v>
      </c>
      <c r="L32" s="20">
        <f>H32*K32</f>
        <v>0</v>
      </c>
    </row>
    <row r="33" spans="6:12" x14ac:dyDescent="0.25">
      <c r="F33" s="118"/>
      <c r="G33" s="58"/>
      <c r="H33" s="20"/>
      <c r="I33" s="21"/>
      <c r="J33" s="20"/>
      <c r="K33" s="21"/>
      <c r="L33" s="20"/>
    </row>
    <row r="34" spans="6:12" x14ac:dyDescent="0.25">
      <c r="F34" s="113" t="s">
        <v>37</v>
      </c>
      <c r="G34" s="114"/>
      <c r="H34" s="20"/>
      <c r="I34" s="21"/>
      <c r="J34" s="20"/>
      <c r="K34" s="21"/>
      <c r="L34" s="20"/>
    </row>
    <row r="35" spans="6:12" x14ac:dyDescent="0.25">
      <c r="F35" s="115" t="s">
        <v>38</v>
      </c>
      <c r="G35" s="116"/>
      <c r="H35" s="20">
        <f>Données!J29</f>
        <v>0</v>
      </c>
      <c r="I35" s="21"/>
      <c r="J35" s="20"/>
      <c r="K35" s="85">
        <f>IF(Données!J29&lt;=(3.5*Données!B15),3.45%,5.25%)</f>
        <v>3.4500000000000003E-2</v>
      </c>
      <c r="L35" s="20">
        <f>H35*K35</f>
        <v>0</v>
      </c>
    </row>
    <row r="36" spans="6:12" x14ac:dyDescent="0.25">
      <c r="F36" s="113" t="s">
        <v>39</v>
      </c>
      <c r="G36" s="114"/>
      <c r="H36" s="20"/>
      <c r="I36" s="21"/>
      <c r="J36" s="22"/>
      <c r="K36" s="21"/>
      <c r="L36" s="20"/>
    </row>
    <row r="37" spans="6:12" x14ac:dyDescent="0.25">
      <c r="F37" s="117" t="s">
        <v>40</v>
      </c>
      <c r="G37" s="28"/>
      <c r="H37" s="20">
        <f>Données!J29</f>
        <v>0</v>
      </c>
      <c r="I37" s="21"/>
      <c r="J37" s="22"/>
      <c r="K37" s="21">
        <f>Données!J37</f>
        <v>0</v>
      </c>
      <c r="L37" s="20">
        <f>H37*K37</f>
        <v>0</v>
      </c>
    </row>
    <row r="38" spans="6:12" x14ac:dyDescent="0.25">
      <c r="F38" s="117" t="s">
        <v>41</v>
      </c>
      <c r="G38" s="28"/>
      <c r="H38" s="20">
        <f>Données!J29</f>
        <v>0</v>
      </c>
      <c r="I38" s="21"/>
      <c r="J38" s="22"/>
      <c r="K38" s="21" t="e">
        <f>Données!#REF!</f>
        <v>#REF!</v>
      </c>
      <c r="L38" s="20" t="e">
        <f>H38*K38</f>
        <v>#REF!</v>
      </c>
    </row>
    <row r="39" spans="6:12" x14ac:dyDescent="0.25">
      <c r="F39" s="113" t="s">
        <v>42</v>
      </c>
      <c r="G39" s="114"/>
      <c r="H39" s="20"/>
      <c r="I39" s="82"/>
      <c r="J39" s="22"/>
      <c r="K39" s="21"/>
      <c r="L39" s="20"/>
    </row>
    <row r="40" spans="6:12" x14ac:dyDescent="0.25">
      <c r="F40" s="115" t="s">
        <v>43</v>
      </c>
      <c r="G40" s="116"/>
      <c r="H40" s="20">
        <f>Données!J29</f>
        <v>0</v>
      </c>
      <c r="I40" s="82">
        <v>6.9000000000000006E-2</v>
      </c>
      <c r="J40" s="20">
        <f>IF(Données!I31="Exonération de cotisation",0,H40*I40)</f>
        <v>0</v>
      </c>
      <c r="K40" s="21">
        <v>8.5500000000000007E-2</v>
      </c>
      <c r="L40" s="20">
        <f>Données!J29*K40</f>
        <v>0</v>
      </c>
    </row>
    <row r="41" spans="6:12" x14ac:dyDescent="0.25">
      <c r="F41" s="115" t="s">
        <v>44</v>
      </c>
      <c r="G41" s="116"/>
      <c r="H41" s="20">
        <f>Données!J29</f>
        <v>0</v>
      </c>
      <c r="I41" s="82">
        <v>4.0000000000000001E-3</v>
      </c>
      <c r="J41" s="20">
        <f>IF(Données!I31="Exonération de cotisation",0,H41*I41)</f>
        <v>0</v>
      </c>
      <c r="K41" s="21">
        <v>2.0199999999999999E-2</v>
      </c>
      <c r="L41" s="20">
        <f>Données!J29*K41</f>
        <v>0</v>
      </c>
    </row>
    <row r="42" spans="6:12" x14ac:dyDescent="0.25">
      <c r="F42" s="117" t="s">
        <v>45</v>
      </c>
      <c r="G42" s="28"/>
      <c r="H42" s="20">
        <f>Données!J29</f>
        <v>0</v>
      </c>
      <c r="I42" s="82">
        <v>3.15E-2</v>
      </c>
      <c r="J42" s="20">
        <f>IF(Données!I31="Exonération de cotisation",0,H42*I42)</f>
        <v>0</v>
      </c>
      <c r="K42" s="21">
        <v>4.7199999999999999E-2</v>
      </c>
      <c r="L42" s="20">
        <f>Données!J29*K42</f>
        <v>0</v>
      </c>
    </row>
    <row r="43" spans="6:12" x14ac:dyDescent="0.25">
      <c r="F43" s="117" t="s">
        <v>46</v>
      </c>
      <c r="G43" s="28"/>
      <c r="H43" s="20">
        <f>Données!J29</f>
        <v>0</v>
      </c>
      <c r="I43" s="82">
        <v>8.6E-3</v>
      </c>
      <c r="J43" s="20">
        <f>IF(Données!I31="Exonération de cotisation",0,H43*I43)</f>
        <v>0</v>
      </c>
      <c r="K43" s="21">
        <v>1.29E-2</v>
      </c>
      <c r="L43" s="20">
        <f>Données!J29*K43</f>
        <v>0</v>
      </c>
    </row>
    <row r="44" spans="6:12" x14ac:dyDescent="0.25">
      <c r="F44" s="113" t="s">
        <v>47</v>
      </c>
      <c r="G44" s="114"/>
      <c r="H44" s="20"/>
      <c r="I44" s="82"/>
      <c r="J44" s="22"/>
      <c r="K44" s="21"/>
      <c r="L44" s="20"/>
    </row>
    <row r="45" spans="6:12" x14ac:dyDescent="0.25">
      <c r="F45" s="119" t="s">
        <v>48</v>
      </c>
      <c r="G45" s="120"/>
      <c r="H45" s="20">
        <f>IF(Données!B34&lt;50,Données!J29,0)</f>
        <v>0</v>
      </c>
      <c r="I45" s="21"/>
      <c r="J45" s="22"/>
      <c r="K45" s="21">
        <v>1E-3</v>
      </c>
      <c r="L45" s="20">
        <f>K45*H45</f>
        <v>0</v>
      </c>
    </row>
    <row r="46" spans="6:12" x14ac:dyDescent="0.25">
      <c r="F46" s="119" t="s">
        <v>49</v>
      </c>
      <c r="G46" s="120"/>
      <c r="H46" s="20">
        <f>IF(Données!B34&gt;=50,Données!J29,0)</f>
        <v>0</v>
      </c>
      <c r="I46" s="21"/>
      <c r="J46" s="22"/>
      <c r="K46" s="21">
        <v>5.0000000000000001E-3</v>
      </c>
      <c r="L46" s="20">
        <f>H46*K46</f>
        <v>0</v>
      </c>
    </row>
    <row r="47" spans="6:12" x14ac:dyDescent="0.25">
      <c r="F47" s="119" t="s">
        <v>50</v>
      </c>
      <c r="G47" s="120"/>
      <c r="H47" s="20">
        <f>Données!J29</f>
        <v>0</v>
      </c>
      <c r="I47" s="21"/>
      <c r="J47" s="22"/>
      <c r="K47" s="90">
        <v>1.6000000000000001E-4</v>
      </c>
      <c r="L47" s="20">
        <f>H47*K47</f>
        <v>0</v>
      </c>
    </row>
    <row r="48" spans="6:12" x14ac:dyDescent="0.25">
      <c r="F48" s="119" t="s">
        <v>51</v>
      </c>
      <c r="G48" s="120"/>
      <c r="H48" s="20">
        <f>Données!J29</f>
        <v>0</v>
      </c>
      <c r="I48" s="21"/>
      <c r="J48" s="22"/>
      <c r="K48" s="21">
        <v>3.0000000000000001E-3</v>
      </c>
      <c r="L48" s="20">
        <f>H48*K48</f>
        <v>0</v>
      </c>
    </row>
    <row r="49" spans="6:12" x14ac:dyDescent="0.25">
      <c r="F49" s="195" t="s">
        <v>127</v>
      </c>
      <c r="G49" s="196"/>
      <c r="H49" s="20">
        <f>Données!J29</f>
        <v>0</v>
      </c>
      <c r="I49" s="21"/>
      <c r="J49" s="22"/>
      <c r="K49" s="21">
        <v>0.08</v>
      </c>
      <c r="L49" s="20">
        <f>IF(Données!B34&gt;=11,H49*K49,0)</f>
        <v>0</v>
      </c>
    </row>
    <row r="50" spans="6:12" x14ac:dyDescent="0.25">
      <c r="F50" s="121" t="str">
        <f>IF(Données!B35="Non","Taxe d'apprentissage hors Alsace Moselle","Taxe d'apprentissage Alsace Moselle")</f>
        <v>Taxe d'apprentissage Alsace Moselle</v>
      </c>
      <c r="G50" s="122"/>
      <c r="H50" s="20">
        <f>Données!J29</f>
        <v>0</v>
      </c>
      <c r="I50" s="21"/>
      <c r="J50" s="22"/>
      <c r="K50" s="21">
        <f>IF(Données!B35="Non",0.68%,0.44%)</f>
        <v>4.4000000000000003E-3</v>
      </c>
      <c r="L50" s="20">
        <f>H50*K50</f>
        <v>0</v>
      </c>
    </row>
    <row r="51" spans="6:12" x14ac:dyDescent="0.25">
      <c r="F51" s="197" t="str">
        <f>IF(Données!B34&lt;11,"Contribution unique à la formation professionnelle entreprise &lt;11 salariés","Contribution unique à la formation professionnelle entreprise &gt;11 salariés")</f>
        <v>Contribution unique à la formation professionnelle entreprise &gt;11 salariés</v>
      </c>
      <c r="G51" s="198"/>
      <c r="H51" s="20">
        <v>909.71</v>
      </c>
      <c r="I51" s="21"/>
      <c r="J51" s="22"/>
      <c r="K51" s="21">
        <f>IF(Données!B34&lt;11,0.55%,1%)</f>
        <v>0.01</v>
      </c>
      <c r="L51" s="24">
        <f>H51*K51</f>
        <v>9.0971000000000011</v>
      </c>
    </row>
    <row r="52" spans="6:12" x14ac:dyDescent="0.25">
      <c r="F52" s="121" t="s">
        <v>53</v>
      </c>
      <c r="G52" s="122"/>
      <c r="H52" s="20">
        <v>909.71</v>
      </c>
      <c r="I52" s="21"/>
      <c r="J52" s="22"/>
      <c r="K52" s="21">
        <v>0.01</v>
      </c>
      <c r="L52" s="24">
        <f>IF(Données!B34&gt;=50,H52*K52,0*H52)</f>
        <v>9.0971000000000011</v>
      </c>
    </row>
    <row r="53" spans="6:12" x14ac:dyDescent="0.25">
      <c r="F53" s="121" t="s">
        <v>54</v>
      </c>
      <c r="G53" s="122"/>
      <c r="H53" s="20">
        <v>909.71</v>
      </c>
      <c r="I53" s="21"/>
      <c r="J53" s="22"/>
      <c r="K53" s="21">
        <v>0.01</v>
      </c>
      <c r="L53" s="24">
        <f>H53*K53</f>
        <v>9.0971000000000011</v>
      </c>
    </row>
    <row r="54" spans="6:12" x14ac:dyDescent="0.25">
      <c r="F54" s="117"/>
      <c r="G54" s="28"/>
      <c r="H54" s="20"/>
      <c r="I54" s="21"/>
      <c r="J54" s="22"/>
      <c r="K54" s="21"/>
      <c r="L54" s="24"/>
    </row>
    <row r="55" spans="6:12" x14ac:dyDescent="0.25">
      <c r="F55" s="117"/>
      <c r="G55" s="28"/>
      <c r="H55" s="20"/>
      <c r="I55" s="21"/>
      <c r="J55" s="22"/>
      <c r="K55" s="21"/>
      <c r="L55" s="24"/>
    </row>
    <row r="56" spans="6:12" x14ac:dyDescent="0.25">
      <c r="F56" s="117"/>
      <c r="G56" s="28"/>
      <c r="H56" s="20"/>
      <c r="I56" s="21"/>
      <c r="J56" s="22"/>
      <c r="K56" s="21"/>
      <c r="L56" s="24"/>
    </row>
    <row r="57" spans="6:12" x14ac:dyDescent="0.25">
      <c r="F57" s="113" t="s">
        <v>56</v>
      </c>
      <c r="G57" s="114"/>
      <c r="H57" s="20"/>
      <c r="I57" s="21"/>
      <c r="J57" s="22"/>
      <c r="K57" s="21"/>
      <c r="L57" s="20"/>
    </row>
    <row r="58" spans="6:12" x14ac:dyDescent="0.25">
      <c r="F58" s="117" t="s">
        <v>57</v>
      </c>
      <c r="G58" s="28"/>
      <c r="H58" s="20"/>
      <c r="I58" s="21"/>
      <c r="J58" s="22"/>
      <c r="K58" s="123" t="e">
        <f>(IF(Données!J29&lt;50,0.3191,0.3231)/0.6)*((1.6*(Données!B15*12)/(Données!J29*12))-1)%</f>
        <v>#DIV/0!</v>
      </c>
      <c r="L58" s="20" t="e">
        <f>-K58*(Données!J29*12)</f>
        <v>#DIV/0!</v>
      </c>
    </row>
    <row r="59" spans="6:12" x14ac:dyDescent="0.25">
      <c r="F59" s="117" t="s">
        <v>130</v>
      </c>
      <c r="G59" s="28"/>
      <c r="H59" s="20"/>
      <c r="I59" s="21"/>
      <c r="J59" s="22"/>
      <c r="K59" s="21">
        <f>IF(Données!B34&lt;20,-1.5%,-0.5%)</f>
        <v>-5.0000000000000001E-3</v>
      </c>
      <c r="L59" s="24">
        <f>SUM(Données!F26:F30)*K59</f>
        <v>-52.25</v>
      </c>
    </row>
    <row r="60" spans="6:12" x14ac:dyDescent="0.25">
      <c r="F60" s="117" t="s">
        <v>59</v>
      </c>
      <c r="G60" s="28"/>
      <c r="H60" s="20" t="e">
        <f>Bulletin!#REF!</f>
        <v>#REF!</v>
      </c>
      <c r="I60" s="21">
        <v>0.11310000000000001</v>
      </c>
      <c r="J60" s="20" t="e">
        <f>H60*I60</f>
        <v>#REF!</v>
      </c>
      <c r="K60" s="25"/>
      <c r="L60" s="24"/>
    </row>
    <row r="61" spans="6:12" x14ac:dyDescent="0.25">
      <c r="F61" s="117" t="s">
        <v>60</v>
      </c>
      <c r="G61" s="28"/>
      <c r="H61" s="20" t="e">
        <f>Bulletin!#REF!</f>
        <v>#REF!</v>
      </c>
      <c r="I61" s="87">
        <v>0.11310000000000001</v>
      </c>
      <c r="J61" s="86" t="e">
        <f>H61*I61</f>
        <v>#REF!</v>
      </c>
      <c r="K61" s="88"/>
      <c r="L61" s="89"/>
    </row>
    <row r="62" spans="6:12" x14ac:dyDescent="0.25">
      <c r="F62" s="29" t="s">
        <v>61</v>
      </c>
      <c r="G62" s="76"/>
      <c r="H62" s="30"/>
      <c r="I62" s="30"/>
      <c r="J62" s="31" t="e">
        <f>SUM(J28:J60)</f>
        <v>#REF!</v>
      </c>
      <c r="K62" s="32"/>
      <c r="L62" s="31" t="e">
        <f>SUM(L28:L58)</f>
        <v>#REF!</v>
      </c>
    </row>
    <row r="63" spans="6:12" x14ac:dyDescent="0.25">
      <c r="F63" s="44"/>
      <c r="G63" s="16"/>
      <c r="H63" s="16"/>
      <c r="I63" s="16"/>
      <c r="J63" s="16"/>
      <c r="K63" s="16"/>
      <c r="L63" s="17"/>
    </row>
    <row r="64" spans="6:12" x14ac:dyDescent="0.25">
      <c r="F64" s="124" t="s">
        <v>62</v>
      </c>
      <c r="G64" s="33"/>
      <c r="H64" s="16"/>
      <c r="I64" s="16"/>
      <c r="J64" s="16"/>
      <c r="K64" s="16"/>
      <c r="L64" s="17"/>
    </row>
    <row r="65" spans="6:12" x14ac:dyDescent="0.25">
      <c r="F65" s="117" t="s">
        <v>63</v>
      </c>
      <c r="G65" s="28"/>
      <c r="H65" s="34">
        <f>Données!M28</f>
        <v>0</v>
      </c>
      <c r="I65" s="95">
        <f>Données!N28</f>
        <v>0</v>
      </c>
      <c r="J65" s="34">
        <f>H65*I65</f>
        <v>0</v>
      </c>
      <c r="K65" s="34"/>
      <c r="L65" s="35"/>
    </row>
    <row r="66" spans="6:12" x14ac:dyDescent="0.25">
      <c r="F66" s="117" t="s">
        <v>64</v>
      </c>
      <c r="G66" s="28"/>
      <c r="H66" s="34"/>
      <c r="I66" s="34"/>
      <c r="J66" s="34">
        <f>H66*I66</f>
        <v>0</v>
      </c>
      <c r="K66" s="34"/>
      <c r="L66" s="35"/>
    </row>
    <row r="67" spans="6:12" x14ac:dyDescent="0.25">
      <c r="F67" s="117" t="s">
        <v>65</v>
      </c>
      <c r="G67" s="28"/>
      <c r="H67" s="34"/>
      <c r="I67" s="34"/>
      <c r="J67" s="34">
        <f>H67*I67</f>
        <v>0</v>
      </c>
      <c r="K67" s="34"/>
      <c r="L67" s="35"/>
    </row>
    <row r="68" spans="6:12" x14ac:dyDescent="0.25">
      <c r="F68" s="117" t="s">
        <v>66</v>
      </c>
      <c r="G68" s="28"/>
      <c r="H68" s="34"/>
      <c r="I68" s="34"/>
      <c r="J68" s="34">
        <f>H68*I68</f>
        <v>0</v>
      </c>
      <c r="K68" s="34"/>
      <c r="L68" s="35"/>
    </row>
    <row r="69" spans="6:12" x14ac:dyDescent="0.25">
      <c r="F69" s="117" t="s">
        <v>67</v>
      </c>
      <c r="G69" s="28"/>
      <c r="H69" s="34"/>
      <c r="I69" s="34"/>
      <c r="J69" s="34"/>
      <c r="K69" s="34"/>
      <c r="L69" s="35"/>
    </row>
    <row r="70" spans="6:12" x14ac:dyDescent="0.25">
      <c r="F70" s="124" t="s">
        <v>68</v>
      </c>
      <c r="G70" s="33"/>
      <c r="H70" s="34"/>
      <c r="I70" s="34"/>
      <c r="J70" s="34"/>
      <c r="K70" s="34"/>
      <c r="L70" s="35"/>
    </row>
    <row r="71" spans="6:12" x14ac:dyDescent="0.25">
      <c r="F71" s="117" t="s">
        <v>69</v>
      </c>
      <c r="G71" s="28"/>
      <c r="H71" s="34">
        <f>Données!J49*Données!J52</f>
        <v>0</v>
      </c>
      <c r="I71" s="36">
        <v>0.5</v>
      </c>
      <c r="J71" s="34">
        <f>H71*I71</f>
        <v>0</v>
      </c>
      <c r="K71" s="36"/>
      <c r="L71" s="35"/>
    </row>
    <row r="72" spans="6:12" x14ac:dyDescent="0.25">
      <c r="F72" s="117" t="s">
        <v>70</v>
      </c>
      <c r="G72" s="28"/>
      <c r="H72" s="34"/>
      <c r="I72" s="36"/>
      <c r="J72" s="37"/>
      <c r="K72" s="36"/>
      <c r="L72" s="17"/>
    </row>
    <row r="73" spans="6:12" x14ac:dyDescent="0.25">
      <c r="F73" s="117" t="s">
        <v>71</v>
      </c>
      <c r="G73" s="28"/>
      <c r="H73" s="34">
        <f>Données!N23</f>
        <v>0</v>
      </c>
      <c r="I73" s="106">
        <f>Données!O23</f>
        <v>0</v>
      </c>
      <c r="J73" s="37">
        <f>IF(Données!P23&gt;0,Données!P23,0)</f>
        <v>0</v>
      </c>
      <c r="K73" s="34"/>
      <c r="L73" s="35"/>
    </row>
    <row r="74" spans="6:12" x14ac:dyDescent="0.25">
      <c r="F74" s="117" t="s">
        <v>72</v>
      </c>
      <c r="G74" s="28"/>
      <c r="H74" s="34"/>
      <c r="I74" s="34"/>
      <c r="J74" s="37">
        <f>Données!P24</f>
        <v>0</v>
      </c>
      <c r="K74" s="34"/>
      <c r="L74" s="35"/>
    </row>
    <row r="75" spans="6:12" x14ac:dyDescent="0.25">
      <c r="F75" s="117" t="s">
        <v>73</v>
      </c>
      <c r="G75" s="28"/>
      <c r="H75" s="34"/>
      <c r="I75" s="34"/>
      <c r="J75" s="37">
        <f>Données!P25</f>
        <v>0</v>
      </c>
      <c r="K75" s="34"/>
      <c r="L75" s="35"/>
    </row>
    <row r="76" spans="6:12" x14ac:dyDescent="0.25">
      <c r="F76" s="117" t="s">
        <v>74</v>
      </c>
      <c r="G76" s="28"/>
      <c r="H76" s="34"/>
      <c r="I76" s="34"/>
      <c r="J76" s="37" t="e">
        <f>Données!#REF!</f>
        <v>#REF!</v>
      </c>
      <c r="K76" s="34"/>
      <c r="L76" s="35"/>
    </row>
    <row r="77" spans="6:12" ht="18.75" x14ac:dyDescent="0.3">
      <c r="F77" s="189" t="s">
        <v>75</v>
      </c>
      <c r="G77" s="190"/>
      <c r="H77" s="190"/>
      <c r="I77" s="190"/>
      <c r="J77" s="190"/>
      <c r="K77" s="190"/>
      <c r="L77" s="38" t="e">
        <f>Données!J29-J62+SUM(J65:J69)-SUM(J71:J76)</f>
        <v>#REF!</v>
      </c>
    </row>
    <row r="78" spans="6:12" x14ac:dyDescent="0.25">
      <c r="F78" s="117" t="s">
        <v>76</v>
      </c>
      <c r="G78" s="28"/>
      <c r="H78" s="16"/>
      <c r="I78" s="16"/>
      <c r="J78" s="16"/>
      <c r="K78" s="16"/>
      <c r="L78" s="39">
        <f>(H37*3.15%)</f>
        <v>0</v>
      </c>
    </row>
    <row r="79" spans="6:12" x14ac:dyDescent="0.25">
      <c r="F79" s="191" t="s">
        <v>77</v>
      </c>
      <c r="G79" s="191"/>
      <c r="H79" s="191"/>
      <c r="I79" s="40" t="s">
        <v>30</v>
      </c>
      <c r="J79" s="192" t="s">
        <v>78</v>
      </c>
      <c r="K79" s="193"/>
      <c r="L79" s="40" t="s">
        <v>23</v>
      </c>
    </row>
    <row r="80" spans="6:12" x14ac:dyDescent="0.25">
      <c r="F80" s="182" t="s">
        <v>79</v>
      </c>
      <c r="G80" s="182"/>
      <c r="H80" s="182"/>
      <c r="I80" s="52" t="e">
        <f>H81</f>
        <v>#REF!</v>
      </c>
      <c r="J80" s="194">
        <v>0</v>
      </c>
      <c r="K80" s="194"/>
      <c r="L80" s="31" t="e">
        <f>I80*J80</f>
        <v>#REF!</v>
      </c>
    </row>
    <row r="81" spans="6:12" x14ac:dyDescent="0.25">
      <c r="F81" s="1" t="s">
        <v>80</v>
      </c>
      <c r="G81" s="1"/>
      <c r="H81" s="181" t="e">
        <f>Données!J29-(SUM(Données!H26:H27))-J62+L31</f>
        <v>#REF!</v>
      </c>
      <c r="I81" s="182"/>
      <c r="J81" s="183" t="s">
        <v>81</v>
      </c>
      <c r="K81" s="183"/>
      <c r="L81" s="183"/>
    </row>
    <row r="82" spans="6:12" ht="15.75" x14ac:dyDescent="0.25">
      <c r="F82" s="44"/>
      <c r="G82" s="16"/>
      <c r="H82" s="16"/>
      <c r="I82" s="16"/>
      <c r="J82" s="184" t="e">
        <f>L77-L80</f>
        <v>#REF!</v>
      </c>
      <c r="K82" s="185"/>
      <c r="L82" s="186"/>
    </row>
    <row r="83" spans="6:12" x14ac:dyDescent="0.25">
      <c r="F83" s="41"/>
      <c r="G83" s="42"/>
      <c r="H83" s="42"/>
      <c r="I83" s="187" t="s">
        <v>82</v>
      </c>
      <c r="J83" s="187"/>
      <c r="K83" s="187"/>
      <c r="L83" s="43" t="e">
        <f>-L58-L57+(H34*1.8%)+(H28*6%)</f>
        <v>#DIV/0!</v>
      </c>
    </row>
    <row r="84" spans="6:12" x14ac:dyDescent="0.25">
      <c r="F84" s="44"/>
      <c r="G84" s="16"/>
      <c r="H84" s="16"/>
      <c r="I84" s="188" t="s">
        <v>83</v>
      </c>
      <c r="J84" s="188"/>
      <c r="K84" s="188"/>
      <c r="L84" s="45" t="e">
        <f>SALBRUT+L62+SUM(J65:J69)</f>
        <v>#REF!</v>
      </c>
    </row>
    <row r="85" spans="6:12" x14ac:dyDescent="0.25">
      <c r="F85" s="174" t="s">
        <v>84</v>
      </c>
      <c r="G85" s="175"/>
      <c r="H85" s="175"/>
      <c r="I85" s="175"/>
      <c r="J85" s="175"/>
      <c r="K85" s="176" t="s">
        <v>85</v>
      </c>
      <c r="L85" s="177"/>
    </row>
    <row r="86" spans="6:12" ht="18.75" x14ac:dyDescent="0.25">
      <c r="F86" s="178" t="s">
        <v>86</v>
      </c>
      <c r="G86" s="179"/>
      <c r="H86" s="179"/>
      <c r="I86" s="179"/>
      <c r="J86" s="179"/>
      <c r="K86" s="179"/>
      <c r="L86" s="180"/>
    </row>
  </sheetData>
  <mergeCells count="22">
    <mergeCell ref="J17:L17"/>
    <mergeCell ref="F4:L5"/>
    <mergeCell ref="J13:L13"/>
    <mergeCell ref="J14:L14"/>
    <mergeCell ref="J15:L15"/>
    <mergeCell ref="J16:L16"/>
    <mergeCell ref="J18:L18"/>
    <mergeCell ref="F49:G49"/>
    <mergeCell ref="F51:G51"/>
    <mergeCell ref="F77:K77"/>
    <mergeCell ref="F79:H79"/>
    <mergeCell ref="J79:K79"/>
    <mergeCell ref="I84:K84"/>
    <mergeCell ref="F85:J85"/>
    <mergeCell ref="K85:L85"/>
    <mergeCell ref="F86:L86"/>
    <mergeCell ref="F80:H80"/>
    <mergeCell ref="J80:K80"/>
    <mergeCell ref="H81:I81"/>
    <mergeCell ref="J81:L81"/>
    <mergeCell ref="J82:L82"/>
    <mergeCell ref="I83:K83"/>
  </mergeCells>
  <hyperlinks>
    <hyperlink ref="K85" r:id="rId1"/>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F4:L86"/>
  <sheetViews>
    <sheetView workbookViewId="0">
      <selection activeCell="F4" sqref="F4:L86"/>
    </sheetView>
  </sheetViews>
  <sheetFormatPr baseColWidth="10" defaultRowHeight="15" x14ac:dyDescent="0.25"/>
  <sheetData>
    <row r="4" spans="6:12" x14ac:dyDescent="0.25">
      <c r="F4" s="199" t="s">
        <v>0</v>
      </c>
      <c r="G4" s="200"/>
      <c r="H4" s="200"/>
      <c r="I4" s="200"/>
      <c r="J4" s="200"/>
      <c r="K4" s="200"/>
      <c r="L4" s="201"/>
    </row>
    <row r="5" spans="6:12" x14ac:dyDescent="0.25">
      <c r="F5" s="202"/>
      <c r="G5" s="203"/>
      <c r="H5" s="203"/>
      <c r="I5" s="203"/>
      <c r="J5" s="203"/>
      <c r="K5" s="203"/>
      <c r="L5" s="204"/>
    </row>
    <row r="6" spans="6:12" x14ac:dyDescent="0.25">
      <c r="F6" s="3" t="s">
        <v>4</v>
      </c>
      <c r="G6" s="5"/>
      <c r="H6" s="4"/>
      <c r="I6" s="3" t="s">
        <v>118</v>
      </c>
      <c r="J6" s="74" t="s">
        <v>115</v>
      </c>
      <c r="K6" s="6"/>
      <c r="L6" s="4"/>
    </row>
    <row r="7" spans="6:12" x14ac:dyDescent="0.25">
      <c r="F7" s="7" t="s">
        <v>7</v>
      </c>
      <c r="G7" s="9"/>
      <c r="H7" s="8"/>
      <c r="I7" s="7"/>
      <c r="J7" s="9"/>
      <c r="K7" s="10"/>
      <c r="L7" s="8"/>
    </row>
    <row r="8" spans="6:12" x14ac:dyDescent="0.25">
      <c r="F8" s="7"/>
      <c r="G8" s="9"/>
      <c r="H8" s="8"/>
      <c r="I8" s="7"/>
      <c r="J8" s="9"/>
      <c r="K8" s="9"/>
      <c r="L8" s="8"/>
    </row>
    <row r="9" spans="6:12" x14ac:dyDescent="0.25">
      <c r="F9" s="7" t="s">
        <v>10</v>
      </c>
      <c r="G9" s="9"/>
      <c r="H9" s="8"/>
      <c r="I9" s="7"/>
      <c r="J9" s="9" t="s">
        <v>11</v>
      </c>
      <c r="K9" s="9"/>
      <c r="L9" s="8"/>
    </row>
    <row r="10" spans="6:12" x14ac:dyDescent="0.25">
      <c r="F10" s="7" t="s">
        <v>12</v>
      </c>
      <c r="G10" s="9"/>
      <c r="H10" s="8"/>
      <c r="I10" s="7"/>
      <c r="J10" s="9"/>
      <c r="K10" s="9"/>
      <c r="L10" s="8"/>
    </row>
    <row r="11" spans="6:12" x14ac:dyDescent="0.25">
      <c r="F11" s="7" t="s">
        <v>13</v>
      </c>
      <c r="G11" s="9"/>
      <c r="H11" s="8"/>
      <c r="I11" s="7"/>
      <c r="J11" s="9"/>
      <c r="K11" s="9"/>
      <c r="L11" s="8"/>
    </row>
    <row r="12" spans="6:12" x14ac:dyDescent="0.25">
      <c r="F12" s="11" t="s">
        <v>14</v>
      </c>
      <c r="G12" s="13"/>
      <c r="H12" s="12"/>
      <c r="I12" s="11"/>
      <c r="J12" s="13"/>
      <c r="K12" s="13"/>
      <c r="L12" s="14"/>
    </row>
    <row r="13" spans="6:12" x14ac:dyDescent="0.25">
      <c r="F13" s="7" t="s">
        <v>16</v>
      </c>
      <c r="G13" s="9"/>
      <c r="H13" s="9"/>
      <c r="I13" s="9" t="s">
        <v>15</v>
      </c>
      <c r="J13" s="205"/>
      <c r="K13" s="205"/>
      <c r="L13" s="206"/>
    </row>
    <row r="14" spans="6:12" x14ac:dyDescent="0.25">
      <c r="F14" s="7" t="s">
        <v>90</v>
      </c>
      <c r="G14" s="9"/>
      <c r="H14" s="9"/>
      <c r="I14" s="9" t="s">
        <v>7</v>
      </c>
      <c r="J14" s="205"/>
      <c r="K14" s="205"/>
      <c r="L14" s="206"/>
    </row>
    <row r="15" spans="6:12" x14ac:dyDescent="0.25">
      <c r="F15" s="7" t="s">
        <v>17</v>
      </c>
      <c r="G15" s="9"/>
      <c r="H15" s="77"/>
      <c r="I15" s="9"/>
      <c r="J15" s="205"/>
      <c r="K15" s="205"/>
      <c r="L15" s="206"/>
    </row>
    <row r="16" spans="6:12" x14ac:dyDescent="0.25">
      <c r="F16" s="7" t="s">
        <v>18</v>
      </c>
      <c r="G16" s="9"/>
      <c r="H16" s="72"/>
      <c r="I16" s="9"/>
      <c r="J16" s="207"/>
      <c r="K16" s="207"/>
      <c r="L16" s="208"/>
    </row>
    <row r="17" spans="6:12" x14ac:dyDescent="0.25">
      <c r="F17" s="7" t="s">
        <v>20</v>
      </c>
      <c r="G17" s="9"/>
      <c r="H17" s="77"/>
      <c r="I17" s="9"/>
      <c r="J17" s="207"/>
      <c r="K17" s="207"/>
      <c r="L17" s="208"/>
    </row>
    <row r="18" spans="6:12" x14ac:dyDescent="0.25">
      <c r="F18" s="75" t="s">
        <v>117</v>
      </c>
      <c r="G18" s="78" t="str">
        <f>Données!G24</f>
        <v/>
      </c>
      <c r="H18" s="73" t="s">
        <v>114</v>
      </c>
      <c r="I18" s="13"/>
      <c r="J18" s="209"/>
      <c r="K18" s="209"/>
      <c r="L18" s="210"/>
    </row>
    <row r="19" spans="6:12" x14ac:dyDescent="0.25">
      <c r="F19" s="44"/>
      <c r="G19" s="16"/>
      <c r="H19" s="34" t="s">
        <v>21</v>
      </c>
      <c r="I19" s="34" t="s">
        <v>22</v>
      </c>
      <c r="J19" s="34" t="s">
        <v>23</v>
      </c>
      <c r="K19" s="16"/>
      <c r="L19" s="15"/>
    </row>
    <row r="20" spans="6:12" x14ac:dyDescent="0.25">
      <c r="F20" s="44" t="s">
        <v>24</v>
      </c>
      <c r="G20" s="16"/>
      <c r="H20" s="34" t="e">
        <f>Données!#REF!</f>
        <v>#REF!</v>
      </c>
      <c r="I20" s="37">
        <f>Données!O32</f>
        <v>0</v>
      </c>
      <c r="J20" s="37">
        <f>Données!O33</f>
        <v>0</v>
      </c>
      <c r="K20" s="16"/>
      <c r="L20" s="17"/>
    </row>
    <row r="21" spans="6:12" x14ac:dyDescent="0.25">
      <c r="F21" s="44"/>
      <c r="G21" s="16"/>
      <c r="H21" s="37"/>
      <c r="I21" s="37"/>
      <c r="J21" s="37"/>
      <c r="K21" s="16"/>
      <c r="L21" s="17"/>
    </row>
    <row r="22" spans="6:12" x14ac:dyDescent="0.25">
      <c r="F22" s="44"/>
      <c r="G22" s="16"/>
      <c r="H22" s="34"/>
      <c r="I22" s="37"/>
      <c r="J22" s="37"/>
      <c r="K22" s="16"/>
      <c r="L22" s="17"/>
    </row>
    <row r="23" spans="6:12" x14ac:dyDescent="0.25">
      <c r="F23" s="44" t="s">
        <v>25</v>
      </c>
      <c r="G23" s="16"/>
      <c r="H23" s="37">
        <f>Données!K29</f>
        <v>0</v>
      </c>
      <c r="I23" s="37" t="e">
        <f>Données!#REF!</f>
        <v>#REF!</v>
      </c>
      <c r="J23" s="111" t="e">
        <f>H23*I23</f>
        <v>#REF!</v>
      </c>
      <c r="K23" s="37"/>
      <c r="L23" s="17"/>
    </row>
    <row r="24" spans="6:12" x14ac:dyDescent="0.25">
      <c r="F24" s="44" t="s">
        <v>26</v>
      </c>
      <c r="G24" s="16"/>
      <c r="H24" s="37">
        <f>Données!K30</f>
        <v>0</v>
      </c>
      <c r="I24" s="37" t="e">
        <f>Données!#REF!</f>
        <v>#REF!</v>
      </c>
      <c r="J24" s="111" t="e">
        <f>H24*I24</f>
        <v>#REF!</v>
      </c>
      <c r="K24" s="16"/>
      <c r="L24" s="17"/>
    </row>
    <row r="25" spans="6:12" x14ac:dyDescent="0.25">
      <c r="F25" s="44"/>
      <c r="G25" s="16"/>
      <c r="H25" s="34"/>
      <c r="I25" s="37"/>
      <c r="J25" s="111"/>
      <c r="K25" s="16"/>
      <c r="L25" s="17"/>
    </row>
    <row r="26" spans="6:12" x14ac:dyDescent="0.25">
      <c r="F26" s="44" t="s">
        <v>27</v>
      </c>
      <c r="G26" s="16"/>
      <c r="H26" s="34">
        <f>Données!K27</f>
        <v>0</v>
      </c>
      <c r="I26" s="37">
        <f>Données!O32</f>
        <v>0</v>
      </c>
      <c r="J26" s="111" t="e">
        <f>Données!#REF!</f>
        <v>#REF!</v>
      </c>
      <c r="K26" s="16"/>
      <c r="L26" s="17"/>
    </row>
    <row r="27" spans="6:12" x14ac:dyDescent="0.25">
      <c r="F27" s="112" t="s">
        <v>28</v>
      </c>
      <c r="G27" s="18"/>
      <c r="H27" s="18"/>
      <c r="I27" s="18"/>
      <c r="J27" s="18"/>
      <c r="K27" s="18"/>
      <c r="L27" s="19"/>
    </row>
    <row r="28" spans="6:12" x14ac:dyDescent="0.25">
      <c r="F28" s="113" t="s">
        <v>29</v>
      </c>
      <c r="G28" s="114"/>
      <c r="H28" s="110" t="s">
        <v>30</v>
      </c>
      <c r="I28" s="110" t="s">
        <v>31</v>
      </c>
      <c r="J28" s="110" t="s">
        <v>32</v>
      </c>
      <c r="K28" s="110" t="s">
        <v>33</v>
      </c>
      <c r="L28" s="110" t="s">
        <v>23</v>
      </c>
    </row>
    <row r="29" spans="6:12" x14ac:dyDescent="0.25">
      <c r="F29" s="115" t="s">
        <v>34</v>
      </c>
      <c r="G29" s="116"/>
      <c r="H29" s="20">
        <f>Données!J29</f>
        <v>0</v>
      </c>
      <c r="I29" s="82"/>
      <c r="J29" s="83"/>
      <c r="K29" s="82">
        <f>IF(Données!J29&lt;=(2.5*Données!B15),7%,13%)</f>
        <v>7.0000000000000007E-2</v>
      </c>
      <c r="L29" s="20">
        <f>H29*K29</f>
        <v>0</v>
      </c>
    </row>
    <row r="30" spans="6:12" x14ac:dyDescent="0.25">
      <c r="F30" s="115" t="s">
        <v>35</v>
      </c>
      <c r="G30" s="116"/>
      <c r="H30" s="20"/>
      <c r="I30" s="82"/>
      <c r="J30" s="84">
        <f>H30*I30</f>
        <v>0</v>
      </c>
      <c r="K30" s="82"/>
      <c r="L30" s="20">
        <f>H30*K30</f>
        <v>0</v>
      </c>
    </row>
    <row r="31" spans="6:12" x14ac:dyDescent="0.25">
      <c r="F31" s="117" t="s">
        <v>134</v>
      </c>
      <c r="G31" s="28"/>
      <c r="H31" s="20">
        <f>Données!J35</f>
        <v>1.2999999999999999E-2</v>
      </c>
      <c r="I31" s="82">
        <f>Données!K35</f>
        <v>0</v>
      </c>
      <c r="J31" s="84">
        <f>H31*I31</f>
        <v>0</v>
      </c>
      <c r="K31" s="82">
        <f>Données!L35</f>
        <v>0</v>
      </c>
      <c r="L31" s="20">
        <f>H31*K31</f>
        <v>0</v>
      </c>
    </row>
    <row r="32" spans="6:12" x14ac:dyDescent="0.25">
      <c r="F32" s="113" t="s">
        <v>36</v>
      </c>
      <c r="G32" s="114"/>
      <c r="H32" s="20">
        <f>Données!J29</f>
        <v>0</v>
      </c>
      <c r="I32" s="21"/>
      <c r="J32" s="20"/>
      <c r="K32" s="21">
        <f>Données!J36</f>
        <v>0</v>
      </c>
      <c r="L32" s="20">
        <f>H32*K32</f>
        <v>0</v>
      </c>
    </row>
    <row r="33" spans="6:12" x14ac:dyDescent="0.25">
      <c r="F33" s="118"/>
      <c r="G33" s="58"/>
      <c r="H33" s="20"/>
      <c r="I33" s="21"/>
      <c r="J33" s="20"/>
      <c r="K33" s="21"/>
      <c r="L33" s="20"/>
    </row>
    <row r="34" spans="6:12" x14ac:dyDescent="0.25">
      <c r="F34" s="113" t="s">
        <v>37</v>
      </c>
      <c r="G34" s="114"/>
      <c r="H34" s="20"/>
      <c r="I34" s="21"/>
      <c r="J34" s="20"/>
      <c r="K34" s="21"/>
      <c r="L34" s="20"/>
    </row>
    <row r="35" spans="6:12" x14ac:dyDescent="0.25">
      <c r="F35" s="115" t="s">
        <v>38</v>
      </c>
      <c r="G35" s="116"/>
      <c r="H35" s="20">
        <f>Données!J29</f>
        <v>0</v>
      </c>
      <c r="I35" s="21"/>
      <c r="J35" s="20"/>
      <c r="K35" s="85">
        <f>IF(Données!J29&lt;=(3.5*Données!B15),3.45%,5.25%)</f>
        <v>3.4500000000000003E-2</v>
      </c>
      <c r="L35" s="20">
        <f>H35*K35</f>
        <v>0</v>
      </c>
    </row>
    <row r="36" spans="6:12" x14ac:dyDescent="0.25">
      <c r="F36" s="113" t="s">
        <v>39</v>
      </c>
      <c r="G36" s="114"/>
      <c r="H36" s="20"/>
      <c r="I36" s="21"/>
      <c r="J36" s="22"/>
      <c r="K36" s="21"/>
      <c r="L36" s="20"/>
    </row>
    <row r="37" spans="6:12" x14ac:dyDescent="0.25">
      <c r="F37" s="117" t="s">
        <v>40</v>
      </c>
      <c r="G37" s="28"/>
      <c r="H37" s="20">
        <f>Données!J29</f>
        <v>0</v>
      </c>
      <c r="I37" s="21"/>
      <c r="J37" s="22"/>
      <c r="K37" s="21">
        <f>Données!J37</f>
        <v>0</v>
      </c>
      <c r="L37" s="20">
        <f>H37*K37</f>
        <v>0</v>
      </c>
    </row>
    <row r="38" spans="6:12" x14ac:dyDescent="0.25">
      <c r="F38" s="117" t="s">
        <v>41</v>
      </c>
      <c r="G38" s="28"/>
      <c r="H38" s="20">
        <f>Données!J29</f>
        <v>0</v>
      </c>
      <c r="I38" s="21"/>
      <c r="J38" s="22"/>
      <c r="K38" s="21" t="e">
        <f>Données!#REF!</f>
        <v>#REF!</v>
      </c>
      <c r="L38" s="20" t="e">
        <f>H38*K38</f>
        <v>#REF!</v>
      </c>
    </row>
    <row r="39" spans="6:12" x14ac:dyDescent="0.25">
      <c r="F39" s="113" t="s">
        <v>42</v>
      </c>
      <c r="G39" s="114"/>
      <c r="H39" s="20"/>
      <c r="I39" s="82"/>
      <c r="J39" s="22"/>
      <c r="K39" s="21"/>
      <c r="L39" s="20"/>
    </row>
    <row r="40" spans="6:12" x14ac:dyDescent="0.25">
      <c r="F40" s="115" t="s">
        <v>43</v>
      </c>
      <c r="G40" s="116"/>
      <c r="H40" s="20">
        <f>Données!J29</f>
        <v>0</v>
      </c>
      <c r="I40" s="82">
        <v>6.9000000000000006E-2</v>
      </c>
      <c r="J40" s="20">
        <f>IF(Données!I31="Exonération de cotisation",0,H40*I40)</f>
        <v>0</v>
      </c>
      <c r="K40" s="21">
        <v>8.5500000000000007E-2</v>
      </c>
      <c r="L40" s="20">
        <f>Données!J29*K40</f>
        <v>0</v>
      </c>
    </row>
    <row r="41" spans="6:12" x14ac:dyDescent="0.25">
      <c r="F41" s="115" t="s">
        <v>44</v>
      </c>
      <c r="G41" s="116"/>
      <c r="H41" s="20">
        <f>Données!J29</f>
        <v>0</v>
      </c>
      <c r="I41" s="82">
        <v>4.0000000000000001E-3</v>
      </c>
      <c r="J41" s="20">
        <f>IF(Données!I31="Exonération de cotisation",0,H41*I41)</f>
        <v>0</v>
      </c>
      <c r="K41" s="21">
        <v>2.0199999999999999E-2</v>
      </c>
      <c r="L41" s="20">
        <f>Données!J29*K41</f>
        <v>0</v>
      </c>
    </row>
    <row r="42" spans="6:12" x14ac:dyDescent="0.25">
      <c r="F42" s="117" t="s">
        <v>45</v>
      </c>
      <c r="G42" s="28"/>
      <c r="H42" s="20">
        <f>Données!J29</f>
        <v>0</v>
      </c>
      <c r="I42" s="82">
        <v>3.15E-2</v>
      </c>
      <c r="J42" s="20">
        <f>IF(Données!I31="Exonération de cotisation",0,H42*I42)</f>
        <v>0</v>
      </c>
      <c r="K42" s="21">
        <v>4.7199999999999999E-2</v>
      </c>
      <c r="L42" s="20">
        <f>Données!J29*K42</f>
        <v>0</v>
      </c>
    </row>
    <row r="43" spans="6:12" x14ac:dyDescent="0.25">
      <c r="F43" s="117" t="s">
        <v>46</v>
      </c>
      <c r="G43" s="28"/>
      <c r="H43" s="20">
        <f>Données!J29</f>
        <v>0</v>
      </c>
      <c r="I43" s="82">
        <v>8.6E-3</v>
      </c>
      <c r="J43" s="20">
        <f>IF(Données!I31="Exonération de cotisation",0,H43*I43)</f>
        <v>0</v>
      </c>
      <c r="K43" s="21">
        <v>1.29E-2</v>
      </c>
      <c r="L43" s="20">
        <f>Données!J29*K43</f>
        <v>0</v>
      </c>
    </row>
    <row r="44" spans="6:12" x14ac:dyDescent="0.25">
      <c r="F44" s="113" t="s">
        <v>47</v>
      </c>
      <c r="G44" s="114"/>
      <c r="H44" s="20"/>
      <c r="I44" s="82"/>
      <c r="J44" s="22"/>
      <c r="K44" s="21"/>
      <c r="L44" s="20"/>
    </row>
    <row r="45" spans="6:12" x14ac:dyDescent="0.25">
      <c r="F45" s="119" t="s">
        <v>48</v>
      </c>
      <c r="G45" s="120"/>
      <c r="H45" s="20">
        <f>IF(Données!B34&lt;50,Données!J29,0)</f>
        <v>0</v>
      </c>
      <c r="I45" s="21"/>
      <c r="J45" s="22"/>
      <c r="K45" s="21">
        <v>1E-3</v>
      </c>
      <c r="L45" s="20">
        <f>K45*H45</f>
        <v>0</v>
      </c>
    </row>
    <row r="46" spans="6:12" x14ac:dyDescent="0.25">
      <c r="F46" s="119" t="s">
        <v>49</v>
      </c>
      <c r="G46" s="120"/>
      <c r="H46" s="20">
        <f>IF(Données!B34&gt;=50,Données!J29,0)</f>
        <v>0</v>
      </c>
      <c r="I46" s="21"/>
      <c r="J46" s="22"/>
      <c r="K46" s="21">
        <v>5.0000000000000001E-3</v>
      </c>
      <c r="L46" s="20">
        <f>H46*K46</f>
        <v>0</v>
      </c>
    </row>
    <row r="47" spans="6:12" x14ac:dyDescent="0.25">
      <c r="F47" s="119" t="s">
        <v>50</v>
      </c>
      <c r="G47" s="120"/>
      <c r="H47" s="20">
        <f>Données!J29</f>
        <v>0</v>
      </c>
      <c r="I47" s="21"/>
      <c r="J47" s="22"/>
      <c r="K47" s="90">
        <v>1.6000000000000001E-4</v>
      </c>
      <c r="L47" s="20">
        <f>H47*K47</f>
        <v>0</v>
      </c>
    </row>
    <row r="48" spans="6:12" x14ac:dyDescent="0.25">
      <c r="F48" s="119" t="s">
        <v>51</v>
      </c>
      <c r="G48" s="120"/>
      <c r="H48" s="20">
        <f>Données!J29</f>
        <v>0</v>
      </c>
      <c r="I48" s="21"/>
      <c r="J48" s="22"/>
      <c r="K48" s="21">
        <v>3.0000000000000001E-3</v>
      </c>
      <c r="L48" s="20">
        <f>H48*K48</f>
        <v>0</v>
      </c>
    </row>
    <row r="49" spans="6:12" x14ac:dyDescent="0.25">
      <c r="F49" s="195" t="s">
        <v>127</v>
      </c>
      <c r="G49" s="196"/>
      <c r="H49" s="20">
        <f>Données!J29</f>
        <v>0</v>
      </c>
      <c r="I49" s="21"/>
      <c r="J49" s="22"/>
      <c r="K49" s="21">
        <v>0.08</v>
      </c>
      <c r="L49" s="20">
        <f>IF(Données!B34&gt;=11,H49*K49,0)</f>
        <v>0</v>
      </c>
    </row>
    <row r="50" spans="6:12" x14ac:dyDescent="0.25">
      <c r="F50" s="121" t="str">
        <f>IF(Données!B35="Non","Taxe d'apprentissage hors Alsace Moselle","Taxe d'apprentissage Alsace Moselle")</f>
        <v>Taxe d'apprentissage Alsace Moselle</v>
      </c>
      <c r="G50" s="122"/>
      <c r="H50" s="20">
        <f>Données!J29</f>
        <v>0</v>
      </c>
      <c r="I50" s="21"/>
      <c r="J50" s="22"/>
      <c r="K50" s="21">
        <f>IF(Données!B35="Non",0.68%,0.44%)</f>
        <v>4.4000000000000003E-3</v>
      </c>
      <c r="L50" s="20">
        <f>H50*K50</f>
        <v>0</v>
      </c>
    </row>
    <row r="51" spans="6:12" x14ac:dyDescent="0.25">
      <c r="F51" s="197" t="str">
        <f>IF(Données!B34&lt;11,"Contribution unique à la formation professionnelle entreprise &lt;11 salariés","Contribution unique à la formation professionnelle entreprise &gt;11 salariés")</f>
        <v>Contribution unique à la formation professionnelle entreprise &gt;11 salariés</v>
      </c>
      <c r="G51" s="198"/>
      <c r="H51" s="20">
        <v>909.71</v>
      </c>
      <c r="I51" s="21"/>
      <c r="J51" s="22"/>
      <c r="K51" s="21">
        <f>IF(Données!B34&lt;11,0.55%,1%)</f>
        <v>0.01</v>
      </c>
      <c r="L51" s="24">
        <f>H51*K51</f>
        <v>9.0971000000000011</v>
      </c>
    </row>
    <row r="52" spans="6:12" x14ac:dyDescent="0.25">
      <c r="F52" s="121" t="s">
        <v>53</v>
      </c>
      <c r="G52" s="122"/>
      <c r="H52" s="20">
        <v>909.71</v>
      </c>
      <c r="I52" s="21"/>
      <c r="J52" s="22"/>
      <c r="K52" s="21">
        <v>0.01</v>
      </c>
      <c r="L52" s="24">
        <f>IF(Données!B34&gt;=50,H52*K52,0*H52)</f>
        <v>9.0971000000000011</v>
      </c>
    </row>
    <row r="53" spans="6:12" x14ac:dyDescent="0.25">
      <c r="F53" s="121" t="s">
        <v>54</v>
      </c>
      <c r="G53" s="122"/>
      <c r="H53" s="20">
        <v>909.71</v>
      </c>
      <c r="I53" s="21"/>
      <c r="J53" s="22"/>
      <c r="K53" s="21">
        <v>0.01</v>
      </c>
      <c r="L53" s="24">
        <f>H53*K53</f>
        <v>9.0971000000000011</v>
      </c>
    </row>
    <row r="54" spans="6:12" x14ac:dyDescent="0.25">
      <c r="F54" s="117"/>
      <c r="G54" s="28"/>
      <c r="H54" s="20"/>
      <c r="I54" s="21"/>
      <c r="J54" s="22"/>
      <c r="K54" s="21"/>
      <c r="L54" s="24"/>
    </row>
    <row r="55" spans="6:12" x14ac:dyDescent="0.25">
      <c r="F55" s="117"/>
      <c r="G55" s="28"/>
      <c r="H55" s="20"/>
      <c r="I55" s="21"/>
      <c r="J55" s="22"/>
      <c r="K55" s="21"/>
      <c r="L55" s="24"/>
    </row>
    <row r="56" spans="6:12" x14ac:dyDescent="0.25">
      <c r="F56" s="117"/>
      <c r="G56" s="28"/>
      <c r="H56" s="20"/>
      <c r="I56" s="21"/>
      <c r="J56" s="22"/>
      <c r="K56" s="21"/>
      <c r="L56" s="24"/>
    </row>
    <row r="57" spans="6:12" x14ac:dyDescent="0.25">
      <c r="F57" s="113" t="s">
        <v>56</v>
      </c>
      <c r="G57" s="114"/>
      <c r="H57" s="20"/>
      <c r="I57" s="21"/>
      <c r="J57" s="22"/>
      <c r="K57" s="21"/>
      <c r="L57" s="20"/>
    </row>
    <row r="58" spans="6:12" x14ac:dyDescent="0.25">
      <c r="F58" s="117" t="s">
        <v>57</v>
      </c>
      <c r="G58" s="28"/>
      <c r="H58" s="20"/>
      <c r="I58" s="21"/>
      <c r="J58" s="22"/>
      <c r="K58" s="123" t="e">
        <f>(IF(Données!J29&lt;50,0.3191,0.3231)/0.6)*((1.6*(Données!B15*12)/(Données!J29*12))-1)%</f>
        <v>#DIV/0!</v>
      </c>
      <c r="L58" s="20" t="e">
        <f>-K58*(Données!J29*12)</f>
        <v>#DIV/0!</v>
      </c>
    </row>
    <row r="59" spans="6:12" x14ac:dyDescent="0.25">
      <c r="F59" s="117" t="s">
        <v>130</v>
      </c>
      <c r="G59" s="28"/>
      <c r="H59" s="20"/>
      <c r="I59" s="21"/>
      <c r="J59" s="22"/>
      <c r="K59" s="21">
        <f>IF(Données!B34&lt;20,-1.5%,-0.5%)</f>
        <v>-5.0000000000000001E-3</v>
      </c>
      <c r="L59" s="24">
        <f>SUM(Données!F26:F30)*K59</f>
        <v>-52.25</v>
      </c>
    </row>
    <row r="60" spans="6:12" x14ac:dyDescent="0.25">
      <c r="F60" s="117" t="s">
        <v>59</v>
      </c>
      <c r="G60" s="28"/>
      <c r="H60" s="20" t="e">
        <f>Bulletin!#REF!</f>
        <v>#REF!</v>
      </c>
      <c r="I60" s="21">
        <v>0.11310000000000001</v>
      </c>
      <c r="J60" s="20" t="e">
        <f>H60*I60</f>
        <v>#REF!</v>
      </c>
      <c r="K60" s="25"/>
      <c r="L60" s="24"/>
    </row>
    <row r="61" spans="6:12" x14ac:dyDescent="0.25">
      <c r="F61" s="117" t="s">
        <v>60</v>
      </c>
      <c r="G61" s="28"/>
      <c r="H61" s="20" t="e">
        <f>Bulletin!#REF!</f>
        <v>#REF!</v>
      </c>
      <c r="I61" s="87">
        <v>0.11310000000000001</v>
      </c>
      <c r="J61" s="86" t="e">
        <f>H61*I61</f>
        <v>#REF!</v>
      </c>
      <c r="K61" s="88"/>
      <c r="L61" s="89"/>
    </row>
    <row r="62" spans="6:12" x14ac:dyDescent="0.25">
      <c r="F62" s="29" t="s">
        <v>61</v>
      </c>
      <c r="G62" s="76"/>
      <c r="H62" s="30"/>
      <c r="I62" s="30"/>
      <c r="J62" s="31" t="e">
        <f>SUM(J28:J60)</f>
        <v>#REF!</v>
      </c>
      <c r="K62" s="32"/>
      <c r="L62" s="31" t="e">
        <f>SUM(L28:L58)</f>
        <v>#REF!</v>
      </c>
    </row>
    <row r="63" spans="6:12" x14ac:dyDescent="0.25">
      <c r="F63" s="44"/>
      <c r="G63" s="16"/>
      <c r="H63" s="16"/>
      <c r="I63" s="16"/>
      <c r="J63" s="16"/>
      <c r="K63" s="16"/>
      <c r="L63" s="17"/>
    </row>
    <row r="64" spans="6:12" x14ac:dyDescent="0.25">
      <c r="F64" s="124" t="s">
        <v>62</v>
      </c>
      <c r="G64" s="33"/>
      <c r="H64" s="16"/>
      <c r="I64" s="16"/>
      <c r="J64" s="16"/>
      <c r="K64" s="16"/>
      <c r="L64" s="17"/>
    </row>
    <row r="65" spans="6:12" x14ac:dyDescent="0.25">
      <c r="F65" s="117" t="s">
        <v>63</v>
      </c>
      <c r="G65" s="28"/>
      <c r="H65" s="34">
        <f>Données!M28</f>
        <v>0</v>
      </c>
      <c r="I65" s="95">
        <f>Données!N28</f>
        <v>0</v>
      </c>
      <c r="J65" s="34">
        <f>H65*I65</f>
        <v>0</v>
      </c>
      <c r="K65" s="34"/>
      <c r="L65" s="35"/>
    </row>
    <row r="66" spans="6:12" x14ac:dyDescent="0.25">
      <c r="F66" s="117" t="s">
        <v>64</v>
      </c>
      <c r="G66" s="28"/>
      <c r="H66" s="34"/>
      <c r="I66" s="34"/>
      <c r="J66" s="34">
        <f>H66*I66</f>
        <v>0</v>
      </c>
      <c r="K66" s="34"/>
      <c r="L66" s="35"/>
    </row>
    <row r="67" spans="6:12" x14ac:dyDescent="0.25">
      <c r="F67" s="117" t="s">
        <v>65</v>
      </c>
      <c r="G67" s="28"/>
      <c r="H67" s="34"/>
      <c r="I67" s="34"/>
      <c r="J67" s="34">
        <f>H67*I67</f>
        <v>0</v>
      </c>
      <c r="K67" s="34"/>
      <c r="L67" s="35"/>
    </row>
    <row r="68" spans="6:12" x14ac:dyDescent="0.25">
      <c r="F68" s="117" t="s">
        <v>66</v>
      </c>
      <c r="G68" s="28"/>
      <c r="H68" s="34"/>
      <c r="I68" s="34"/>
      <c r="J68" s="34">
        <f>H68*I68</f>
        <v>0</v>
      </c>
      <c r="K68" s="34"/>
      <c r="L68" s="35"/>
    </row>
    <row r="69" spans="6:12" x14ac:dyDescent="0.25">
      <c r="F69" s="117" t="s">
        <v>67</v>
      </c>
      <c r="G69" s="28"/>
      <c r="H69" s="34"/>
      <c r="I69" s="34"/>
      <c r="J69" s="34"/>
      <c r="K69" s="34"/>
      <c r="L69" s="35"/>
    </row>
    <row r="70" spans="6:12" x14ac:dyDescent="0.25">
      <c r="F70" s="124" t="s">
        <v>68</v>
      </c>
      <c r="G70" s="33"/>
      <c r="H70" s="34"/>
      <c r="I70" s="34"/>
      <c r="J70" s="34"/>
      <c r="K70" s="34"/>
      <c r="L70" s="35"/>
    </row>
    <row r="71" spans="6:12" x14ac:dyDescent="0.25">
      <c r="F71" s="117" t="s">
        <v>69</v>
      </c>
      <c r="G71" s="28"/>
      <c r="H71" s="34">
        <f>Données!J49*Données!J52</f>
        <v>0</v>
      </c>
      <c r="I71" s="36">
        <v>0.5</v>
      </c>
      <c r="J71" s="34">
        <f>H71*I71</f>
        <v>0</v>
      </c>
      <c r="K71" s="36"/>
      <c r="L71" s="35"/>
    </row>
    <row r="72" spans="6:12" x14ac:dyDescent="0.25">
      <c r="F72" s="117" t="s">
        <v>70</v>
      </c>
      <c r="G72" s="28"/>
      <c r="H72" s="34"/>
      <c r="I72" s="36"/>
      <c r="J72" s="37"/>
      <c r="K72" s="36"/>
      <c r="L72" s="17"/>
    </row>
    <row r="73" spans="6:12" x14ac:dyDescent="0.25">
      <c r="F73" s="117" t="s">
        <v>71</v>
      </c>
      <c r="G73" s="28"/>
      <c r="H73" s="34">
        <f>Données!N23</f>
        <v>0</v>
      </c>
      <c r="I73" s="106">
        <f>Données!O23</f>
        <v>0</v>
      </c>
      <c r="J73" s="37">
        <f>IF(Données!P23&gt;0,Données!P23,0)</f>
        <v>0</v>
      </c>
      <c r="K73" s="34"/>
      <c r="L73" s="35"/>
    </row>
    <row r="74" spans="6:12" x14ac:dyDescent="0.25">
      <c r="F74" s="117" t="s">
        <v>72</v>
      </c>
      <c r="G74" s="28"/>
      <c r="H74" s="34"/>
      <c r="I74" s="34"/>
      <c r="J74" s="37">
        <f>Données!P24</f>
        <v>0</v>
      </c>
      <c r="K74" s="34"/>
      <c r="L74" s="35"/>
    </row>
    <row r="75" spans="6:12" x14ac:dyDescent="0.25">
      <c r="F75" s="117" t="s">
        <v>73</v>
      </c>
      <c r="G75" s="28"/>
      <c r="H75" s="34"/>
      <c r="I75" s="34"/>
      <c r="J75" s="37">
        <f>Données!P25</f>
        <v>0</v>
      </c>
      <c r="K75" s="34"/>
      <c r="L75" s="35"/>
    </row>
    <row r="76" spans="6:12" x14ac:dyDescent="0.25">
      <c r="F76" s="117" t="s">
        <v>74</v>
      </c>
      <c r="G76" s="28"/>
      <c r="H76" s="34"/>
      <c r="I76" s="34"/>
      <c r="J76" s="37" t="e">
        <f>Données!#REF!</f>
        <v>#REF!</v>
      </c>
      <c r="K76" s="34"/>
      <c r="L76" s="35"/>
    </row>
    <row r="77" spans="6:12" ht="18.75" x14ac:dyDescent="0.3">
      <c r="F77" s="189" t="s">
        <v>75</v>
      </c>
      <c r="G77" s="190"/>
      <c r="H77" s="190"/>
      <c r="I77" s="190"/>
      <c r="J77" s="190"/>
      <c r="K77" s="190"/>
      <c r="L77" s="38" t="e">
        <f>Données!J29-J62+SUM(J65:J69)-SUM(J71:J76)</f>
        <v>#REF!</v>
      </c>
    </row>
    <row r="78" spans="6:12" x14ac:dyDescent="0.25">
      <c r="F78" s="117" t="s">
        <v>76</v>
      </c>
      <c r="G78" s="28"/>
      <c r="H78" s="16"/>
      <c r="I78" s="16"/>
      <c r="J78" s="16"/>
      <c r="K78" s="16"/>
      <c r="L78" s="39">
        <f>(H37*3.15%)</f>
        <v>0</v>
      </c>
    </row>
    <row r="79" spans="6:12" x14ac:dyDescent="0.25">
      <c r="F79" s="191" t="s">
        <v>77</v>
      </c>
      <c r="G79" s="191"/>
      <c r="H79" s="191"/>
      <c r="I79" s="40" t="s">
        <v>30</v>
      </c>
      <c r="J79" s="192" t="s">
        <v>78</v>
      </c>
      <c r="K79" s="193"/>
      <c r="L79" s="40" t="s">
        <v>23</v>
      </c>
    </row>
    <row r="80" spans="6:12" x14ac:dyDescent="0.25">
      <c r="F80" s="182" t="s">
        <v>79</v>
      </c>
      <c r="G80" s="182"/>
      <c r="H80" s="182"/>
      <c r="I80" s="52" t="e">
        <f>H81</f>
        <v>#REF!</v>
      </c>
      <c r="J80" s="194">
        <v>0</v>
      </c>
      <c r="K80" s="194"/>
      <c r="L80" s="31" t="e">
        <f>I80*J80</f>
        <v>#REF!</v>
      </c>
    </row>
    <row r="81" spans="6:12" x14ac:dyDescent="0.25">
      <c r="F81" s="1" t="s">
        <v>80</v>
      </c>
      <c r="G81" s="1"/>
      <c r="H81" s="181" t="e">
        <f>Données!J29-(SUM(Données!H26:H27))-J62+L31</f>
        <v>#REF!</v>
      </c>
      <c r="I81" s="182"/>
      <c r="J81" s="183" t="s">
        <v>81</v>
      </c>
      <c r="K81" s="183"/>
      <c r="L81" s="183"/>
    </row>
    <row r="82" spans="6:12" ht="15.75" x14ac:dyDescent="0.25">
      <c r="F82" s="44"/>
      <c r="G82" s="16"/>
      <c r="H82" s="16"/>
      <c r="I82" s="16"/>
      <c r="J82" s="184" t="e">
        <f>L77-L80</f>
        <v>#REF!</v>
      </c>
      <c r="K82" s="185"/>
      <c r="L82" s="186"/>
    </row>
    <row r="83" spans="6:12" x14ac:dyDescent="0.25">
      <c r="F83" s="41"/>
      <c r="G83" s="42"/>
      <c r="H83" s="42"/>
      <c r="I83" s="187" t="s">
        <v>82</v>
      </c>
      <c r="J83" s="187"/>
      <c r="K83" s="187"/>
      <c r="L83" s="43" t="e">
        <f>-L58-L57+(H34*1.8%)+(H28*6%)</f>
        <v>#DIV/0!</v>
      </c>
    </row>
    <row r="84" spans="6:12" x14ac:dyDescent="0.25">
      <c r="F84" s="44"/>
      <c r="G84" s="16"/>
      <c r="H84" s="16"/>
      <c r="I84" s="188" t="s">
        <v>83</v>
      </c>
      <c r="J84" s="188"/>
      <c r="K84" s="188"/>
      <c r="L84" s="45" t="e">
        <f>SALBRUT+L62+SUM(J65:J69)</f>
        <v>#REF!</v>
      </c>
    </row>
    <row r="85" spans="6:12" x14ac:dyDescent="0.25">
      <c r="F85" s="174" t="s">
        <v>84</v>
      </c>
      <c r="G85" s="175"/>
      <c r="H85" s="175"/>
      <c r="I85" s="175"/>
      <c r="J85" s="175"/>
      <c r="K85" s="176" t="s">
        <v>85</v>
      </c>
      <c r="L85" s="177"/>
    </row>
    <row r="86" spans="6:12" ht="18.75" x14ac:dyDescent="0.25">
      <c r="F86" s="178" t="s">
        <v>86</v>
      </c>
      <c r="G86" s="179"/>
      <c r="H86" s="179"/>
      <c r="I86" s="179"/>
      <c r="J86" s="179"/>
      <c r="K86" s="179"/>
      <c r="L86" s="180"/>
    </row>
  </sheetData>
  <mergeCells count="22">
    <mergeCell ref="J17:L17"/>
    <mergeCell ref="F4:L5"/>
    <mergeCell ref="J13:L13"/>
    <mergeCell ref="J14:L14"/>
    <mergeCell ref="J15:L15"/>
    <mergeCell ref="J16:L16"/>
    <mergeCell ref="J18:L18"/>
    <mergeCell ref="F49:G49"/>
    <mergeCell ref="F51:G51"/>
    <mergeCell ref="F77:K77"/>
    <mergeCell ref="F79:H79"/>
    <mergeCell ref="J79:K79"/>
    <mergeCell ref="I84:K84"/>
    <mergeCell ref="F85:J85"/>
    <mergeCell ref="K85:L85"/>
    <mergeCell ref="F86:L86"/>
    <mergeCell ref="F80:H80"/>
    <mergeCell ref="J80:K80"/>
    <mergeCell ref="H81:I81"/>
    <mergeCell ref="J81:L81"/>
    <mergeCell ref="J82:L82"/>
    <mergeCell ref="I83:K83"/>
  </mergeCells>
  <hyperlinks>
    <hyperlink ref="K85"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F4:L86"/>
  <sheetViews>
    <sheetView workbookViewId="0">
      <selection activeCell="F4" sqref="F4:L86"/>
    </sheetView>
  </sheetViews>
  <sheetFormatPr baseColWidth="10" defaultRowHeight="15" x14ac:dyDescent="0.25"/>
  <sheetData>
    <row r="4" spans="6:12" x14ac:dyDescent="0.25">
      <c r="F4" s="199" t="s">
        <v>0</v>
      </c>
      <c r="G4" s="200"/>
      <c r="H4" s="200"/>
      <c r="I4" s="200"/>
      <c r="J4" s="200"/>
      <c r="K4" s="200"/>
      <c r="L4" s="201"/>
    </row>
    <row r="5" spans="6:12" x14ac:dyDescent="0.25">
      <c r="F5" s="202"/>
      <c r="G5" s="203"/>
      <c r="H5" s="203"/>
      <c r="I5" s="203"/>
      <c r="J5" s="203"/>
      <c r="K5" s="203"/>
      <c r="L5" s="204"/>
    </row>
    <row r="6" spans="6:12" x14ac:dyDescent="0.25">
      <c r="F6" s="3" t="s">
        <v>4</v>
      </c>
      <c r="G6" s="5"/>
      <c r="H6" s="4"/>
      <c r="I6" s="3" t="s">
        <v>118</v>
      </c>
      <c r="J6" s="74" t="s">
        <v>115</v>
      </c>
      <c r="K6" s="6"/>
      <c r="L6" s="4"/>
    </row>
    <row r="7" spans="6:12" x14ac:dyDescent="0.25">
      <c r="F7" s="7" t="s">
        <v>7</v>
      </c>
      <c r="G7" s="9"/>
      <c r="H7" s="8"/>
      <c r="I7" s="7"/>
      <c r="J7" s="9"/>
      <c r="K7" s="10"/>
      <c r="L7" s="8"/>
    </row>
    <row r="8" spans="6:12" x14ac:dyDescent="0.25">
      <c r="F8" s="7"/>
      <c r="G8" s="9"/>
      <c r="H8" s="8"/>
      <c r="I8" s="7"/>
      <c r="J8" s="9"/>
      <c r="K8" s="9"/>
      <c r="L8" s="8"/>
    </row>
    <row r="9" spans="6:12" x14ac:dyDescent="0.25">
      <c r="F9" s="7" t="s">
        <v>10</v>
      </c>
      <c r="G9" s="9"/>
      <c r="H9" s="8"/>
      <c r="I9" s="7"/>
      <c r="J9" s="9" t="s">
        <v>11</v>
      </c>
      <c r="K9" s="9"/>
      <c r="L9" s="8"/>
    </row>
    <row r="10" spans="6:12" x14ac:dyDescent="0.25">
      <c r="F10" s="7" t="s">
        <v>12</v>
      </c>
      <c r="G10" s="9"/>
      <c r="H10" s="8"/>
      <c r="I10" s="7"/>
      <c r="J10" s="9"/>
      <c r="K10" s="9"/>
      <c r="L10" s="8"/>
    </row>
    <row r="11" spans="6:12" x14ac:dyDescent="0.25">
      <c r="F11" s="7" t="s">
        <v>13</v>
      </c>
      <c r="G11" s="9"/>
      <c r="H11" s="8"/>
      <c r="I11" s="7"/>
      <c r="J11" s="9"/>
      <c r="K11" s="9"/>
      <c r="L11" s="8"/>
    </row>
    <row r="12" spans="6:12" x14ac:dyDescent="0.25">
      <c r="F12" s="11" t="s">
        <v>14</v>
      </c>
      <c r="G12" s="13"/>
      <c r="H12" s="12"/>
      <c r="I12" s="11"/>
      <c r="J12" s="13"/>
      <c r="K12" s="13"/>
      <c r="L12" s="14"/>
    </row>
    <row r="13" spans="6:12" x14ac:dyDescent="0.25">
      <c r="F13" s="7" t="s">
        <v>16</v>
      </c>
      <c r="G13" s="9"/>
      <c r="H13" s="9"/>
      <c r="I13" s="9" t="s">
        <v>15</v>
      </c>
      <c r="J13" s="205"/>
      <c r="K13" s="205"/>
      <c r="L13" s="206"/>
    </row>
    <row r="14" spans="6:12" x14ac:dyDescent="0.25">
      <c r="F14" s="7" t="s">
        <v>90</v>
      </c>
      <c r="G14" s="9"/>
      <c r="H14" s="9"/>
      <c r="I14" s="9" t="s">
        <v>7</v>
      </c>
      <c r="J14" s="205"/>
      <c r="K14" s="205"/>
      <c r="L14" s="206"/>
    </row>
    <row r="15" spans="6:12" x14ac:dyDescent="0.25">
      <c r="F15" s="7" t="s">
        <v>17</v>
      </c>
      <c r="G15" s="9"/>
      <c r="H15" s="77"/>
      <c r="I15" s="9"/>
      <c r="J15" s="205"/>
      <c r="K15" s="205"/>
      <c r="L15" s="206"/>
    </row>
    <row r="16" spans="6:12" x14ac:dyDescent="0.25">
      <c r="F16" s="7" t="s">
        <v>18</v>
      </c>
      <c r="G16" s="9"/>
      <c r="H16" s="72"/>
      <c r="I16" s="9"/>
      <c r="J16" s="207"/>
      <c r="K16" s="207"/>
      <c r="L16" s="208"/>
    </row>
    <row r="17" spans="6:12" x14ac:dyDescent="0.25">
      <c r="F17" s="7" t="s">
        <v>20</v>
      </c>
      <c r="G17" s="9"/>
      <c r="H17" s="77"/>
      <c r="I17" s="9"/>
      <c r="J17" s="207"/>
      <c r="K17" s="207"/>
      <c r="L17" s="208"/>
    </row>
    <row r="18" spans="6:12" x14ac:dyDescent="0.25">
      <c r="F18" s="75" t="s">
        <v>117</v>
      </c>
      <c r="G18" s="78" t="str">
        <f>Données!G24</f>
        <v/>
      </c>
      <c r="H18" s="73" t="s">
        <v>114</v>
      </c>
      <c r="I18" s="13"/>
      <c r="J18" s="209"/>
      <c r="K18" s="209"/>
      <c r="L18" s="210"/>
    </row>
    <row r="19" spans="6:12" x14ac:dyDescent="0.25">
      <c r="F19" s="44"/>
      <c r="G19" s="16"/>
      <c r="H19" s="34" t="s">
        <v>21</v>
      </c>
      <c r="I19" s="34" t="s">
        <v>22</v>
      </c>
      <c r="J19" s="34" t="s">
        <v>23</v>
      </c>
      <c r="K19" s="16"/>
      <c r="L19" s="15"/>
    </row>
    <row r="20" spans="6:12" x14ac:dyDescent="0.25">
      <c r="F20" s="44" t="s">
        <v>24</v>
      </c>
      <c r="G20" s="16"/>
      <c r="H20" s="34" t="e">
        <f>Données!#REF!</f>
        <v>#REF!</v>
      </c>
      <c r="I20" s="37">
        <f>Données!O32</f>
        <v>0</v>
      </c>
      <c r="J20" s="37">
        <f>Données!O33</f>
        <v>0</v>
      </c>
      <c r="K20" s="16"/>
      <c r="L20" s="17"/>
    </row>
    <row r="21" spans="6:12" x14ac:dyDescent="0.25">
      <c r="F21" s="44"/>
      <c r="G21" s="16"/>
      <c r="H21" s="37"/>
      <c r="I21" s="37"/>
      <c r="J21" s="37"/>
      <c r="K21" s="16"/>
      <c r="L21" s="17"/>
    </row>
    <row r="22" spans="6:12" x14ac:dyDescent="0.25">
      <c r="F22" s="44"/>
      <c r="G22" s="16"/>
      <c r="H22" s="34"/>
      <c r="I22" s="37"/>
      <c r="J22" s="37"/>
      <c r="K22" s="16"/>
      <c r="L22" s="17"/>
    </row>
    <row r="23" spans="6:12" x14ac:dyDescent="0.25">
      <c r="F23" s="44" t="s">
        <v>25</v>
      </c>
      <c r="G23" s="16"/>
      <c r="H23" s="37">
        <f>Données!K29</f>
        <v>0</v>
      </c>
      <c r="I23" s="37" t="e">
        <f>Données!#REF!</f>
        <v>#REF!</v>
      </c>
      <c r="J23" s="111" t="e">
        <f>H23*I23</f>
        <v>#REF!</v>
      </c>
      <c r="K23" s="37"/>
      <c r="L23" s="17"/>
    </row>
    <row r="24" spans="6:12" x14ac:dyDescent="0.25">
      <c r="F24" s="44" t="s">
        <v>26</v>
      </c>
      <c r="G24" s="16"/>
      <c r="H24" s="37">
        <f>Données!K30</f>
        <v>0</v>
      </c>
      <c r="I24" s="37" t="e">
        <f>Données!#REF!</f>
        <v>#REF!</v>
      </c>
      <c r="J24" s="111" t="e">
        <f>H24*I24</f>
        <v>#REF!</v>
      </c>
      <c r="K24" s="16"/>
      <c r="L24" s="17"/>
    </row>
    <row r="25" spans="6:12" x14ac:dyDescent="0.25">
      <c r="F25" s="44"/>
      <c r="G25" s="16"/>
      <c r="H25" s="34"/>
      <c r="I25" s="37"/>
      <c r="J25" s="111"/>
      <c r="K25" s="16"/>
      <c r="L25" s="17"/>
    </row>
    <row r="26" spans="6:12" x14ac:dyDescent="0.25">
      <c r="F26" s="44" t="s">
        <v>27</v>
      </c>
      <c r="G26" s="16"/>
      <c r="H26" s="34">
        <f>Données!K27</f>
        <v>0</v>
      </c>
      <c r="I26" s="37">
        <f>Données!O32</f>
        <v>0</v>
      </c>
      <c r="J26" s="111" t="e">
        <f>Données!#REF!</f>
        <v>#REF!</v>
      </c>
      <c r="K26" s="16"/>
      <c r="L26" s="17"/>
    </row>
    <row r="27" spans="6:12" x14ac:dyDescent="0.25">
      <c r="F27" s="112" t="s">
        <v>28</v>
      </c>
      <c r="G27" s="18"/>
      <c r="H27" s="18"/>
      <c r="I27" s="18"/>
      <c r="J27" s="18"/>
      <c r="K27" s="18"/>
      <c r="L27" s="19"/>
    </row>
    <row r="28" spans="6:12" x14ac:dyDescent="0.25">
      <c r="F28" s="113" t="s">
        <v>29</v>
      </c>
      <c r="G28" s="114"/>
      <c r="H28" s="110" t="s">
        <v>30</v>
      </c>
      <c r="I28" s="110" t="s">
        <v>31</v>
      </c>
      <c r="J28" s="110" t="s">
        <v>32</v>
      </c>
      <c r="K28" s="110" t="s">
        <v>33</v>
      </c>
      <c r="L28" s="110" t="s">
        <v>23</v>
      </c>
    </row>
    <row r="29" spans="6:12" x14ac:dyDescent="0.25">
      <c r="F29" s="115" t="s">
        <v>34</v>
      </c>
      <c r="G29" s="116"/>
      <c r="H29" s="20">
        <f>Données!J29</f>
        <v>0</v>
      </c>
      <c r="I29" s="82"/>
      <c r="J29" s="83"/>
      <c r="K29" s="82">
        <f>IF(Données!J29&lt;=(2.5*Données!B15),7%,13%)</f>
        <v>7.0000000000000007E-2</v>
      </c>
      <c r="L29" s="20">
        <f>H29*K29</f>
        <v>0</v>
      </c>
    </row>
    <row r="30" spans="6:12" x14ac:dyDescent="0.25">
      <c r="F30" s="115" t="s">
        <v>35</v>
      </c>
      <c r="G30" s="116"/>
      <c r="H30" s="20"/>
      <c r="I30" s="82"/>
      <c r="J30" s="84">
        <f>H30*I30</f>
        <v>0</v>
      </c>
      <c r="K30" s="82"/>
      <c r="L30" s="20">
        <f>H30*K30</f>
        <v>0</v>
      </c>
    </row>
    <row r="31" spans="6:12" x14ac:dyDescent="0.25">
      <c r="F31" s="117" t="s">
        <v>134</v>
      </c>
      <c r="G31" s="28"/>
      <c r="H31" s="20">
        <f>Données!J35</f>
        <v>1.2999999999999999E-2</v>
      </c>
      <c r="I31" s="82">
        <f>Données!K35</f>
        <v>0</v>
      </c>
      <c r="J31" s="84">
        <f>H31*I31</f>
        <v>0</v>
      </c>
      <c r="K31" s="82">
        <f>Données!L35</f>
        <v>0</v>
      </c>
      <c r="L31" s="20">
        <f>H31*K31</f>
        <v>0</v>
      </c>
    </row>
    <row r="32" spans="6:12" x14ac:dyDescent="0.25">
      <c r="F32" s="113" t="s">
        <v>36</v>
      </c>
      <c r="G32" s="114"/>
      <c r="H32" s="20">
        <f>Données!J29</f>
        <v>0</v>
      </c>
      <c r="I32" s="21"/>
      <c r="J32" s="20"/>
      <c r="K32" s="21">
        <f>Données!J36</f>
        <v>0</v>
      </c>
      <c r="L32" s="20">
        <f>H32*K32</f>
        <v>0</v>
      </c>
    </row>
    <row r="33" spans="6:12" x14ac:dyDescent="0.25">
      <c r="F33" s="118"/>
      <c r="G33" s="58"/>
      <c r="H33" s="20"/>
      <c r="I33" s="21"/>
      <c r="J33" s="20"/>
      <c r="K33" s="21"/>
      <c r="L33" s="20"/>
    </row>
    <row r="34" spans="6:12" x14ac:dyDescent="0.25">
      <c r="F34" s="113" t="s">
        <v>37</v>
      </c>
      <c r="G34" s="114"/>
      <c r="H34" s="20"/>
      <c r="I34" s="21"/>
      <c r="J34" s="20"/>
      <c r="K34" s="21"/>
      <c r="L34" s="20"/>
    </row>
    <row r="35" spans="6:12" x14ac:dyDescent="0.25">
      <c r="F35" s="115" t="s">
        <v>38</v>
      </c>
      <c r="G35" s="116"/>
      <c r="H35" s="20">
        <f>Données!J29</f>
        <v>0</v>
      </c>
      <c r="I35" s="21"/>
      <c r="J35" s="20"/>
      <c r="K35" s="85">
        <f>IF(Données!J29&lt;=(3.5*Données!B15),3.45%,5.25%)</f>
        <v>3.4500000000000003E-2</v>
      </c>
      <c r="L35" s="20">
        <f>H35*K35</f>
        <v>0</v>
      </c>
    </row>
    <row r="36" spans="6:12" x14ac:dyDescent="0.25">
      <c r="F36" s="113" t="s">
        <v>39</v>
      </c>
      <c r="G36" s="114"/>
      <c r="H36" s="20"/>
      <c r="I36" s="21"/>
      <c r="J36" s="22"/>
      <c r="K36" s="21"/>
      <c r="L36" s="20"/>
    </row>
    <row r="37" spans="6:12" x14ac:dyDescent="0.25">
      <c r="F37" s="117" t="s">
        <v>40</v>
      </c>
      <c r="G37" s="28"/>
      <c r="H37" s="20">
        <f>Données!J29</f>
        <v>0</v>
      </c>
      <c r="I37" s="21"/>
      <c r="J37" s="22"/>
      <c r="K37" s="21">
        <f>Données!J37</f>
        <v>0</v>
      </c>
      <c r="L37" s="20">
        <f>H37*K37</f>
        <v>0</v>
      </c>
    </row>
    <row r="38" spans="6:12" x14ac:dyDescent="0.25">
      <c r="F38" s="117" t="s">
        <v>41</v>
      </c>
      <c r="G38" s="28"/>
      <c r="H38" s="20">
        <f>Données!J29</f>
        <v>0</v>
      </c>
      <c r="I38" s="21"/>
      <c r="J38" s="22"/>
      <c r="K38" s="21" t="e">
        <f>Données!#REF!</f>
        <v>#REF!</v>
      </c>
      <c r="L38" s="20" t="e">
        <f>H38*K38</f>
        <v>#REF!</v>
      </c>
    </row>
    <row r="39" spans="6:12" x14ac:dyDescent="0.25">
      <c r="F39" s="113" t="s">
        <v>42</v>
      </c>
      <c r="G39" s="114"/>
      <c r="H39" s="20"/>
      <c r="I39" s="82"/>
      <c r="J39" s="22"/>
      <c r="K39" s="21"/>
      <c r="L39" s="20"/>
    </row>
    <row r="40" spans="6:12" x14ac:dyDescent="0.25">
      <c r="F40" s="115" t="s">
        <v>43</v>
      </c>
      <c r="G40" s="116"/>
      <c r="H40" s="20">
        <f>Données!J29</f>
        <v>0</v>
      </c>
      <c r="I40" s="82">
        <v>6.9000000000000006E-2</v>
      </c>
      <c r="J40" s="20">
        <f>IF(Données!I31="Exonération de cotisation",0,H40*I40)</f>
        <v>0</v>
      </c>
      <c r="K40" s="21">
        <v>8.5500000000000007E-2</v>
      </c>
      <c r="L40" s="20">
        <f>Données!J29*K40</f>
        <v>0</v>
      </c>
    </row>
    <row r="41" spans="6:12" x14ac:dyDescent="0.25">
      <c r="F41" s="115" t="s">
        <v>44</v>
      </c>
      <c r="G41" s="116"/>
      <c r="H41" s="20">
        <f>Données!J29</f>
        <v>0</v>
      </c>
      <c r="I41" s="82">
        <v>4.0000000000000001E-3</v>
      </c>
      <c r="J41" s="20">
        <f>IF(Données!I31="Exonération de cotisation",0,H41*I41)</f>
        <v>0</v>
      </c>
      <c r="K41" s="21">
        <v>2.0199999999999999E-2</v>
      </c>
      <c r="L41" s="20">
        <f>Données!J29*K41</f>
        <v>0</v>
      </c>
    </row>
    <row r="42" spans="6:12" x14ac:dyDescent="0.25">
      <c r="F42" s="117" t="s">
        <v>45</v>
      </c>
      <c r="G42" s="28"/>
      <c r="H42" s="20">
        <f>Données!J29</f>
        <v>0</v>
      </c>
      <c r="I42" s="82">
        <v>3.15E-2</v>
      </c>
      <c r="J42" s="20">
        <f>IF(Données!I31="Exonération de cotisation",0,H42*I42)</f>
        <v>0</v>
      </c>
      <c r="K42" s="21">
        <v>4.7199999999999999E-2</v>
      </c>
      <c r="L42" s="20">
        <f>Données!J29*K42</f>
        <v>0</v>
      </c>
    </row>
    <row r="43" spans="6:12" x14ac:dyDescent="0.25">
      <c r="F43" s="117" t="s">
        <v>46</v>
      </c>
      <c r="G43" s="28"/>
      <c r="H43" s="20">
        <f>Données!J29</f>
        <v>0</v>
      </c>
      <c r="I43" s="82">
        <v>8.6E-3</v>
      </c>
      <c r="J43" s="20">
        <f>IF(Données!I31="Exonération de cotisation",0,H43*I43)</f>
        <v>0</v>
      </c>
      <c r="K43" s="21">
        <v>1.29E-2</v>
      </c>
      <c r="L43" s="20">
        <f>Données!J29*K43</f>
        <v>0</v>
      </c>
    </row>
    <row r="44" spans="6:12" x14ac:dyDescent="0.25">
      <c r="F44" s="113" t="s">
        <v>47</v>
      </c>
      <c r="G44" s="114"/>
      <c r="H44" s="20"/>
      <c r="I44" s="82"/>
      <c r="J44" s="22"/>
      <c r="K44" s="21"/>
      <c r="L44" s="20"/>
    </row>
    <row r="45" spans="6:12" x14ac:dyDescent="0.25">
      <c r="F45" s="119" t="s">
        <v>48</v>
      </c>
      <c r="G45" s="120"/>
      <c r="H45" s="20">
        <f>IF(Données!B34&lt;50,Données!J29,0)</f>
        <v>0</v>
      </c>
      <c r="I45" s="21"/>
      <c r="J45" s="22"/>
      <c r="K45" s="21">
        <v>1E-3</v>
      </c>
      <c r="L45" s="20">
        <f>K45*H45</f>
        <v>0</v>
      </c>
    </row>
    <row r="46" spans="6:12" x14ac:dyDescent="0.25">
      <c r="F46" s="119" t="s">
        <v>49</v>
      </c>
      <c r="G46" s="120"/>
      <c r="H46" s="20">
        <f>IF(Données!B34&gt;=50,Données!J29,0)</f>
        <v>0</v>
      </c>
      <c r="I46" s="21"/>
      <c r="J46" s="22"/>
      <c r="K46" s="21">
        <v>5.0000000000000001E-3</v>
      </c>
      <c r="L46" s="20">
        <f>H46*K46</f>
        <v>0</v>
      </c>
    </row>
    <row r="47" spans="6:12" x14ac:dyDescent="0.25">
      <c r="F47" s="119" t="s">
        <v>50</v>
      </c>
      <c r="G47" s="120"/>
      <c r="H47" s="20">
        <f>Données!J29</f>
        <v>0</v>
      </c>
      <c r="I47" s="21"/>
      <c r="J47" s="22"/>
      <c r="K47" s="90">
        <v>1.6000000000000001E-4</v>
      </c>
      <c r="L47" s="20">
        <f>H47*K47</f>
        <v>0</v>
      </c>
    </row>
    <row r="48" spans="6:12" x14ac:dyDescent="0.25">
      <c r="F48" s="119" t="s">
        <v>51</v>
      </c>
      <c r="G48" s="120"/>
      <c r="H48" s="20">
        <f>Données!J29</f>
        <v>0</v>
      </c>
      <c r="I48" s="21"/>
      <c r="J48" s="22"/>
      <c r="K48" s="21">
        <v>3.0000000000000001E-3</v>
      </c>
      <c r="L48" s="20">
        <f>H48*K48</f>
        <v>0</v>
      </c>
    </row>
    <row r="49" spans="6:12" x14ac:dyDescent="0.25">
      <c r="F49" s="195" t="s">
        <v>127</v>
      </c>
      <c r="G49" s="196"/>
      <c r="H49" s="20">
        <f>Données!J29</f>
        <v>0</v>
      </c>
      <c r="I49" s="21"/>
      <c r="J49" s="22"/>
      <c r="K49" s="21">
        <v>0.08</v>
      </c>
      <c r="L49" s="20">
        <f>IF(Données!B34&gt;=11,H49*K49,0)</f>
        <v>0</v>
      </c>
    </row>
    <row r="50" spans="6:12" x14ac:dyDescent="0.25">
      <c r="F50" s="121" t="str">
        <f>IF(Données!B35="Non","Taxe d'apprentissage hors Alsace Moselle","Taxe d'apprentissage Alsace Moselle")</f>
        <v>Taxe d'apprentissage Alsace Moselle</v>
      </c>
      <c r="G50" s="122"/>
      <c r="H50" s="20">
        <f>Données!J29</f>
        <v>0</v>
      </c>
      <c r="I50" s="21"/>
      <c r="J50" s="22"/>
      <c r="K50" s="21">
        <f>IF(Données!B35="Non",0.68%,0.44%)</f>
        <v>4.4000000000000003E-3</v>
      </c>
      <c r="L50" s="20">
        <f>H50*K50</f>
        <v>0</v>
      </c>
    </row>
    <row r="51" spans="6:12" x14ac:dyDescent="0.25">
      <c r="F51" s="197" t="str">
        <f>IF(Données!B34&lt;11,"Contribution unique à la formation professionnelle entreprise &lt;11 salariés","Contribution unique à la formation professionnelle entreprise &gt;11 salariés")</f>
        <v>Contribution unique à la formation professionnelle entreprise &gt;11 salariés</v>
      </c>
      <c r="G51" s="198"/>
      <c r="H51" s="20">
        <v>909.71</v>
      </c>
      <c r="I51" s="21"/>
      <c r="J51" s="22"/>
      <c r="K51" s="21">
        <f>IF(Données!B34&lt;11,0.55%,1%)</f>
        <v>0.01</v>
      </c>
      <c r="L51" s="24">
        <f>H51*K51</f>
        <v>9.0971000000000011</v>
      </c>
    </row>
    <row r="52" spans="6:12" x14ac:dyDescent="0.25">
      <c r="F52" s="121" t="s">
        <v>53</v>
      </c>
      <c r="G52" s="122"/>
      <c r="H52" s="20">
        <v>909.71</v>
      </c>
      <c r="I52" s="21"/>
      <c r="J52" s="22"/>
      <c r="K52" s="21">
        <v>0.01</v>
      </c>
      <c r="L52" s="24">
        <f>IF(Données!B34&gt;=50,H52*K52,0*H52)</f>
        <v>9.0971000000000011</v>
      </c>
    </row>
    <row r="53" spans="6:12" x14ac:dyDescent="0.25">
      <c r="F53" s="121" t="s">
        <v>54</v>
      </c>
      <c r="G53" s="122"/>
      <c r="H53" s="20">
        <v>909.71</v>
      </c>
      <c r="I53" s="21"/>
      <c r="J53" s="22"/>
      <c r="K53" s="21">
        <v>0.01</v>
      </c>
      <c r="L53" s="24">
        <f>H53*K53</f>
        <v>9.0971000000000011</v>
      </c>
    </row>
    <row r="54" spans="6:12" x14ac:dyDescent="0.25">
      <c r="F54" s="117"/>
      <c r="G54" s="28"/>
      <c r="H54" s="20"/>
      <c r="I54" s="21"/>
      <c r="J54" s="22"/>
      <c r="K54" s="21"/>
      <c r="L54" s="24"/>
    </row>
    <row r="55" spans="6:12" x14ac:dyDescent="0.25">
      <c r="F55" s="117"/>
      <c r="G55" s="28"/>
      <c r="H55" s="20"/>
      <c r="I55" s="21"/>
      <c r="J55" s="22"/>
      <c r="K55" s="21"/>
      <c r="L55" s="24"/>
    </row>
    <row r="56" spans="6:12" x14ac:dyDescent="0.25">
      <c r="F56" s="117"/>
      <c r="G56" s="28"/>
      <c r="H56" s="20"/>
      <c r="I56" s="21"/>
      <c r="J56" s="22"/>
      <c r="K56" s="21"/>
      <c r="L56" s="24"/>
    </row>
    <row r="57" spans="6:12" x14ac:dyDescent="0.25">
      <c r="F57" s="113" t="s">
        <v>56</v>
      </c>
      <c r="G57" s="114"/>
      <c r="H57" s="20"/>
      <c r="I57" s="21"/>
      <c r="J57" s="22"/>
      <c r="K57" s="21"/>
      <c r="L57" s="20"/>
    </row>
    <row r="58" spans="6:12" x14ac:dyDescent="0.25">
      <c r="F58" s="117" t="s">
        <v>57</v>
      </c>
      <c r="G58" s="28"/>
      <c r="H58" s="20"/>
      <c r="I58" s="21"/>
      <c r="J58" s="22"/>
      <c r="K58" s="123" t="e">
        <f>(IF(Données!J29&lt;50,0.3191,0.3231)/0.6)*((1.6*(Données!B15*12)/(Données!J29*12))-1)%</f>
        <v>#DIV/0!</v>
      </c>
      <c r="L58" s="20" t="e">
        <f>-K58*(Données!J29*12)</f>
        <v>#DIV/0!</v>
      </c>
    </row>
    <row r="59" spans="6:12" x14ac:dyDescent="0.25">
      <c r="F59" s="117" t="s">
        <v>130</v>
      </c>
      <c r="G59" s="28"/>
      <c r="H59" s="20"/>
      <c r="I59" s="21"/>
      <c r="J59" s="22"/>
      <c r="K59" s="21">
        <f>IF(Données!B34&lt;20,-1.5%,-0.5%)</f>
        <v>-5.0000000000000001E-3</v>
      </c>
      <c r="L59" s="24">
        <f>SUM(Données!F26:F30)*K59</f>
        <v>-52.25</v>
      </c>
    </row>
    <row r="60" spans="6:12" x14ac:dyDescent="0.25">
      <c r="F60" s="117" t="s">
        <v>59</v>
      </c>
      <c r="G60" s="28"/>
      <c r="H60" s="20" t="e">
        <f>Bulletin!#REF!</f>
        <v>#REF!</v>
      </c>
      <c r="I60" s="21">
        <v>0.11310000000000001</v>
      </c>
      <c r="J60" s="20" t="e">
        <f>H60*I60</f>
        <v>#REF!</v>
      </c>
      <c r="K60" s="25"/>
      <c r="L60" s="24"/>
    </row>
    <row r="61" spans="6:12" x14ac:dyDescent="0.25">
      <c r="F61" s="117" t="s">
        <v>60</v>
      </c>
      <c r="G61" s="28"/>
      <c r="H61" s="20" t="e">
        <f>Bulletin!#REF!</f>
        <v>#REF!</v>
      </c>
      <c r="I61" s="87">
        <v>0.11310000000000001</v>
      </c>
      <c r="J61" s="86" t="e">
        <f>H61*I61</f>
        <v>#REF!</v>
      </c>
      <c r="K61" s="88"/>
      <c r="L61" s="89"/>
    </row>
    <row r="62" spans="6:12" x14ac:dyDescent="0.25">
      <c r="F62" s="29" t="s">
        <v>61</v>
      </c>
      <c r="G62" s="76"/>
      <c r="H62" s="30"/>
      <c r="I62" s="30"/>
      <c r="J62" s="31" t="e">
        <f>SUM(J28:J60)</f>
        <v>#REF!</v>
      </c>
      <c r="K62" s="32"/>
      <c r="L62" s="31" t="e">
        <f>SUM(L28:L58)</f>
        <v>#REF!</v>
      </c>
    </row>
    <row r="63" spans="6:12" x14ac:dyDescent="0.25">
      <c r="F63" s="44"/>
      <c r="G63" s="16"/>
      <c r="H63" s="16"/>
      <c r="I63" s="16"/>
      <c r="J63" s="16"/>
      <c r="K63" s="16"/>
      <c r="L63" s="17"/>
    </row>
    <row r="64" spans="6:12" x14ac:dyDescent="0.25">
      <c r="F64" s="124" t="s">
        <v>62</v>
      </c>
      <c r="G64" s="33"/>
      <c r="H64" s="16"/>
      <c r="I64" s="16"/>
      <c r="J64" s="16"/>
      <c r="K64" s="16"/>
      <c r="L64" s="17"/>
    </row>
    <row r="65" spans="6:12" x14ac:dyDescent="0.25">
      <c r="F65" s="117" t="s">
        <v>63</v>
      </c>
      <c r="G65" s="28"/>
      <c r="H65" s="34">
        <f>Données!M28</f>
        <v>0</v>
      </c>
      <c r="I65" s="95">
        <f>Données!N28</f>
        <v>0</v>
      </c>
      <c r="J65" s="34">
        <f>H65*I65</f>
        <v>0</v>
      </c>
      <c r="K65" s="34"/>
      <c r="L65" s="35"/>
    </row>
    <row r="66" spans="6:12" x14ac:dyDescent="0.25">
      <c r="F66" s="117" t="s">
        <v>64</v>
      </c>
      <c r="G66" s="28"/>
      <c r="H66" s="34"/>
      <c r="I66" s="34"/>
      <c r="J66" s="34">
        <f>H66*I66</f>
        <v>0</v>
      </c>
      <c r="K66" s="34"/>
      <c r="L66" s="35"/>
    </row>
    <row r="67" spans="6:12" x14ac:dyDescent="0.25">
      <c r="F67" s="117" t="s">
        <v>65</v>
      </c>
      <c r="G67" s="28"/>
      <c r="H67" s="34"/>
      <c r="I67" s="34"/>
      <c r="J67" s="34">
        <f>H67*I67</f>
        <v>0</v>
      </c>
      <c r="K67" s="34"/>
      <c r="L67" s="35"/>
    </row>
    <row r="68" spans="6:12" x14ac:dyDescent="0.25">
      <c r="F68" s="117" t="s">
        <v>66</v>
      </c>
      <c r="G68" s="28"/>
      <c r="H68" s="34"/>
      <c r="I68" s="34"/>
      <c r="J68" s="34">
        <f>H68*I68</f>
        <v>0</v>
      </c>
      <c r="K68" s="34"/>
      <c r="L68" s="35"/>
    </row>
    <row r="69" spans="6:12" x14ac:dyDescent="0.25">
      <c r="F69" s="117" t="s">
        <v>67</v>
      </c>
      <c r="G69" s="28"/>
      <c r="H69" s="34"/>
      <c r="I69" s="34"/>
      <c r="J69" s="34"/>
      <c r="K69" s="34"/>
      <c r="L69" s="35"/>
    </row>
    <row r="70" spans="6:12" x14ac:dyDescent="0.25">
      <c r="F70" s="124" t="s">
        <v>68</v>
      </c>
      <c r="G70" s="33"/>
      <c r="H70" s="34"/>
      <c r="I70" s="34"/>
      <c r="J70" s="34"/>
      <c r="K70" s="34"/>
      <c r="L70" s="35"/>
    </row>
    <row r="71" spans="6:12" x14ac:dyDescent="0.25">
      <c r="F71" s="117" t="s">
        <v>69</v>
      </c>
      <c r="G71" s="28"/>
      <c r="H71" s="34">
        <f>Données!J49*Données!J52</f>
        <v>0</v>
      </c>
      <c r="I71" s="36">
        <v>0.5</v>
      </c>
      <c r="J71" s="34">
        <f>H71*I71</f>
        <v>0</v>
      </c>
      <c r="K71" s="36"/>
      <c r="L71" s="35"/>
    </row>
    <row r="72" spans="6:12" x14ac:dyDescent="0.25">
      <c r="F72" s="117" t="s">
        <v>70</v>
      </c>
      <c r="G72" s="28"/>
      <c r="H72" s="34"/>
      <c r="I72" s="36"/>
      <c r="J72" s="37"/>
      <c r="K72" s="36"/>
      <c r="L72" s="17"/>
    </row>
    <row r="73" spans="6:12" x14ac:dyDescent="0.25">
      <c r="F73" s="117" t="s">
        <v>71</v>
      </c>
      <c r="G73" s="28"/>
      <c r="H73" s="34">
        <f>Données!N23</f>
        <v>0</v>
      </c>
      <c r="I73" s="106">
        <f>Données!O23</f>
        <v>0</v>
      </c>
      <c r="J73" s="37">
        <f>IF(Données!P23&gt;0,Données!P23,0)</f>
        <v>0</v>
      </c>
      <c r="K73" s="34"/>
      <c r="L73" s="35"/>
    </row>
    <row r="74" spans="6:12" x14ac:dyDescent="0.25">
      <c r="F74" s="117" t="s">
        <v>72</v>
      </c>
      <c r="G74" s="28"/>
      <c r="H74" s="34"/>
      <c r="I74" s="34"/>
      <c r="J74" s="37">
        <f>Données!P24</f>
        <v>0</v>
      </c>
      <c r="K74" s="34"/>
      <c r="L74" s="35"/>
    </row>
    <row r="75" spans="6:12" x14ac:dyDescent="0.25">
      <c r="F75" s="117" t="s">
        <v>73</v>
      </c>
      <c r="G75" s="28"/>
      <c r="H75" s="34"/>
      <c r="I75" s="34"/>
      <c r="J75" s="37">
        <f>Données!P25</f>
        <v>0</v>
      </c>
      <c r="K75" s="34"/>
      <c r="L75" s="35"/>
    </row>
    <row r="76" spans="6:12" x14ac:dyDescent="0.25">
      <c r="F76" s="117" t="s">
        <v>74</v>
      </c>
      <c r="G76" s="28"/>
      <c r="H76" s="34"/>
      <c r="I76" s="34"/>
      <c r="J76" s="37" t="e">
        <f>Données!#REF!</f>
        <v>#REF!</v>
      </c>
      <c r="K76" s="34"/>
      <c r="L76" s="35"/>
    </row>
    <row r="77" spans="6:12" ht="18.75" x14ac:dyDescent="0.3">
      <c r="F77" s="189" t="s">
        <v>75</v>
      </c>
      <c r="G77" s="190"/>
      <c r="H77" s="190"/>
      <c r="I77" s="190"/>
      <c r="J77" s="190"/>
      <c r="K77" s="190"/>
      <c r="L77" s="38" t="e">
        <f>Données!J29-J62+SUM(J65:J69)-SUM(J71:J76)</f>
        <v>#REF!</v>
      </c>
    </row>
    <row r="78" spans="6:12" x14ac:dyDescent="0.25">
      <c r="F78" s="117" t="s">
        <v>76</v>
      </c>
      <c r="G78" s="28"/>
      <c r="H78" s="16"/>
      <c r="I78" s="16"/>
      <c r="J78" s="16"/>
      <c r="K78" s="16"/>
      <c r="L78" s="39">
        <f>(H37*3.15%)</f>
        <v>0</v>
      </c>
    </row>
    <row r="79" spans="6:12" x14ac:dyDescent="0.25">
      <c r="F79" s="191" t="s">
        <v>77</v>
      </c>
      <c r="G79" s="191"/>
      <c r="H79" s="191"/>
      <c r="I79" s="40" t="s">
        <v>30</v>
      </c>
      <c r="J79" s="192" t="s">
        <v>78</v>
      </c>
      <c r="K79" s="193"/>
      <c r="L79" s="40" t="s">
        <v>23</v>
      </c>
    </row>
    <row r="80" spans="6:12" x14ac:dyDescent="0.25">
      <c r="F80" s="182" t="s">
        <v>79</v>
      </c>
      <c r="G80" s="182"/>
      <c r="H80" s="182"/>
      <c r="I80" s="52" t="e">
        <f>H81</f>
        <v>#REF!</v>
      </c>
      <c r="J80" s="194">
        <v>0</v>
      </c>
      <c r="K80" s="194"/>
      <c r="L80" s="31" t="e">
        <f>I80*J80</f>
        <v>#REF!</v>
      </c>
    </row>
    <row r="81" spans="6:12" x14ac:dyDescent="0.25">
      <c r="F81" s="1" t="s">
        <v>80</v>
      </c>
      <c r="G81" s="1"/>
      <c r="H81" s="181" t="e">
        <f>Données!J29-(SUM(Données!H26:H27))-J62+L31</f>
        <v>#REF!</v>
      </c>
      <c r="I81" s="182"/>
      <c r="J81" s="183" t="s">
        <v>81</v>
      </c>
      <c r="K81" s="183"/>
      <c r="L81" s="183"/>
    </row>
    <row r="82" spans="6:12" ht="15.75" x14ac:dyDescent="0.25">
      <c r="F82" s="44"/>
      <c r="G82" s="16"/>
      <c r="H82" s="16"/>
      <c r="I82" s="16"/>
      <c r="J82" s="184" t="e">
        <f>L77-L80</f>
        <v>#REF!</v>
      </c>
      <c r="K82" s="185"/>
      <c r="L82" s="186"/>
    </row>
    <row r="83" spans="6:12" x14ac:dyDescent="0.25">
      <c r="F83" s="41"/>
      <c r="G83" s="42"/>
      <c r="H83" s="42"/>
      <c r="I83" s="187" t="s">
        <v>82</v>
      </c>
      <c r="J83" s="187"/>
      <c r="K83" s="187"/>
      <c r="L83" s="43" t="e">
        <f>-L58-L57+(H34*1.8%)+(H28*6%)</f>
        <v>#DIV/0!</v>
      </c>
    </row>
    <row r="84" spans="6:12" x14ac:dyDescent="0.25">
      <c r="F84" s="44"/>
      <c r="G84" s="16"/>
      <c r="H84" s="16"/>
      <c r="I84" s="188" t="s">
        <v>83</v>
      </c>
      <c r="J84" s="188"/>
      <c r="K84" s="188"/>
      <c r="L84" s="45" t="e">
        <f>SALBRUT+L62+SUM(J65:J69)</f>
        <v>#REF!</v>
      </c>
    </row>
    <row r="85" spans="6:12" x14ac:dyDescent="0.25">
      <c r="F85" s="174" t="s">
        <v>84</v>
      </c>
      <c r="G85" s="175"/>
      <c r="H85" s="175"/>
      <c r="I85" s="175"/>
      <c r="J85" s="175"/>
      <c r="K85" s="176" t="s">
        <v>85</v>
      </c>
      <c r="L85" s="177"/>
    </row>
    <row r="86" spans="6:12" ht="18.75" x14ac:dyDescent="0.25">
      <c r="F86" s="178" t="s">
        <v>86</v>
      </c>
      <c r="G86" s="179"/>
      <c r="H86" s="179"/>
      <c r="I86" s="179"/>
      <c r="J86" s="179"/>
      <c r="K86" s="179"/>
      <c r="L86" s="180"/>
    </row>
  </sheetData>
  <mergeCells count="22">
    <mergeCell ref="J17:L17"/>
    <mergeCell ref="F4:L5"/>
    <mergeCell ref="J13:L13"/>
    <mergeCell ref="J14:L14"/>
    <mergeCell ref="J15:L15"/>
    <mergeCell ref="J16:L16"/>
    <mergeCell ref="J18:L18"/>
    <mergeCell ref="F49:G49"/>
    <mergeCell ref="F51:G51"/>
    <mergeCell ref="F77:K77"/>
    <mergeCell ref="F79:H79"/>
    <mergeCell ref="J79:K79"/>
    <mergeCell ref="I84:K84"/>
    <mergeCell ref="F85:J85"/>
    <mergeCell ref="K85:L85"/>
    <mergeCell ref="F86:L86"/>
    <mergeCell ref="F80:H80"/>
    <mergeCell ref="J80:K80"/>
    <mergeCell ref="H81:I81"/>
    <mergeCell ref="J81:L81"/>
    <mergeCell ref="J82:L82"/>
    <mergeCell ref="I83:K83"/>
  </mergeCells>
  <hyperlinks>
    <hyperlink ref="K8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F4:L86"/>
  <sheetViews>
    <sheetView workbookViewId="0">
      <selection activeCell="F4" sqref="F4:L86"/>
    </sheetView>
  </sheetViews>
  <sheetFormatPr baseColWidth="10" defaultRowHeight="15" x14ac:dyDescent="0.25"/>
  <sheetData>
    <row r="4" spans="6:12" x14ac:dyDescent="0.25">
      <c r="F4" s="199" t="s">
        <v>0</v>
      </c>
      <c r="G4" s="200"/>
      <c r="H4" s="200"/>
      <c r="I4" s="200"/>
      <c r="J4" s="200"/>
      <c r="K4" s="200"/>
      <c r="L4" s="201"/>
    </row>
    <row r="5" spans="6:12" x14ac:dyDescent="0.25">
      <c r="F5" s="202"/>
      <c r="G5" s="203"/>
      <c r="H5" s="203"/>
      <c r="I5" s="203"/>
      <c r="J5" s="203"/>
      <c r="K5" s="203"/>
      <c r="L5" s="204"/>
    </row>
    <row r="6" spans="6:12" x14ac:dyDescent="0.25">
      <c r="F6" s="3" t="s">
        <v>4</v>
      </c>
      <c r="G6" s="5"/>
      <c r="H6" s="4"/>
      <c r="I6" s="3" t="s">
        <v>118</v>
      </c>
      <c r="J6" s="74" t="s">
        <v>115</v>
      </c>
      <c r="K6" s="6"/>
      <c r="L6" s="4"/>
    </row>
    <row r="7" spans="6:12" x14ac:dyDescent="0.25">
      <c r="F7" s="7" t="s">
        <v>7</v>
      </c>
      <c r="G7" s="9"/>
      <c r="H7" s="8"/>
      <c r="I7" s="7"/>
      <c r="J7" s="9"/>
      <c r="K7" s="10"/>
      <c r="L7" s="8"/>
    </row>
    <row r="8" spans="6:12" x14ac:dyDescent="0.25">
      <c r="F8" s="7"/>
      <c r="G8" s="9"/>
      <c r="H8" s="8"/>
      <c r="I8" s="7"/>
      <c r="J8" s="9"/>
      <c r="K8" s="9"/>
      <c r="L8" s="8"/>
    </row>
    <row r="9" spans="6:12" x14ac:dyDescent="0.25">
      <c r="F9" s="7" t="s">
        <v>10</v>
      </c>
      <c r="G9" s="9"/>
      <c r="H9" s="8"/>
      <c r="I9" s="7"/>
      <c r="J9" s="9" t="s">
        <v>11</v>
      </c>
      <c r="K9" s="9"/>
      <c r="L9" s="8"/>
    </row>
    <row r="10" spans="6:12" x14ac:dyDescent="0.25">
      <c r="F10" s="7" t="s">
        <v>12</v>
      </c>
      <c r="G10" s="9"/>
      <c r="H10" s="8"/>
      <c r="I10" s="7"/>
      <c r="J10" s="9"/>
      <c r="K10" s="9"/>
      <c r="L10" s="8"/>
    </row>
    <row r="11" spans="6:12" x14ac:dyDescent="0.25">
      <c r="F11" s="7" t="s">
        <v>13</v>
      </c>
      <c r="G11" s="9"/>
      <c r="H11" s="8"/>
      <c r="I11" s="7"/>
      <c r="J11" s="9"/>
      <c r="K11" s="9"/>
      <c r="L11" s="8"/>
    </row>
    <row r="12" spans="6:12" x14ac:dyDescent="0.25">
      <c r="F12" s="11" t="s">
        <v>14</v>
      </c>
      <c r="G12" s="13"/>
      <c r="H12" s="12"/>
      <c r="I12" s="11"/>
      <c r="J12" s="13"/>
      <c r="K12" s="13"/>
      <c r="L12" s="14"/>
    </row>
    <row r="13" spans="6:12" x14ac:dyDescent="0.25">
      <c r="F13" s="7" t="s">
        <v>16</v>
      </c>
      <c r="G13" s="9"/>
      <c r="H13" s="9"/>
      <c r="I13" s="9" t="s">
        <v>15</v>
      </c>
      <c r="J13" s="205"/>
      <c r="K13" s="205"/>
      <c r="L13" s="206"/>
    </row>
    <row r="14" spans="6:12" x14ac:dyDescent="0.25">
      <c r="F14" s="7" t="s">
        <v>90</v>
      </c>
      <c r="G14" s="9"/>
      <c r="H14" s="9"/>
      <c r="I14" s="9" t="s">
        <v>7</v>
      </c>
      <c r="J14" s="205"/>
      <c r="K14" s="205"/>
      <c r="L14" s="206"/>
    </row>
    <row r="15" spans="6:12" x14ac:dyDescent="0.25">
      <c r="F15" s="7" t="s">
        <v>17</v>
      </c>
      <c r="G15" s="9"/>
      <c r="H15" s="77"/>
      <c r="I15" s="9"/>
      <c r="J15" s="205"/>
      <c r="K15" s="205"/>
      <c r="L15" s="206"/>
    </row>
    <row r="16" spans="6:12" x14ac:dyDescent="0.25">
      <c r="F16" s="7" t="s">
        <v>18</v>
      </c>
      <c r="G16" s="9"/>
      <c r="H16" s="72"/>
      <c r="I16" s="9"/>
      <c r="J16" s="207"/>
      <c r="K16" s="207"/>
      <c r="L16" s="208"/>
    </row>
    <row r="17" spans="6:12" x14ac:dyDescent="0.25">
      <c r="F17" s="7" t="s">
        <v>20</v>
      </c>
      <c r="G17" s="9"/>
      <c r="H17" s="77"/>
      <c r="I17" s="9"/>
      <c r="J17" s="207"/>
      <c r="K17" s="207"/>
      <c r="L17" s="208"/>
    </row>
    <row r="18" spans="6:12" x14ac:dyDescent="0.25">
      <c r="F18" s="75" t="s">
        <v>117</v>
      </c>
      <c r="G18" s="78" t="str">
        <f>Données!G24</f>
        <v/>
      </c>
      <c r="H18" s="73" t="s">
        <v>114</v>
      </c>
      <c r="I18" s="13"/>
      <c r="J18" s="209"/>
      <c r="K18" s="209"/>
      <c r="L18" s="210"/>
    </row>
    <row r="19" spans="6:12" x14ac:dyDescent="0.25">
      <c r="F19" s="44"/>
      <c r="G19" s="16"/>
      <c r="H19" s="34" t="s">
        <v>21</v>
      </c>
      <c r="I19" s="34" t="s">
        <v>22</v>
      </c>
      <c r="J19" s="34" t="s">
        <v>23</v>
      </c>
      <c r="K19" s="16"/>
      <c r="L19" s="15"/>
    </row>
    <row r="20" spans="6:12" x14ac:dyDescent="0.25">
      <c r="F20" s="44" t="s">
        <v>24</v>
      </c>
      <c r="G20" s="16"/>
      <c r="H20" s="34" t="e">
        <f>Données!#REF!</f>
        <v>#REF!</v>
      </c>
      <c r="I20" s="37">
        <f>Données!O32</f>
        <v>0</v>
      </c>
      <c r="J20" s="37">
        <f>Données!O33</f>
        <v>0</v>
      </c>
      <c r="K20" s="16"/>
      <c r="L20" s="17"/>
    </row>
    <row r="21" spans="6:12" x14ac:dyDescent="0.25">
      <c r="F21" s="44"/>
      <c r="G21" s="16"/>
      <c r="H21" s="37"/>
      <c r="I21" s="37"/>
      <c r="J21" s="37"/>
      <c r="K21" s="16"/>
      <c r="L21" s="17"/>
    </row>
    <row r="22" spans="6:12" x14ac:dyDescent="0.25">
      <c r="F22" s="44"/>
      <c r="G22" s="16"/>
      <c r="H22" s="34"/>
      <c r="I22" s="37"/>
      <c r="J22" s="37"/>
      <c r="K22" s="16"/>
      <c r="L22" s="17"/>
    </row>
    <row r="23" spans="6:12" x14ac:dyDescent="0.25">
      <c r="F23" s="44" t="s">
        <v>25</v>
      </c>
      <c r="G23" s="16"/>
      <c r="H23" s="37">
        <f>Données!K29</f>
        <v>0</v>
      </c>
      <c r="I23" s="37" t="e">
        <f>Données!#REF!</f>
        <v>#REF!</v>
      </c>
      <c r="J23" s="111" t="e">
        <f>H23*I23</f>
        <v>#REF!</v>
      </c>
      <c r="K23" s="37"/>
      <c r="L23" s="17"/>
    </row>
    <row r="24" spans="6:12" x14ac:dyDescent="0.25">
      <c r="F24" s="44" t="s">
        <v>26</v>
      </c>
      <c r="G24" s="16"/>
      <c r="H24" s="37">
        <f>Données!K30</f>
        <v>0</v>
      </c>
      <c r="I24" s="37" t="e">
        <f>Données!#REF!</f>
        <v>#REF!</v>
      </c>
      <c r="J24" s="111" t="e">
        <f>H24*I24</f>
        <v>#REF!</v>
      </c>
      <c r="K24" s="16"/>
      <c r="L24" s="17"/>
    </row>
    <row r="25" spans="6:12" x14ac:dyDescent="0.25">
      <c r="F25" s="44"/>
      <c r="G25" s="16"/>
      <c r="H25" s="34"/>
      <c r="I25" s="37"/>
      <c r="J25" s="111"/>
      <c r="K25" s="16"/>
      <c r="L25" s="17"/>
    </row>
    <row r="26" spans="6:12" x14ac:dyDescent="0.25">
      <c r="F26" s="44" t="s">
        <v>27</v>
      </c>
      <c r="G26" s="16"/>
      <c r="H26" s="34">
        <f>Données!K27</f>
        <v>0</v>
      </c>
      <c r="I26" s="37">
        <f>Données!O32</f>
        <v>0</v>
      </c>
      <c r="J26" s="111" t="e">
        <f>Données!#REF!</f>
        <v>#REF!</v>
      </c>
      <c r="K26" s="16"/>
      <c r="L26" s="17"/>
    </row>
    <row r="27" spans="6:12" x14ac:dyDescent="0.25">
      <c r="F27" s="112" t="s">
        <v>28</v>
      </c>
      <c r="G27" s="18"/>
      <c r="H27" s="18"/>
      <c r="I27" s="18"/>
      <c r="J27" s="18"/>
      <c r="K27" s="18"/>
      <c r="L27" s="19"/>
    </row>
    <row r="28" spans="6:12" x14ac:dyDescent="0.25">
      <c r="F28" s="113" t="s">
        <v>29</v>
      </c>
      <c r="G28" s="114"/>
      <c r="H28" s="110" t="s">
        <v>30</v>
      </c>
      <c r="I28" s="110" t="s">
        <v>31</v>
      </c>
      <c r="J28" s="110" t="s">
        <v>32</v>
      </c>
      <c r="K28" s="110" t="s">
        <v>33</v>
      </c>
      <c r="L28" s="110" t="s">
        <v>23</v>
      </c>
    </row>
    <row r="29" spans="6:12" x14ac:dyDescent="0.25">
      <c r="F29" s="115" t="s">
        <v>34</v>
      </c>
      <c r="G29" s="116"/>
      <c r="H29" s="20">
        <f>Données!J29</f>
        <v>0</v>
      </c>
      <c r="I29" s="82"/>
      <c r="J29" s="83"/>
      <c r="K29" s="82">
        <f>IF(Données!J29&lt;=(2.5*Données!B15),7%,13%)</f>
        <v>7.0000000000000007E-2</v>
      </c>
      <c r="L29" s="20">
        <f>H29*K29</f>
        <v>0</v>
      </c>
    </row>
    <row r="30" spans="6:12" x14ac:dyDescent="0.25">
      <c r="F30" s="115" t="s">
        <v>35</v>
      </c>
      <c r="G30" s="116"/>
      <c r="H30" s="20"/>
      <c r="I30" s="82"/>
      <c r="J30" s="84">
        <f>H30*I30</f>
        <v>0</v>
      </c>
      <c r="K30" s="82"/>
      <c r="L30" s="20">
        <f>H30*K30</f>
        <v>0</v>
      </c>
    </row>
    <row r="31" spans="6:12" x14ac:dyDescent="0.25">
      <c r="F31" s="117" t="s">
        <v>134</v>
      </c>
      <c r="G31" s="28"/>
      <c r="H31" s="20">
        <f>Données!J35</f>
        <v>1.2999999999999999E-2</v>
      </c>
      <c r="I31" s="82">
        <f>Données!K35</f>
        <v>0</v>
      </c>
      <c r="J31" s="84">
        <f>H31*I31</f>
        <v>0</v>
      </c>
      <c r="K31" s="82">
        <f>Données!L35</f>
        <v>0</v>
      </c>
      <c r="L31" s="20">
        <f>H31*K31</f>
        <v>0</v>
      </c>
    </row>
    <row r="32" spans="6:12" x14ac:dyDescent="0.25">
      <c r="F32" s="113" t="s">
        <v>36</v>
      </c>
      <c r="G32" s="114"/>
      <c r="H32" s="20">
        <f>Données!J29</f>
        <v>0</v>
      </c>
      <c r="I32" s="21"/>
      <c r="J32" s="20"/>
      <c r="K32" s="21">
        <f>Données!J36</f>
        <v>0</v>
      </c>
      <c r="L32" s="20">
        <f>H32*K32</f>
        <v>0</v>
      </c>
    </row>
    <row r="33" spans="6:12" x14ac:dyDescent="0.25">
      <c r="F33" s="118"/>
      <c r="G33" s="58"/>
      <c r="H33" s="20"/>
      <c r="I33" s="21"/>
      <c r="J33" s="20"/>
      <c r="K33" s="21"/>
      <c r="L33" s="20"/>
    </row>
    <row r="34" spans="6:12" x14ac:dyDescent="0.25">
      <c r="F34" s="113" t="s">
        <v>37</v>
      </c>
      <c r="G34" s="114"/>
      <c r="H34" s="20"/>
      <c r="I34" s="21"/>
      <c r="J34" s="20"/>
      <c r="K34" s="21"/>
      <c r="L34" s="20"/>
    </row>
    <row r="35" spans="6:12" x14ac:dyDescent="0.25">
      <c r="F35" s="115" t="s">
        <v>38</v>
      </c>
      <c r="G35" s="116"/>
      <c r="H35" s="20">
        <f>Données!J29</f>
        <v>0</v>
      </c>
      <c r="I35" s="21"/>
      <c r="J35" s="20"/>
      <c r="K35" s="85">
        <f>IF(Données!J29&lt;=(3.5*Données!B15),3.45%,5.25%)</f>
        <v>3.4500000000000003E-2</v>
      </c>
      <c r="L35" s="20">
        <f>H35*K35</f>
        <v>0</v>
      </c>
    </row>
    <row r="36" spans="6:12" x14ac:dyDescent="0.25">
      <c r="F36" s="113" t="s">
        <v>39</v>
      </c>
      <c r="G36" s="114"/>
      <c r="H36" s="20"/>
      <c r="I36" s="21"/>
      <c r="J36" s="22"/>
      <c r="K36" s="21"/>
      <c r="L36" s="20"/>
    </row>
    <row r="37" spans="6:12" x14ac:dyDescent="0.25">
      <c r="F37" s="117" t="s">
        <v>40</v>
      </c>
      <c r="G37" s="28"/>
      <c r="H37" s="20">
        <f>Données!J29</f>
        <v>0</v>
      </c>
      <c r="I37" s="21"/>
      <c r="J37" s="22"/>
      <c r="K37" s="21">
        <f>Données!J37</f>
        <v>0</v>
      </c>
      <c r="L37" s="20">
        <f>H37*K37</f>
        <v>0</v>
      </c>
    </row>
    <row r="38" spans="6:12" x14ac:dyDescent="0.25">
      <c r="F38" s="117" t="s">
        <v>41</v>
      </c>
      <c r="G38" s="28"/>
      <c r="H38" s="20">
        <f>Données!J29</f>
        <v>0</v>
      </c>
      <c r="I38" s="21"/>
      <c r="J38" s="22"/>
      <c r="K38" s="21" t="e">
        <f>Données!#REF!</f>
        <v>#REF!</v>
      </c>
      <c r="L38" s="20" t="e">
        <f>H38*K38</f>
        <v>#REF!</v>
      </c>
    </row>
    <row r="39" spans="6:12" x14ac:dyDescent="0.25">
      <c r="F39" s="113" t="s">
        <v>42</v>
      </c>
      <c r="G39" s="114"/>
      <c r="H39" s="20"/>
      <c r="I39" s="82"/>
      <c r="J39" s="22"/>
      <c r="K39" s="21"/>
      <c r="L39" s="20"/>
    </row>
    <row r="40" spans="6:12" x14ac:dyDescent="0.25">
      <c r="F40" s="115" t="s">
        <v>43</v>
      </c>
      <c r="G40" s="116"/>
      <c r="H40" s="20">
        <f>Données!J29</f>
        <v>0</v>
      </c>
      <c r="I40" s="82">
        <v>6.9000000000000006E-2</v>
      </c>
      <c r="J40" s="20">
        <f>IF(Données!I31="Exonération de cotisation",0,H40*I40)</f>
        <v>0</v>
      </c>
      <c r="K40" s="21">
        <v>8.5500000000000007E-2</v>
      </c>
      <c r="L40" s="20">
        <f>Données!J29*K40</f>
        <v>0</v>
      </c>
    </row>
    <row r="41" spans="6:12" x14ac:dyDescent="0.25">
      <c r="F41" s="115" t="s">
        <v>44</v>
      </c>
      <c r="G41" s="116"/>
      <c r="H41" s="20">
        <f>Données!J29</f>
        <v>0</v>
      </c>
      <c r="I41" s="82">
        <v>4.0000000000000001E-3</v>
      </c>
      <c r="J41" s="20">
        <f>IF(Données!I31="Exonération de cotisation",0,H41*I41)</f>
        <v>0</v>
      </c>
      <c r="K41" s="21">
        <v>2.0199999999999999E-2</v>
      </c>
      <c r="L41" s="20">
        <f>Données!J29*K41</f>
        <v>0</v>
      </c>
    </row>
    <row r="42" spans="6:12" x14ac:dyDescent="0.25">
      <c r="F42" s="117" t="s">
        <v>45</v>
      </c>
      <c r="G42" s="28"/>
      <c r="H42" s="20">
        <f>Données!J29</f>
        <v>0</v>
      </c>
      <c r="I42" s="82">
        <v>3.15E-2</v>
      </c>
      <c r="J42" s="20">
        <f>IF(Données!I31="Exonération de cotisation",0,H42*I42)</f>
        <v>0</v>
      </c>
      <c r="K42" s="21">
        <v>4.7199999999999999E-2</v>
      </c>
      <c r="L42" s="20">
        <f>Données!J29*K42</f>
        <v>0</v>
      </c>
    </row>
    <row r="43" spans="6:12" x14ac:dyDescent="0.25">
      <c r="F43" s="117" t="s">
        <v>46</v>
      </c>
      <c r="G43" s="28"/>
      <c r="H43" s="20">
        <f>Données!J29</f>
        <v>0</v>
      </c>
      <c r="I43" s="82">
        <v>8.6E-3</v>
      </c>
      <c r="J43" s="20">
        <f>IF(Données!I31="Exonération de cotisation",0,H43*I43)</f>
        <v>0</v>
      </c>
      <c r="K43" s="21">
        <v>1.29E-2</v>
      </c>
      <c r="L43" s="20">
        <f>Données!J29*K43</f>
        <v>0</v>
      </c>
    </row>
    <row r="44" spans="6:12" x14ac:dyDescent="0.25">
      <c r="F44" s="113" t="s">
        <v>47</v>
      </c>
      <c r="G44" s="114"/>
      <c r="H44" s="20"/>
      <c r="I44" s="82"/>
      <c r="J44" s="22"/>
      <c r="K44" s="21"/>
      <c r="L44" s="20"/>
    </row>
    <row r="45" spans="6:12" x14ac:dyDescent="0.25">
      <c r="F45" s="119" t="s">
        <v>48</v>
      </c>
      <c r="G45" s="120"/>
      <c r="H45" s="20">
        <f>IF(Données!B34&lt;50,Données!J29,0)</f>
        <v>0</v>
      </c>
      <c r="I45" s="21"/>
      <c r="J45" s="22"/>
      <c r="K45" s="21">
        <v>1E-3</v>
      </c>
      <c r="L45" s="20">
        <f>K45*H45</f>
        <v>0</v>
      </c>
    </row>
    <row r="46" spans="6:12" x14ac:dyDescent="0.25">
      <c r="F46" s="119" t="s">
        <v>49</v>
      </c>
      <c r="G46" s="120"/>
      <c r="H46" s="20">
        <f>IF(Données!B34&gt;=50,Données!J29,0)</f>
        <v>0</v>
      </c>
      <c r="I46" s="21"/>
      <c r="J46" s="22"/>
      <c r="K46" s="21">
        <v>5.0000000000000001E-3</v>
      </c>
      <c r="L46" s="20">
        <f>H46*K46</f>
        <v>0</v>
      </c>
    </row>
    <row r="47" spans="6:12" x14ac:dyDescent="0.25">
      <c r="F47" s="119" t="s">
        <v>50</v>
      </c>
      <c r="G47" s="120"/>
      <c r="H47" s="20">
        <f>Données!J29</f>
        <v>0</v>
      </c>
      <c r="I47" s="21"/>
      <c r="J47" s="22"/>
      <c r="K47" s="90">
        <v>1.6000000000000001E-4</v>
      </c>
      <c r="L47" s="20">
        <f>H47*K47</f>
        <v>0</v>
      </c>
    </row>
    <row r="48" spans="6:12" x14ac:dyDescent="0.25">
      <c r="F48" s="119" t="s">
        <v>51</v>
      </c>
      <c r="G48" s="120"/>
      <c r="H48" s="20">
        <f>Données!J29</f>
        <v>0</v>
      </c>
      <c r="I48" s="21"/>
      <c r="J48" s="22"/>
      <c r="K48" s="21">
        <v>3.0000000000000001E-3</v>
      </c>
      <c r="L48" s="20">
        <f>H48*K48</f>
        <v>0</v>
      </c>
    </row>
    <row r="49" spans="6:12" x14ac:dyDescent="0.25">
      <c r="F49" s="195" t="s">
        <v>127</v>
      </c>
      <c r="G49" s="196"/>
      <c r="H49" s="20">
        <f>Données!J29</f>
        <v>0</v>
      </c>
      <c r="I49" s="21"/>
      <c r="J49" s="22"/>
      <c r="K49" s="21">
        <v>0.08</v>
      </c>
      <c r="L49" s="20">
        <f>IF(Données!B34&gt;=11,H49*K49,0)</f>
        <v>0</v>
      </c>
    </row>
    <row r="50" spans="6:12" x14ac:dyDescent="0.25">
      <c r="F50" s="121" t="str">
        <f>IF(Données!B35="Non","Taxe d'apprentissage hors Alsace Moselle","Taxe d'apprentissage Alsace Moselle")</f>
        <v>Taxe d'apprentissage Alsace Moselle</v>
      </c>
      <c r="G50" s="122"/>
      <c r="H50" s="20">
        <f>Données!J29</f>
        <v>0</v>
      </c>
      <c r="I50" s="21"/>
      <c r="J50" s="22"/>
      <c r="K50" s="21">
        <f>IF(Données!B35="Non",0.68%,0.44%)</f>
        <v>4.4000000000000003E-3</v>
      </c>
      <c r="L50" s="20">
        <f>H50*K50</f>
        <v>0</v>
      </c>
    </row>
    <row r="51" spans="6:12" x14ac:dyDescent="0.25">
      <c r="F51" s="197" t="str">
        <f>IF(Données!B34&lt;11,"Contribution unique à la formation professionnelle entreprise &lt;11 salariés","Contribution unique à la formation professionnelle entreprise &gt;11 salariés")</f>
        <v>Contribution unique à la formation professionnelle entreprise &gt;11 salariés</v>
      </c>
      <c r="G51" s="198"/>
      <c r="H51" s="20">
        <v>909.71</v>
      </c>
      <c r="I51" s="21"/>
      <c r="J51" s="22"/>
      <c r="K51" s="21">
        <f>IF(Données!B34&lt;11,0.55%,1%)</f>
        <v>0.01</v>
      </c>
      <c r="L51" s="24">
        <f>H51*K51</f>
        <v>9.0971000000000011</v>
      </c>
    </row>
    <row r="52" spans="6:12" x14ac:dyDescent="0.25">
      <c r="F52" s="121" t="s">
        <v>53</v>
      </c>
      <c r="G52" s="122"/>
      <c r="H52" s="20">
        <v>909.71</v>
      </c>
      <c r="I52" s="21"/>
      <c r="J52" s="22"/>
      <c r="K52" s="21">
        <v>0.01</v>
      </c>
      <c r="L52" s="24">
        <f>IF(Données!B34&gt;=50,H52*K52,0*H52)</f>
        <v>9.0971000000000011</v>
      </c>
    </row>
    <row r="53" spans="6:12" x14ac:dyDescent="0.25">
      <c r="F53" s="121" t="s">
        <v>54</v>
      </c>
      <c r="G53" s="122"/>
      <c r="H53" s="20">
        <v>909.71</v>
      </c>
      <c r="I53" s="21"/>
      <c r="J53" s="22"/>
      <c r="K53" s="21">
        <v>0.01</v>
      </c>
      <c r="L53" s="24">
        <f>H53*K53</f>
        <v>9.0971000000000011</v>
      </c>
    </row>
    <row r="54" spans="6:12" x14ac:dyDescent="0.25">
      <c r="F54" s="117"/>
      <c r="G54" s="28"/>
      <c r="H54" s="20"/>
      <c r="I54" s="21"/>
      <c r="J54" s="22"/>
      <c r="K54" s="21"/>
      <c r="L54" s="24"/>
    </row>
    <row r="55" spans="6:12" x14ac:dyDescent="0.25">
      <c r="F55" s="117"/>
      <c r="G55" s="28"/>
      <c r="H55" s="20"/>
      <c r="I55" s="21"/>
      <c r="J55" s="22"/>
      <c r="K55" s="21"/>
      <c r="L55" s="24"/>
    </row>
    <row r="56" spans="6:12" x14ac:dyDescent="0.25">
      <c r="F56" s="117"/>
      <c r="G56" s="28"/>
      <c r="H56" s="20"/>
      <c r="I56" s="21"/>
      <c r="J56" s="22"/>
      <c r="K56" s="21"/>
      <c r="L56" s="24"/>
    </row>
    <row r="57" spans="6:12" x14ac:dyDescent="0.25">
      <c r="F57" s="113" t="s">
        <v>56</v>
      </c>
      <c r="G57" s="114"/>
      <c r="H57" s="20"/>
      <c r="I57" s="21"/>
      <c r="J57" s="22"/>
      <c r="K57" s="21"/>
      <c r="L57" s="20"/>
    </row>
    <row r="58" spans="6:12" x14ac:dyDescent="0.25">
      <c r="F58" s="117" t="s">
        <v>57</v>
      </c>
      <c r="G58" s="28"/>
      <c r="H58" s="20"/>
      <c r="I58" s="21"/>
      <c r="J58" s="22"/>
      <c r="K58" s="123" t="e">
        <f>(IF(Données!J29&lt;50,0.3191,0.3231)/0.6)*((1.6*(Données!B15*12)/(Données!J29*12))-1)%</f>
        <v>#DIV/0!</v>
      </c>
      <c r="L58" s="20" t="e">
        <f>-K58*(Données!J29*12)</f>
        <v>#DIV/0!</v>
      </c>
    </row>
    <row r="59" spans="6:12" x14ac:dyDescent="0.25">
      <c r="F59" s="117" t="s">
        <v>130</v>
      </c>
      <c r="G59" s="28"/>
      <c r="H59" s="20"/>
      <c r="I59" s="21"/>
      <c r="J59" s="22"/>
      <c r="K59" s="21">
        <f>IF(Données!B34&lt;20,-1.5%,-0.5%)</f>
        <v>-5.0000000000000001E-3</v>
      </c>
      <c r="L59" s="24">
        <f>SUM(Données!F26:F30)*K59</f>
        <v>-52.25</v>
      </c>
    </row>
    <row r="60" spans="6:12" x14ac:dyDescent="0.25">
      <c r="F60" s="117" t="s">
        <v>59</v>
      </c>
      <c r="G60" s="28"/>
      <c r="H60" s="20" t="e">
        <f>Bulletin!#REF!</f>
        <v>#REF!</v>
      </c>
      <c r="I60" s="21">
        <v>0.11310000000000001</v>
      </c>
      <c r="J60" s="20" t="e">
        <f>H60*I60</f>
        <v>#REF!</v>
      </c>
      <c r="K60" s="25"/>
      <c r="L60" s="24"/>
    </row>
    <row r="61" spans="6:12" x14ac:dyDescent="0.25">
      <c r="F61" s="117" t="s">
        <v>60</v>
      </c>
      <c r="G61" s="28"/>
      <c r="H61" s="20" t="e">
        <f>Bulletin!#REF!</f>
        <v>#REF!</v>
      </c>
      <c r="I61" s="87">
        <v>0.11310000000000001</v>
      </c>
      <c r="J61" s="86" t="e">
        <f>H61*I61</f>
        <v>#REF!</v>
      </c>
      <c r="K61" s="88"/>
      <c r="L61" s="89"/>
    </row>
    <row r="62" spans="6:12" x14ac:dyDescent="0.25">
      <c r="F62" s="29" t="s">
        <v>61</v>
      </c>
      <c r="G62" s="76"/>
      <c r="H62" s="30"/>
      <c r="I62" s="30"/>
      <c r="J62" s="31" t="e">
        <f>SUM(J28:J60)</f>
        <v>#REF!</v>
      </c>
      <c r="K62" s="32"/>
      <c r="L62" s="31" t="e">
        <f>SUM(L28:L58)</f>
        <v>#REF!</v>
      </c>
    </row>
    <row r="63" spans="6:12" x14ac:dyDescent="0.25">
      <c r="F63" s="44"/>
      <c r="G63" s="16"/>
      <c r="H63" s="16"/>
      <c r="I63" s="16"/>
      <c r="J63" s="16"/>
      <c r="K63" s="16"/>
      <c r="L63" s="17"/>
    </row>
    <row r="64" spans="6:12" x14ac:dyDescent="0.25">
      <c r="F64" s="124" t="s">
        <v>62</v>
      </c>
      <c r="G64" s="33"/>
      <c r="H64" s="16"/>
      <c r="I64" s="16"/>
      <c r="J64" s="16"/>
      <c r="K64" s="16"/>
      <c r="L64" s="17"/>
    </row>
    <row r="65" spans="6:12" x14ac:dyDescent="0.25">
      <c r="F65" s="117" t="s">
        <v>63</v>
      </c>
      <c r="G65" s="28"/>
      <c r="H65" s="34">
        <f>Données!M28</f>
        <v>0</v>
      </c>
      <c r="I65" s="95">
        <f>Données!N28</f>
        <v>0</v>
      </c>
      <c r="J65" s="34">
        <f>H65*I65</f>
        <v>0</v>
      </c>
      <c r="K65" s="34"/>
      <c r="L65" s="35"/>
    </row>
    <row r="66" spans="6:12" x14ac:dyDescent="0.25">
      <c r="F66" s="117" t="s">
        <v>64</v>
      </c>
      <c r="G66" s="28"/>
      <c r="H66" s="34"/>
      <c r="I66" s="34"/>
      <c r="J66" s="34">
        <f>H66*I66</f>
        <v>0</v>
      </c>
      <c r="K66" s="34"/>
      <c r="L66" s="35"/>
    </row>
    <row r="67" spans="6:12" x14ac:dyDescent="0.25">
      <c r="F67" s="117" t="s">
        <v>65</v>
      </c>
      <c r="G67" s="28"/>
      <c r="H67" s="34"/>
      <c r="I67" s="34"/>
      <c r="J67" s="34">
        <f>H67*I67</f>
        <v>0</v>
      </c>
      <c r="K67" s="34"/>
      <c r="L67" s="35"/>
    </row>
    <row r="68" spans="6:12" x14ac:dyDescent="0.25">
      <c r="F68" s="117" t="s">
        <v>66</v>
      </c>
      <c r="G68" s="28"/>
      <c r="H68" s="34"/>
      <c r="I68" s="34"/>
      <c r="J68" s="34">
        <f>H68*I68</f>
        <v>0</v>
      </c>
      <c r="K68" s="34"/>
      <c r="L68" s="35"/>
    </row>
    <row r="69" spans="6:12" x14ac:dyDescent="0.25">
      <c r="F69" s="117" t="s">
        <v>67</v>
      </c>
      <c r="G69" s="28"/>
      <c r="H69" s="34"/>
      <c r="I69" s="34"/>
      <c r="J69" s="34"/>
      <c r="K69" s="34"/>
      <c r="L69" s="35"/>
    </row>
    <row r="70" spans="6:12" x14ac:dyDescent="0.25">
      <c r="F70" s="124" t="s">
        <v>68</v>
      </c>
      <c r="G70" s="33"/>
      <c r="H70" s="34"/>
      <c r="I70" s="34"/>
      <c r="J70" s="34"/>
      <c r="K70" s="34"/>
      <c r="L70" s="35"/>
    </row>
    <row r="71" spans="6:12" x14ac:dyDescent="0.25">
      <c r="F71" s="117" t="s">
        <v>69</v>
      </c>
      <c r="G71" s="28"/>
      <c r="H71" s="34">
        <f>Données!J49*Données!J52</f>
        <v>0</v>
      </c>
      <c r="I71" s="36">
        <v>0.5</v>
      </c>
      <c r="J71" s="34">
        <f>H71*I71</f>
        <v>0</v>
      </c>
      <c r="K71" s="36"/>
      <c r="L71" s="35"/>
    </row>
    <row r="72" spans="6:12" x14ac:dyDescent="0.25">
      <c r="F72" s="117" t="s">
        <v>70</v>
      </c>
      <c r="G72" s="28"/>
      <c r="H72" s="34"/>
      <c r="I72" s="36"/>
      <c r="J72" s="37"/>
      <c r="K72" s="36"/>
      <c r="L72" s="17"/>
    </row>
    <row r="73" spans="6:12" x14ac:dyDescent="0.25">
      <c r="F73" s="117" t="s">
        <v>71</v>
      </c>
      <c r="G73" s="28"/>
      <c r="H73" s="34">
        <f>Données!N23</f>
        <v>0</v>
      </c>
      <c r="I73" s="106">
        <f>Données!O23</f>
        <v>0</v>
      </c>
      <c r="J73" s="37">
        <f>IF(Données!P23&gt;0,Données!P23,0)</f>
        <v>0</v>
      </c>
      <c r="K73" s="34"/>
      <c r="L73" s="35"/>
    </row>
    <row r="74" spans="6:12" x14ac:dyDescent="0.25">
      <c r="F74" s="117" t="s">
        <v>72</v>
      </c>
      <c r="G74" s="28"/>
      <c r="H74" s="34"/>
      <c r="I74" s="34"/>
      <c r="J74" s="37">
        <f>Données!P24</f>
        <v>0</v>
      </c>
      <c r="K74" s="34"/>
      <c r="L74" s="35"/>
    </row>
    <row r="75" spans="6:12" x14ac:dyDescent="0.25">
      <c r="F75" s="117" t="s">
        <v>73</v>
      </c>
      <c r="G75" s="28"/>
      <c r="H75" s="34"/>
      <c r="I75" s="34"/>
      <c r="J75" s="37">
        <f>Données!P25</f>
        <v>0</v>
      </c>
      <c r="K75" s="34"/>
      <c r="L75" s="35"/>
    </row>
    <row r="76" spans="6:12" x14ac:dyDescent="0.25">
      <c r="F76" s="117" t="s">
        <v>74</v>
      </c>
      <c r="G76" s="28"/>
      <c r="H76" s="34"/>
      <c r="I76" s="34"/>
      <c r="J76" s="37" t="e">
        <f>Données!#REF!</f>
        <v>#REF!</v>
      </c>
      <c r="K76" s="34"/>
      <c r="L76" s="35"/>
    </row>
    <row r="77" spans="6:12" ht="18.75" x14ac:dyDescent="0.3">
      <c r="F77" s="189" t="s">
        <v>75</v>
      </c>
      <c r="G77" s="190"/>
      <c r="H77" s="190"/>
      <c r="I77" s="190"/>
      <c r="J77" s="190"/>
      <c r="K77" s="190"/>
      <c r="L77" s="38" t="e">
        <f>Données!J29-J62+SUM(J65:J69)-SUM(J71:J76)</f>
        <v>#REF!</v>
      </c>
    </row>
    <row r="78" spans="6:12" x14ac:dyDescent="0.25">
      <c r="F78" s="117" t="s">
        <v>76</v>
      </c>
      <c r="G78" s="28"/>
      <c r="H78" s="16"/>
      <c r="I78" s="16"/>
      <c r="J78" s="16"/>
      <c r="K78" s="16"/>
      <c r="L78" s="39">
        <f>(H37*3.15%)</f>
        <v>0</v>
      </c>
    </row>
    <row r="79" spans="6:12" x14ac:dyDescent="0.25">
      <c r="F79" s="191" t="s">
        <v>77</v>
      </c>
      <c r="G79" s="191"/>
      <c r="H79" s="191"/>
      <c r="I79" s="40" t="s">
        <v>30</v>
      </c>
      <c r="J79" s="192" t="s">
        <v>78</v>
      </c>
      <c r="K79" s="193"/>
      <c r="L79" s="40" t="s">
        <v>23</v>
      </c>
    </row>
    <row r="80" spans="6:12" x14ac:dyDescent="0.25">
      <c r="F80" s="182" t="s">
        <v>79</v>
      </c>
      <c r="G80" s="182"/>
      <c r="H80" s="182"/>
      <c r="I80" s="52" t="e">
        <f>H81</f>
        <v>#REF!</v>
      </c>
      <c r="J80" s="194">
        <v>0</v>
      </c>
      <c r="K80" s="194"/>
      <c r="L80" s="31" t="e">
        <f>I80*J80</f>
        <v>#REF!</v>
      </c>
    </row>
    <row r="81" spans="6:12" x14ac:dyDescent="0.25">
      <c r="F81" s="1" t="s">
        <v>80</v>
      </c>
      <c r="G81" s="1"/>
      <c r="H81" s="181" t="e">
        <f>Données!J29-(SUM(Données!H26:H27))-J62+L31</f>
        <v>#REF!</v>
      </c>
      <c r="I81" s="182"/>
      <c r="J81" s="183" t="s">
        <v>81</v>
      </c>
      <c r="K81" s="183"/>
      <c r="L81" s="183"/>
    </row>
    <row r="82" spans="6:12" ht="15.75" x14ac:dyDescent="0.25">
      <c r="F82" s="44"/>
      <c r="G82" s="16"/>
      <c r="H82" s="16"/>
      <c r="I82" s="16"/>
      <c r="J82" s="184" t="e">
        <f>L77-L80</f>
        <v>#REF!</v>
      </c>
      <c r="K82" s="185"/>
      <c r="L82" s="186"/>
    </row>
    <row r="83" spans="6:12" x14ac:dyDescent="0.25">
      <c r="F83" s="41"/>
      <c r="G83" s="42"/>
      <c r="H83" s="42"/>
      <c r="I83" s="187" t="s">
        <v>82</v>
      </c>
      <c r="J83" s="187"/>
      <c r="K83" s="187"/>
      <c r="L83" s="43" t="e">
        <f>-L58-L57+(H34*1.8%)+(H28*6%)</f>
        <v>#DIV/0!</v>
      </c>
    </row>
    <row r="84" spans="6:12" x14ac:dyDescent="0.25">
      <c r="F84" s="44"/>
      <c r="G84" s="16"/>
      <c r="H84" s="16"/>
      <c r="I84" s="188" t="s">
        <v>83</v>
      </c>
      <c r="J84" s="188"/>
      <c r="K84" s="188"/>
      <c r="L84" s="45" t="e">
        <f>SALBRUT+L62+SUM(J65:J69)</f>
        <v>#REF!</v>
      </c>
    </row>
    <row r="85" spans="6:12" x14ac:dyDescent="0.25">
      <c r="F85" s="174" t="s">
        <v>84</v>
      </c>
      <c r="G85" s="175"/>
      <c r="H85" s="175"/>
      <c r="I85" s="175"/>
      <c r="J85" s="175"/>
      <c r="K85" s="176" t="s">
        <v>85</v>
      </c>
      <c r="L85" s="177"/>
    </row>
    <row r="86" spans="6:12" ht="18.75" x14ac:dyDescent="0.25">
      <c r="F86" s="178" t="s">
        <v>86</v>
      </c>
      <c r="G86" s="179"/>
      <c r="H86" s="179"/>
      <c r="I86" s="179"/>
      <c r="J86" s="179"/>
      <c r="K86" s="179"/>
      <c r="L86" s="180"/>
    </row>
  </sheetData>
  <mergeCells count="22">
    <mergeCell ref="J17:L17"/>
    <mergeCell ref="F4:L5"/>
    <mergeCell ref="J13:L13"/>
    <mergeCell ref="J14:L14"/>
    <mergeCell ref="J15:L15"/>
    <mergeCell ref="J16:L16"/>
    <mergeCell ref="J18:L18"/>
    <mergeCell ref="F49:G49"/>
    <mergeCell ref="F51:G51"/>
    <mergeCell ref="F77:K77"/>
    <mergeCell ref="F79:H79"/>
    <mergeCell ref="J79:K79"/>
    <mergeCell ref="I84:K84"/>
    <mergeCell ref="F85:J85"/>
    <mergeCell ref="K85:L85"/>
    <mergeCell ref="F86:L86"/>
    <mergeCell ref="F80:H80"/>
    <mergeCell ref="J80:K80"/>
    <mergeCell ref="H81:I81"/>
    <mergeCell ref="J81:L81"/>
    <mergeCell ref="J82:L82"/>
    <mergeCell ref="I83:K83"/>
  </mergeCells>
  <hyperlinks>
    <hyperlink ref="K85" r:id="rId1"/>
  </hyperlink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428405D1-00DA-47D5-B02A-128874B2CC0D}">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1</vt:i4>
      </vt:variant>
    </vt:vector>
  </HeadingPairs>
  <TitlesOfParts>
    <vt:vector size="9" baseType="lpstr">
      <vt:lpstr>Bulletin</vt:lpstr>
      <vt:lpstr>Données</vt:lpstr>
      <vt:lpstr>Apprenti</vt:lpstr>
      <vt:lpstr>Cadre</vt:lpstr>
      <vt:lpstr>Contrat pro</vt:lpstr>
      <vt:lpstr>CDD</vt:lpstr>
      <vt:lpstr>Intérim</vt:lpstr>
      <vt:lpstr>CDI</vt:lpstr>
      <vt:lpstr>Données!SALBRUT</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VALREM70</dc:creator>
  <cp:lastModifiedBy>stephane l</cp:lastModifiedBy>
  <cp:lastPrinted>2024-07-23T12:53:29Z</cp:lastPrinted>
  <dcterms:created xsi:type="dcterms:W3CDTF">2021-03-05T10:35:42Z</dcterms:created>
  <dcterms:modified xsi:type="dcterms:W3CDTF">2024-07-26T15:47:15Z</dcterms:modified>
</cp:coreProperties>
</file>