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\Desktop\Essai\"/>
    </mc:Choice>
  </mc:AlternateContent>
  <xr:revisionPtr revIDLastSave="0" documentId="13_ncr:1_{357EFF90-E471-4819-B174-786861814FEF}" xr6:coauthVersionLast="47" xr6:coauthVersionMax="47" xr10:uidLastSave="{00000000-0000-0000-0000-000000000000}"/>
  <bookViews>
    <workbookView xWindow="-110" yWindow="-110" windowWidth="19420" windowHeight="10300" tabRatio="763" activeTab="2" xr2:uid="{2ED36B1C-F690-46AF-9213-46258AD8D7F5}"/>
  </bookViews>
  <sheets>
    <sheet name="Legand" sheetId="3" r:id="rId1"/>
    <sheet name="Timesheet Record" sheetId="1" r:id="rId2"/>
    <sheet name="Line #1" sheetId="8" r:id="rId3"/>
  </sheets>
  <externalReferences>
    <externalReference r:id="rId4"/>
  </externalReferences>
  <definedNames>
    <definedName name="_xlnm._FilterDatabase" localSheetId="2" hidden="1">'Line #1'!$AP$13:$AP$15</definedName>
    <definedName name="DonnéesExternes_1" localSheetId="2" hidden="1">'Line #1'!#REF!</definedName>
    <definedName name="Equipment" localSheetId="2">Tableau2[Equipment Type]</definedName>
    <definedName name="Equipment">Tableau2[Equipment Type]</definedName>
    <definedName name="_xlnm.Extract" localSheetId="2">'Line #1'!$AR$14</definedName>
    <definedName name="MatriceFeuilles">lire.classeur(1)</definedName>
    <definedName name="Model" localSheetId="2">Tableau2[Model]</definedName>
    <definedName name="Model">Tableau2[Model]</definedName>
    <definedName name="Parking_number" localSheetId="2">Tableau2[Parking Number]</definedName>
    <definedName name="Parking_number">Tableau2[Parking Number]</definedName>
    <definedName name="Type" localSheetId="2">Tableau2[Equipment]</definedName>
    <definedName name="Type">Tableau2[Equipment]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K20" i="8" l="1" a="1"/>
  <c r="AK20" i="8" s="1"/>
  <c r="AJ20" i="8" a="1"/>
  <c r="AJ20" i="8" s="1"/>
  <c r="AI20" i="8" a="1"/>
  <c r="AI20" i="8" s="1"/>
  <c r="AH20" i="8" a="1"/>
  <c r="AH20" i="8" s="1"/>
  <c r="AG20" i="8" a="1"/>
  <c r="AG20" i="8" s="1"/>
  <c r="AF20" i="8" a="1"/>
  <c r="AF20" i="8" s="1"/>
  <c r="AE20" i="8" a="1"/>
  <c r="AE20" i="8" s="1"/>
  <c r="AD20" i="8" a="1"/>
  <c r="AD20" i="8" s="1"/>
  <c r="AC20" i="8" a="1"/>
  <c r="AC20" i="8" s="1"/>
  <c r="AB20" i="8" a="1"/>
  <c r="AB20" i="8" s="1"/>
  <c r="AA20" i="8" a="1"/>
  <c r="AA20" i="8" s="1"/>
  <c r="Z20" i="8" a="1"/>
  <c r="Z20" i="8" s="1"/>
  <c r="Y20" i="8" a="1"/>
  <c r="Y20" i="8" s="1"/>
  <c r="X20" i="8" a="1"/>
  <c r="X20" i="8" s="1"/>
  <c r="W20" i="8" a="1"/>
  <c r="W20" i="8" s="1"/>
  <c r="V20" i="8" a="1"/>
  <c r="V20" i="8" s="1"/>
  <c r="U20" i="8" a="1"/>
  <c r="U20" i="8" s="1"/>
  <c r="T20" i="8" a="1"/>
  <c r="T20" i="8" s="1"/>
  <c r="S20" i="8" a="1"/>
  <c r="S20" i="8" s="1"/>
  <c r="R20" i="8" a="1"/>
  <c r="R20" i="8" s="1"/>
  <c r="Q20" i="8" a="1"/>
  <c r="Q20" i="8" s="1"/>
  <c r="P20" i="8" a="1"/>
  <c r="P20" i="8" s="1"/>
  <c r="O20" i="8" a="1"/>
  <c r="O20" i="8" s="1"/>
  <c r="N20" i="8" a="1"/>
  <c r="N20" i="8" s="1"/>
  <c r="M20" i="8" a="1"/>
  <c r="M20" i="8" s="1"/>
  <c r="L20" i="8" a="1"/>
  <c r="L20" i="8" s="1"/>
  <c r="K20" i="8" a="1"/>
  <c r="K20" i="8" s="1"/>
  <c r="J20" i="8" a="1"/>
  <c r="J20" i="8" s="1"/>
  <c r="I20" i="8" a="1"/>
  <c r="I20" i="8" s="1"/>
  <c r="H20" i="8" a="1"/>
  <c r="H20" i="8" s="1"/>
  <c r="G20" i="8" a="1"/>
  <c r="G20" i="8" s="1"/>
  <c r="AK19" i="8" a="1"/>
  <c r="AK19" i="8" s="1"/>
  <c r="AJ19" i="8" a="1"/>
  <c r="AJ19" i="8" s="1"/>
  <c r="AI19" i="8" a="1"/>
  <c r="AI19" i="8" s="1"/>
  <c r="AH19" i="8" a="1"/>
  <c r="AH19" i="8" s="1"/>
  <c r="AG19" i="8" a="1"/>
  <c r="AG19" i="8" s="1"/>
  <c r="AF19" i="8" a="1"/>
  <c r="AF19" i="8" s="1"/>
  <c r="AE19" i="8" a="1"/>
  <c r="AE19" i="8" s="1"/>
  <c r="AD19" i="8" a="1"/>
  <c r="AD19" i="8" s="1"/>
  <c r="AC19" i="8" a="1"/>
  <c r="AC19" i="8" s="1"/>
  <c r="AB19" i="8" a="1"/>
  <c r="AB19" i="8" s="1"/>
  <c r="AA19" i="8" a="1"/>
  <c r="AA19" i="8" s="1"/>
  <c r="Z19" i="8" a="1"/>
  <c r="Z19" i="8" s="1"/>
  <c r="Y19" i="8" a="1"/>
  <c r="Y19" i="8" s="1"/>
  <c r="X19" i="8" a="1"/>
  <c r="X19" i="8" s="1"/>
  <c r="W19" i="8" a="1"/>
  <c r="W19" i="8" s="1"/>
  <c r="V19" i="8" a="1"/>
  <c r="V19" i="8" s="1"/>
  <c r="U19" i="8" a="1"/>
  <c r="U19" i="8" s="1"/>
  <c r="T19" i="8" a="1"/>
  <c r="T19" i="8" s="1"/>
  <c r="S19" i="8" a="1"/>
  <c r="S19" i="8" s="1"/>
  <c r="R19" i="8" a="1"/>
  <c r="R19" i="8" s="1"/>
  <c r="Q19" i="8" a="1"/>
  <c r="Q19" i="8" s="1"/>
  <c r="P19" i="8" a="1"/>
  <c r="P19" i="8" s="1"/>
  <c r="O19" i="8" a="1"/>
  <c r="O19" i="8" s="1"/>
  <c r="N19" i="8" a="1"/>
  <c r="N19" i="8" s="1"/>
  <c r="M19" i="8" a="1"/>
  <c r="M19" i="8" s="1"/>
  <c r="L19" i="8" a="1"/>
  <c r="L19" i="8" s="1"/>
  <c r="K19" i="8" a="1"/>
  <c r="K19" i="8" s="1"/>
  <c r="J19" i="8" a="1"/>
  <c r="J19" i="8" s="1"/>
  <c r="I19" i="8" a="1"/>
  <c r="I19" i="8" s="1"/>
  <c r="H19" i="8" a="1"/>
  <c r="H19" i="8" s="1"/>
  <c r="G19" i="8" a="1"/>
  <c r="G19" i="8" s="1"/>
  <c r="AK18" i="8" a="1"/>
  <c r="AK18" i="8" s="1"/>
  <c r="AJ18" i="8" a="1"/>
  <c r="AJ18" i="8" s="1"/>
  <c r="AI18" i="8" a="1"/>
  <c r="AI18" i="8" s="1"/>
  <c r="AH18" i="8" a="1"/>
  <c r="AH18" i="8" s="1"/>
  <c r="AG18" i="8" a="1"/>
  <c r="AG18" i="8" s="1"/>
  <c r="AF18" i="8" a="1"/>
  <c r="AF18" i="8" s="1"/>
  <c r="AE18" i="8" a="1"/>
  <c r="AE18" i="8" s="1"/>
  <c r="AD18" i="8" a="1"/>
  <c r="AD18" i="8" s="1"/>
  <c r="AC18" i="8" a="1"/>
  <c r="AC18" i="8" s="1"/>
  <c r="AB18" i="8" a="1"/>
  <c r="AB18" i="8" s="1"/>
  <c r="AA18" i="8" a="1"/>
  <c r="AA18" i="8" s="1"/>
  <c r="Z18" i="8" a="1"/>
  <c r="Z18" i="8" s="1"/>
  <c r="Y18" i="8" a="1"/>
  <c r="Y18" i="8" s="1"/>
  <c r="X18" i="8" a="1"/>
  <c r="X18" i="8" s="1"/>
  <c r="W18" i="8" a="1"/>
  <c r="W18" i="8" s="1"/>
  <c r="V18" i="8" a="1"/>
  <c r="V18" i="8" s="1"/>
  <c r="U18" i="8" a="1"/>
  <c r="U18" i="8" s="1"/>
  <c r="T18" i="8" a="1"/>
  <c r="T18" i="8" s="1"/>
  <c r="S18" i="8" a="1"/>
  <c r="S18" i="8" s="1"/>
  <c r="R18" i="8" a="1"/>
  <c r="R18" i="8" s="1"/>
  <c r="Q18" i="8" a="1"/>
  <c r="Q18" i="8" s="1"/>
  <c r="P18" i="8" a="1"/>
  <c r="P18" i="8" s="1"/>
  <c r="O18" i="8" a="1"/>
  <c r="O18" i="8" s="1"/>
  <c r="N18" i="8" a="1"/>
  <c r="N18" i="8" s="1"/>
  <c r="M18" i="8" a="1"/>
  <c r="M18" i="8" s="1"/>
  <c r="L18" i="8" a="1"/>
  <c r="L18" i="8" s="1"/>
  <c r="K18" i="8" a="1"/>
  <c r="K18" i="8" s="1"/>
  <c r="J18" i="8" a="1"/>
  <c r="J18" i="8" s="1"/>
  <c r="I18" i="8" a="1"/>
  <c r="I18" i="8" s="1"/>
  <c r="H18" i="8" a="1"/>
  <c r="H18" i="8" s="1"/>
  <c r="G18" i="8" a="1"/>
  <c r="G18" i="8" s="1"/>
  <c r="AK17" i="8" a="1"/>
  <c r="AK17" i="8" s="1"/>
  <c r="AJ17" i="8" a="1"/>
  <c r="AJ17" i="8" s="1"/>
  <c r="AI17" i="8" a="1"/>
  <c r="AI17" i="8" s="1"/>
  <c r="AH17" i="8" a="1"/>
  <c r="AH17" i="8" s="1"/>
  <c r="AG17" i="8" a="1"/>
  <c r="AG17" i="8" s="1"/>
  <c r="AF17" i="8" a="1"/>
  <c r="AF17" i="8" s="1"/>
  <c r="AE17" i="8" a="1"/>
  <c r="AE17" i="8" s="1"/>
  <c r="AD17" i="8" a="1"/>
  <c r="AD17" i="8" s="1"/>
  <c r="AC17" i="8" a="1"/>
  <c r="AC17" i="8" s="1"/>
  <c r="AB17" i="8" a="1"/>
  <c r="AB17" i="8" s="1"/>
  <c r="AA17" i="8" a="1"/>
  <c r="AA17" i="8" s="1"/>
  <c r="Z17" i="8" a="1"/>
  <c r="Z17" i="8" s="1"/>
  <c r="Y17" i="8" a="1"/>
  <c r="Y17" i="8" s="1"/>
  <c r="X17" i="8" a="1"/>
  <c r="X17" i="8" s="1"/>
  <c r="W17" i="8" a="1"/>
  <c r="W17" i="8" s="1"/>
  <c r="V17" i="8" a="1"/>
  <c r="V17" i="8" s="1"/>
  <c r="U17" i="8" a="1"/>
  <c r="U17" i="8" s="1"/>
  <c r="T17" i="8" a="1"/>
  <c r="T17" i="8" s="1"/>
  <c r="S17" i="8" a="1"/>
  <c r="S17" i="8" s="1"/>
  <c r="R17" i="8" a="1"/>
  <c r="R17" i="8" s="1"/>
  <c r="Q17" i="8" a="1"/>
  <c r="Q17" i="8" s="1"/>
  <c r="P17" i="8" a="1"/>
  <c r="P17" i="8" s="1"/>
  <c r="O17" i="8" a="1"/>
  <c r="O17" i="8" s="1"/>
  <c r="N17" i="8" a="1"/>
  <c r="N17" i="8" s="1"/>
  <c r="M17" i="8" a="1"/>
  <c r="M17" i="8" s="1"/>
  <c r="L17" i="8" a="1"/>
  <c r="L17" i="8" s="1"/>
  <c r="K17" i="8" a="1"/>
  <c r="K17" i="8" s="1"/>
  <c r="J17" i="8" a="1"/>
  <c r="J17" i="8" s="1"/>
  <c r="I17" i="8" a="1"/>
  <c r="I17" i="8" s="1"/>
  <c r="H17" i="8" a="1"/>
  <c r="H17" i="8" s="1"/>
  <c r="G17" i="8" a="1"/>
  <c r="G17" i="8" s="1"/>
  <c r="AK16" i="8" a="1"/>
  <c r="AK16" i="8" s="1"/>
  <c r="AJ16" i="8" a="1"/>
  <c r="AJ16" i="8" s="1"/>
  <c r="AI16" i="8" a="1"/>
  <c r="AI16" i="8" s="1"/>
  <c r="AH16" i="8" a="1"/>
  <c r="AH16" i="8" s="1"/>
  <c r="AG16" i="8" a="1"/>
  <c r="AG16" i="8" s="1"/>
  <c r="AF16" i="8" a="1"/>
  <c r="AF16" i="8" s="1"/>
  <c r="AE16" i="8" a="1"/>
  <c r="AE16" i="8" s="1"/>
  <c r="AD16" i="8" a="1"/>
  <c r="AD16" i="8" s="1"/>
  <c r="AC16" i="8" a="1"/>
  <c r="AC16" i="8" s="1"/>
  <c r="AB16" i="8" a="1"/>
  <c r="AB16" i="8" s="1"/>
  <c r="AA16" i="8" a="1"/>
  <c r="AA16" i="8" s="1"/>
  <c r="Z16" i="8" a="1"/>
  <c r="Z16" i="8" s="1"/>
  <c r="Y16" i="8" a="1"/>
  <c r="Y16" i="8" s="1"/>
  <c r="X16" i="8" a="1"/>
  <c r="X16" i="8" s="1"/>
  <c r="W16" i="8" a="1"/>
  <c r="W16" i="8" s="1"/>
  <c r="V16" i="8" a="1"/>
  <c r="V16" i="8" s="1"/>
  <c r="U16" i="8" a="1"/>
  <c r="U16" i="8" s="1"/>
  <c r="T16" i="8" a="1"/>
  <c r="T16" i="8" s="1"/>
  <c r="S16" i="8" a="1"/>
  <c r="S16" i="8" s="1"/>
  <c r="R16" i="8" a="1"/>
  <c r="R16" i="8" s="1"/>
  <c r="Q16" i="8" a="1"/>
  <c r="Q16" i="8" s="1"/>
  <c r="P16" i="8" a="1"/>
  <c r="P16" i="8" s="1"/>
  <c r="O16" i="8" a="1"/>
  <c r="O16" i="8" s="1"/>
  <c r="N16" i="8" a="1"/>
  <c r="N16" i="8" s="1"/>
  <c r="M16" i="8" a="1"/>
  <c r="M16" i="8" s="1"/>
  <c r="L16" i="8" a="1"/>
  <c r="L16" i="8" s="1"/>
  <c r="K16" i="8" a="1"/>
  <c r="K16" i="8" s="1"/>
  <c r="J16" i="8" a="1"/>
  <c r="J16" i="8" s="1"/>
  <c r="I16" i="8" a="1"/>
  <c r="I16" i="8" s="1"/>
  <c r="H16" i="8" a="1"/>
  <c r="H16" i="8" s="1"/>
  <c r="G16" i="8" a="1"/>
  <c r="G16" i="8" s="1"/>
  <c r="C20" i="8"/>
  <c r="C19" i="8"/>
  <c r="C18" i="8"/>
  <c r="C17" i="8"/>
  <c r="AK15" i="8" a="1"/>
  <c r="AK15" i="8" s="1"/>
  <c r="AJ15" i="8" a="1"/>
  <c r="AJ15" i="8" s="1"/>
  <c r="AI15" i="8" a="1"/>
  <c r="AI15" i="8" s="1"/>
  <c r="AH15" i="8" a="1"/>
  <c r="AH15" i="8" s="1"/>
  <c r="AG15" i="8" a="1"/>
  <c r="AG15" i="8" s="1"/>
  <c r="AF15" i="8" a="1"/>
  <c r="AF15" i="8" s="1"/>
  <c r="AE15" i="8" a="1"/>
  <c r="AE15" i="8" s="1"/>
  <c r="AD15" i="8" a="1"/>
  <c r="AD15" i="8" s="1"/>
  <c r="AC15" i="8" a="1"/>
  <c r="AC15" i="8" s="1"/>
  <c r="AB15" i="8" a="1"/>
  <c r="AB15" i="8" s="1"/>
  <c r="AA15" i="8" a="1"/>
  <c r="AA15" i="8" s="1"/>
  <c r="Z15" i="8" a="1"/>
  <c r="Z15" i="8" s="1"/>
  <c r="Y15" i="8" a="1"/>
  <c r="Y15" i="8" s="1"/>
  <c r="X15" i="8" a="1"/>
  <c r="X15" i="8" s="1"/>
  <c r="W15" i="8" a="1"/>
  <c r="W15" i="8" s="1"/>
  <c r="V15" i="8" a="1"/>
  <c r="V15" i="8" s="1"/>
  <c r="U15" i="8" a="1"/>
  <c r="U15" i="8" s="1"/>
  <c r="T15" i="8" a="1"/>
  <c r="T15" i="8" s="1"/>
  <c r="S15" i="8" a="1"/>
  <c r="S15" i="8" s="1"/>
  <c r="R15" i="8" a="1"/>
  <c r="R15" i="8" s="1"/>
  <c r="Q15" i="8" a="1"/>
  <c r="Q15" i="8" s="1"/>
  <c r="P15" i="8" a="1"/>
  <c r="P15" i="8" s="1"/>
  <c r="O15" i="8" a="1"/>
  <c r="O15" i="8" s="1"/>
  <c r="N15" i="8" a="1"/>
  <c r="N15" i="8" s="1"/>
  <c r="M15" i="8" a="1"/>
  <c r="M15" i="8" s="1"/>
  <c r="L15" i="8" a="1"/>
  <c r="L15" i="8" s="1"/>
  <c r="K15" i="8" a="1"/>
  <c r="K15" i="8" s="1"/>
  <c r="J15" i="8" a="1"/>
  <c r="J15" i="8" s="1"/>
  <c r="I15" i="8" a="1"/>
  <c r="I15" i="8" s="1"/>
  <c r="H15" i="8" a="1"/>
  <c r="H15" i="8" s="1"/>
  <c r="G15" i="8" a="1"/>
  <c r="G15" i="8" s="1"/>
  <c r="AK14" i="8" a="1"/>
  <c r="AK14" i="8" s="1"/>
  <c r="AJ14" i="8" a="1"/>
  <c r="AJ14" i="8" s="1"/>
  <c r="AI14" i="8" a="1"/>
  <c r="AI14" i="8" s="1"/>
  <c r="AH14" i="8" a="1"/>
  <c r="AH14" i="8" s="1"/>
  <c r="AG14" i="8" a="1"/>
  <c r="AG14" i="8" s="1"/>
  <c r="AF14" i="8" a="1"/>
  <c r="AF14" i="8" s="1"/>
  <c r="AE14" i="8" a="1"/>
  <c r="AE14" i="8" s="1"/>
  <c r="AD14" i="8" a="1"/>
  <c r="AD14" i="8" s="1"/>
  <c r="AC14" i="8" a="1"/>
  <c r="AC14" i="8" s="1"/>
  <c r="AB14" i="8" a="1"/>
  <c r="AB14" i="8" s="1"/>
  <c r="AA14" i="8" a="1"/>
  <c r="AA14" i="8" s="1"/>
  <c r="Z14" i="8" a="1"/>
  <c r="Z14" i="8" s="1"/>
  <c r="Y14" i="8" a="1"/>
  <c r="Y14" i="8" s="1"/>
  <c r="X14" i="8" a="1"/>
  <c r="X14" i="8" s="1"/>
  <c r="W14" i="8" a="1"/>
  <c r="W14" i="8" s="1"/>
  <c r="V14" i="8" a="1"/>
  <c r="V14" i="8" s="1"/>
  <c r="U14" i="8" a="1"/>
  <c r="U14" i="8" s="1"/>
  <c r="T14" i="8" a="1"/>
  <c r="T14" i="8" s="1"/>
  <c r="S14" i="8" a="1"/>
  <c r="S14" i="8" s="1"/>
  <c r="R14" i="8" a="1"/>
  <c r="R14" i="8" s="1"/>
  <c r="Q14" i="8" a="1"/>
  <c r="Q14" i="8" s="1"/>
  <c r="P14" i="8" a="1"/>
  <c r="P14" i="8" s="1"/>
  <c r="O14" i="8" a="1"/>
  <c r="O14" i="8" s="1"/>
  <c r="N14" i="8" a="1"/>
  <c r="N14" i="8" s="1"/>
  <c r="M14" i="8" a="1"/>
  <c r="M14" i="8" s="1"/>
  <c r="L14" i="8" a="1"/>
  <c r="L14" i="8" s="1"/>
  <c r="K14" i="8" a="1"/>
  <c r="K14" i="8" s="1"/>
  <c r="J14" i="8" a="1"/>
  <c r="J14" i="8" s="1"/>
  <c r="I14" i="8" a="1"/>
  <c r="I14" i="8" s="1"/>
  <c r="H14" i="8" a="1"/>
  <c r="H14" i="8" s="1"/>
  <c r="G14" i="8" a="1"/>
  <c r="G14" i="8" s="1"/>
  <c r="AL20" i="8" l="1"/>
  <c r="AN20" i="8" s="1"/>
  <c r="AL19" i="8"/>
  <c r="AN19" i="8" s="1"/>
  <c r="AL18" i="8"/>
  <c r="AN18" i="8" s="1"/>
  <c r="AL17" i="8"/>
  <c r="AN17" i="8" s="1"/>
  <c r="AL16" i="8"/>
  <c r="AN16" i="8" s="1"/>
  <c r="H21" i="8"/>
  <c r="O18" i="1"/>
  <c r="R21" i="8"/>
  <c r="S21" i="8"/>
  <c r="T21" i="8"/>
  <c r="U21" i="8"/>
  <c r="V21" i="8"/>
  <c r="W21" i="8"/>
  <c r="X21" i="8"/>
  <c r="Y21" i="8"/>
  <c r="Z21" i="8"/>
  <c r="AA21" i="8"/>
  <c r="AB21" i="8"/>
  <c r="AC21" i="8"/>
  <c r="AD21" i="8"/>
  <c r="AE21" i="8"/>
  <c r="AF21" i="8"/>
  <c r="AG21" i="8"/>
  <c r="AH21" i="8"/>
  <c r="AI21" i="8"/>
  <c r="AJ21" i="8"/>
  <c r="AK21" i="8"/>
  <c r="Q21" i="8"/>
  <c r="I21" i="8"/>
  <c r="J21" i="8"/>
  <c r="K21" i="8"/>
  <c r="L21" i="8"/>
  <c r="M21" i="8"/>
  <c r="N21" i="8"/>
  <c r="O21" i="8"/>
  <c r="P21" i="8"/>
  <c r="G21" i="8" l="1"/>
  <c r="AP14" i="8" l="1" a="1"/>
  <c r="AP14" i="8" s="1"/>
  <c r="C14" i="8" l="1"/>
  <c r="C15" i="8"/>
  <c r="E8" i="1"/>
  <c r="AM21" i="8"/>
  <c r="AL14" i="8"/>
  <c r="AL15" i="8"/>
  <c r="AN15" i="8" s="1"/>
  <c r="AL12" i="8" l="1"/>
  <c r="AL21" i="8"/>
  <c r="AN14" i="8"/>
  <c r="AN12" i="8" l="1"/>
  <c r="AN21" i="8"/>
  <c r="P117" i="1" l="1"/>
  <c r="P8" i="1" l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G45" i="1" l="1"/>
  <c r="E41" i="1"/>
  <c r="C40" i="1" l="1"/>
  <c r="G40" i="1"/>
  <c r="C9" i="1" l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N40" i="1"/>
  <c r="O40" i="1" s="1"/>
  <c r="C41" i="1"/>
  <c r="C42" i="1"/>
  <c r="C43" i="1"/>
  <c r="C44" i="1"/>
  <c r="C45" i="1"/>
  <c r="C46" i="1"/>
  <c r="C47" i="1"/>
  <c r="C48" i="1"/>
  <c r="C49" i="1"/>
  <c r="C50" i="1"/>
  <c r="C51" i="1"/>
  <c r="C52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N115" i="1" s="1"/>
  <c r="C116" i="1"/>
  <c r="N116" i="1" s="1"/>
  <c r="C117" i="1"/>
  <c r="N117" i="1" s="1"/>
  <c r="C118" i="1"/>
  <c r="N118" i="1" s="1"/>
  <c r="C119" i="1"/>
  <c r="N119" i="1" s="1"/>
  <c r="C120" i="1"/>
  <c r="N120" i="1" s="1"/>
  <c r="C121" i="1"/>
  <c r="N121" i="1" s="1"/>
  <c r="C122" i="1"/>
  <c r="N122" i="1" s="1"/>
  <c r="C123" i="1"/>
  <c r="N123" i="1" s="1"/>
  <c r="C124" i="1"/>
  <c r="N124" i="1" s="1"/>
  <c r="C125" i="1"/>
  <c r="N125" i="1" s="1"/>
  <c r="C126" i="1"/>
  <c r="N126" i="1" s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2" i="1"/>
  <c r="E43" i="1"/>
  <c r="E44" i="1"/>
  <c r="E45" i="1"/>
  <c r="E46" i="1"/>
  <c r="E47" i="1"/>
  <c r="E48" i="1"/>
  <c r="E49" i="1"/>
  <c r="E50" i="1"/>
  <c r="E51" i="1"/>
  <c r="E52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1" i="1"/>
  <c r="G42" i="1"/>
  <c r="G43" i="1"/>
  <c r="G44" i="1"/>
  <c r="G46" i="1"/>
  <c r="G47" i="1"/>
  <c r="G48" i="1"/>
  <c r="G49" i="1"/>
  <c r="G50" i="1"/>
  <c r="G51" i="1"/>
  <c r="G52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8" i="1"/>
  <c r="C8" i="1"/>
  <c r="N357" i="1" l="1"/>
  <c r="O357" i="1" s="1"/>
  <c r="Q357" i="1"/>
  <c r="N345" i="1"/>
  <c r="O345" i="1" s="1"/>
  <c r="Q345" i="1"/>
  <c r="N321" i="1"/>
  <c r="O321" i="1" s="1"/>
  <c r="Q321" i="1"/>
  <c r="N309" i="1"/>
  <c r="O309" i="1" s="1"/>
  <c r="Q309" i="1"/>
  <c r="N285" i="1"/>
  <c r="O285" i="1" s="1"/>
  <c r="Q285" i="1"/>
  <c r="N273" i="1"/>
  <c r="O273" i="1" s="1"/>
  <c r="Q273" i="1"/>
  <c r="N249" i="1"/>
  <c r="O249" i="1" s="1"/>
  <c r="Q249" i="1"/>
  <c r="N237" i="1"/>
  <c r="O237" i="1" s="1"/>
  <c r="Q237" i="1"/>
  <c r="N213" i="1"/>
  <c r="O213" i="1" s="1"/>
  <c r="Q213" i="1"/>
  <c r="N201" i="1"/>
  <c r="O201" i="1" s="1"/>
  <c r="Q201" i="1"/>
  <c r="N189" i="1"/>
  <c r="O189" i="1" s="1"/>
  <c r="Q189" i="1"/>
  <c r="N165" i="1"/>
  <c r="O165" i="1" s="1"/>
  <c r="Q165" i="1"/>
  <c r="N153" i="1"/>
  <c r="O153" i="1" s="1"/>
  <c r="Q153" i="1"/>
  <c r="N129" i="1"/>
  <c r="O129" i="1" s="1"/>
  <c r="Q129" i="1"/>
  <c r="O117" i="1"/>
  <c r="Q117" i="1"/>
  <c r="N105" i="1"/>
  <c r="O105" i="1" s="1"/>
  <c r="Q105" i="1"/>
  <c r="N93" i="1"/>
  <c r="O93" i="1" s="1"/>
  <c r="Q93" i="1"/>
  <c r="N68" i="1"/>
  <c r="O68" i="1" s="1"/>
  <c r="N56" i="1"/>
  <c r="O56" i="1" s="1"/>
  <c r="N43" i="1"/>
  <c r="O43" i="1" s="1"/>
  <c r="Q43" i="1"/>
  <c r="N19" i="1"/>
  <c r="O19" i="1" s="1"/>
  <c r="Q19" i="1"/>
  <c r="N356" i="1"/>
  <c r="O356" i="1" s="1"/>
  <c r="Q356" i="1"/>
  <c r="N344" i="1"/>
  <c r="O344" i="1" s="1"/>
  <c r="Q344" i="1"/>
  <c r="N320" i="1"/>
  <c r="O320" i="1" s="1"/>
  <c r="Q320" i="1"/>
  <c r="N308" i="1"/>
  <c r="O308" i="1" s="1"/>
  <c r="Q308" i="1"/>
  <c r="N284" i="1"/>
  <c r="O284" i="1" s="1"/>
  <c r="Q284" i="1"/>
  <c r="N272" i="1"/>
  <c r="O272" i="1" s="1"/>
  <c r="Q272" i="1"/>
  <c r="N260" i="1"/>
  <c r="O260" i="1" s="1"/>
  <c r="Q260" i="1"/>
  <c r="N236" i="1"/>
  <c r="O236" i="1" s="1"/>
  <c r="Q236" i="1"/>
  <c r="N224" i="1"/>
  <c r="O224" i="1" s="1"/>
  <c r="Q224" i="1"/>
  <c r="N200" i="1"/>
  <c r="O200" i="1" s="1"/>
  <c r="Q200" i="1"/>
  <c r="N188" i="1"/>
  <c r="O188" i="1" s="1"/>
  <c r="Q188" i="1"/>
  <c r="N176" i="1"/>
  <c r="O176" i="1" s="1"/>
  <c r="Q176" i="1"/>
  <c r="N152" i="1"/>
  <c r="O152" i="1" s="1"/>
  <c r="Q152" i="1"/>
  <c r="N140" i="1"/>
  <c r="O140" i="1" s="1"/>
  <c r="Q140" i="1"/>
  <c r="N128" i="1"/>
  <c r="O128" i="1" s="1"/>
  <c r="Q128" i="1"/>
  <c r="O116" i="1"/>
  <c r="Q116" i="1"/>
  <c r="N92" i="1"/>
  <c r="O92" i="1" s="1"/>
  <c r="Q92" i="1"/>
  <c r="N67" i="1"/>
  <c r="O67" i="1" s="1"/>
  <c r="N55" i="1"/>
  <c r="O55" i="1" s="1"/>
  <c r="N42" i="1"/>
  <c r="O42" i="1" s="1"/>
  <c r="Q42" i="1"/>
  <c r="N18" i="1"/>
  <c r="Q18" i="1"/>
  <c r="N355" i="1"/>
  <c r="O355" i="1" s="1"/>
  <c r="Q355" i="1"/>
  <c r="N331" i="1"/>
  <c r="O331" i="1" s="1"/>
  <c r="Q331" i="1"/>
  <c r="N319" i="1"/>
  <c r="O319" i="1" s="1"/>
  <c r="Q319" i="1"/>
  <c r="N307" i="1"/>
  <c r="O307" i="1" s="1"/>
  <c r="Q307" i="1"/>
  <c r="N283" i="1"/>
  <c r="O283" i="1" s="1"/>
  <c r="Q283" i="1"/>
  <c r="N271" i="1"/>
  <c r="O271" i="1" s="1"/>
  <c r="Q271" i="1"/>
  <c r="N259" i="1"/>
  <c r="O259" i="1" s="1"/>
  <c r="Q259" i="1"/>
  <c r="N235" i="1"/>
  <c r="O235" i="1" s="1"/>
  <c r="Q235" i="1"/>
  <c r="N223" i="1"/>
  <c r="O223" i="1" s="1"/>
  <c r="Q223" i="1"/>
  <c r="N211" i="1"/>
  <c r="O211" i="1" s="1"/>
  <c r="Q211" i="1"/>
  <c r="N187" i="1"/>
  <c r="O187" i="1" s="1"/>
  <c r="Q187" i="1"/>
  <c r="N175" i="1"/>
  <c r="O175" i="1" s="1"/>
  <c r="Q175" i="1"/>
  <c r="N163" i="1"/>
  <c r="O163" i="1" s="1"/>
  <c r="Q163" i="1"/>
  <c r="N139" i="1"/>
  <c r="O139" i="1" s="1"/>
  <c r="Q139" i="1"/>
  <c r="N127" i="1"/>
  <c r="O127" i="1" s="1"/>
  <c r="Q127" i="1"/>
  <c r="N103" i="1"/>
  <c r="O103" i="1" s="1"/>
  <c r="Q103" i="1"/>
  <c r="N91" i="1"/>
  <c r="O91" i="1" s="1"/>
  <c r="Q91" i="1"/>
  <c r="N66" i="1"/>
  <c r="O66" i="1" s="1"/>
  <c r="Q17" i="1"/>
  <c r="N354" i="1"/>
  <c r="O354" i="1" s="1"/>
  <c r="Q354" i="1"/>
  <c r="N330" i="1"/>
  <c r="O330" i="1" s="1"/>
  <c r="Q330" i="1"/>
  <c r="N318" i="1"/>
  <c r="O318" i="1" s="1"/>
  <c r="Q318" i="1"/>
  <c r="N294" i="1"/>
  <c r="O294" i="1" s="1"/>
  <c r="Q294" i="1"/>
  <c r="N282" i="1"/>
  <c r="O282" i="1" s="1"/>
  <c r="Q282" i="1"/>
  <c r="N270" i="1"/>
  <c r="O270" i="1" s="1"/>
  <c r="Q270" i="1"/>
  <c r="N246" i="1"/>
  <c r="O246" i="1" s="1"/>
  <c r="Q246" i="1"/>
  <c r="N234" i="1"/>
  <c r="O234" i="1" s="1"/>
  <c r="Q234" i="1"/>
  <c r="N210" i="1"/>
  <c r="O210" i="1" s="1"/>
  <c r="Q210" i="1"/>
  <c r="N198" i="1"/>
  <c r="O198" i="1" s="1"/>
  <c r="Q198" i="1"/>
  <c r="N174" i="1"/>
  <c r="O174" i="1" s="1"/>
  <c r="Q174" i="1"/>
  <c r="N162" i="1"/>
  <c r="O162" i="1" s="1"/>
  <c r="Q162" i="1"/>
  <c r="N138" i="1"/>
  <c r="O138" i="1" s="1"/>
  <c r="Q138" i="1"/>
  <c r="O126" i="1"/>
  <c r="Q126" i="1"/>
  <c r="N114" i="1"/>
  <c r="O114" i="1" s="1"/>
  <c r="Q114" i="1"/>
  <c r="N90" i="1"/>
  <c r="O90" i="1" s="1"/>
  <c r="Q90" i="1"/>
  <c r="N78" i="1"/>
  <c r="O78" i="1" s="1"/>
  <c r="N65" i="1"/>
  <c r="O65" i="1" s="1"/>
  <c r="N52" i="1"/>
  <c r="O52" i="1" s="1"/>
  <c r="N16" i="1"/>
  <c r="O16" i="1" s="1"/>
  <c r="Q16" i="1"/>
  <c r="N353" i="1"/>
  <c r="O353" i="1" s="1"/>
  <c r="Q353" i="1"/>
  <c r="N341" i="1"/>
  <c r="O341" i="1" s="1"/>
  <c r="Q341" i="1"/>
  <c r="N317" i="1"/>
  <c r="O317" i="1" s="1"/>
  <c r="Q317" i="1"/>
  <c r="N305" i="1"/>
  <c r="O305" i="1" s="1"/>
  <c r="Q305" i="1"/>
  <c r="N281" i="1"/>
  <c r="O281" i="1" s="1"/>
  <c r="Q281" i="1"/>
  <c r="N269" i="1"/>
  <c r="O269" i="1" s="1"/>
  <c r="Q269" i="1"/>
  <c r="N257" i="1"/>
  <c r="O257" i="1" s="1"/>
  <c r="Q257" i="1"/>
  <c r="N233" i="1"/>
  <c r="O233" i="1" s="1"/>
  <c r="Q233" i="1"/>
  <c r="N221" i="1"/>
  <c r="O221" i="1" s="1"/>
  <c r="Q221" i="1"/>
  <c r="N197" i="1"/>
  <c r="O197" i="1" s="1"/>
  <c r="Q197" i="1"/>
  <c r="N185" i="1"/>
  <c r="O185" i="1" s="1"/>
  <c r="Q185" i="1"/>
  <c r="N161" i="1"/>
  <c r="O161" i="1" s="1"/>
  <c r="Q161" i="1"/>
  <c r="N149" i="1"/>
  <c r="O149" i="1" s="1"/>
  <c r="Q149" i="1"/>
  <c r="O125" i="1"/>
  <c r="Q125" i="1"/>
  <c r="N101" i="1"/>
  <c r="O101" i="1" s="1"/>
  <c r="Q101" i="1"/>
  <c r="N77" i="1"/>
  <c r="O77" i="1" s="1"/>
  <c r="N64" i="1"/>
  <c r="O64" i="1" s="1"/>
  <c r="N27" i="1"/>
  <c r="O27" i="1" s="1"/>
  <c r="Q27" i="1"/>
  <c r="N363" i="1"/>
  <c r="O363" i="1" s="1"/>
  <c r="Q363" i="1"/>
  <c r="N351" i="1"/>
  <c r="O351" i="1" s="1"/>
  <c r="Q351" i="1"/>
  <c r="N327" i="1"/>
  <c r="O327" i="1" s="1"/>
  <c r="Q327" i="1"/>
  <c r="N315" i="1"/>
  <c r="O315" i="1" s="1"/>
  <c r="Q315" i="1"/>
  <c r="N291" i="1"/>
  <c r="O291" i="1" s="1"/>
  <c r="Q291" i="1"/>
  <c r="N279" i="1"/>
  <c r="O279" i="1" s="1"/>
  <c r="Q279" i="1"/>
  <c r="N255" i="1"/>
  <c r="O255" i="1" s="1"/>
  <c r="Q255" i="1"/>
  <c r="N243" i="1"/>
  <c r="O243" i="1" s="1"/>
  <c r="Q243" i="1"/>
  <c r="N219" i="1"/>
  <c r="O219" i="1" s="1"/>
  <c r="Q219" i="1"/>
  <c r="N207" i="1"/>
  <c r="O207" i="1" s="1"/>
  <c r="Q207" i="1"/>
  <c r="N183" i="1"/>
  <c r="O183" i="1" s="1"/>
  <c r="Q183" i="1"/>
  <c r="N171" i="1"/>
  <c r="O171" i="1" s="1"/>
  <c r="Q171" i="1"/>
  <c r="N147" i="1"/>
  <c r="O147" i="1" s="1"/>
  <c r="Q147" i="1"/>
  <c r="N135" i="1"/>
  <c r="O135" i="1" s="1"/>
  <c r="Q135" i="1"/>
  <c r="N111" i="1"/>
  <c r="O111" i="1" s="1"/>
  <c r="Q111" i="1"/>
  <c r="N99" i="1"/>
  <c r="O99" i="1" s="1"/>
  <c r="Q99" i="1"/>
  <c r="N87" i="1"/>
  <c r="O87" i="1" s="1"/>
  <c r="Q87" i="1"/>
  <c r="N75" i="1"/>
  <c r="O75" i="1" s="1"/>
  <c r="N49" i="1"/>
  <c r="O49" i="1" s="1"/>
  <c r="N37" i="1"/>
  <c r="O37" i="1" s="1"/>
  <c r="Q37" i="1"/>
  <c r="N25" i="1"/>
  <c r="O25" i="1" s="1"/>
  <c r="Q25" i="1"/>
  <c r="N362" i="1"/>
  <c r="O362" i="1" s="1"/>
  <c r="Q362" i="1"/>
  <c r="N338" i="1"/>
  <c r="O338" i="1" s="1"/>
  <c r="Q338" i="1"/>
  <c r="N326" i="1"/>
  <c r="O326" i="1" s="1"/>
  <c r="Q326" i="1"/>
  <c r="N302" i="1"/>
  <c r="O302" i="1" s="1"/>
  <c r="Q302" i="1"/>
  <c r="N290" i="1"/>
  <c r="O290" i="1" s="1"/>
  <c r="Q290" i="1"/>
  <c r="N278" i="1"/>
  <c r="O278" i="1" s="1"/>
  <c r="Q278" i="1"/>
  <c r="N254" i="1"/>
  <c r="O254" i="1" s="1"/>
  <c r="Q254" i="1"/>
  <c r="N242" i="1"/>
  <c r="O242" i="1" s="1"/>
  <c r="Q242" i="1"/>
  <c r="N230" i="1"/>
  <c r="O230" i="1" s="1"/>
  <c r="Q230" i="1"/>
  <c r="N206" i="1"/>
  <c r="O206" i="1" s="1"/>
  <c r="Q206" i="1"/>
  <c r="N194" i="1"/>
  <c r="O194" i="1" s="1"/>
  <c r="Q194" i="1"/>
  <c r="N182" i="1"/>
  <c r="O182" i="1" s="1"/>
  <c r="Q182" i="1"/>
  <c r="N158" i="1"/>
  <c r="O158" i="1" s="1"/>
  <c r="Q158" i="1"/>
  <c r="N146" i="1"/>
  <c r="O146" i="1" s="1"/>
  <c r="Q146" i="1"/>
  <c r="N134" i="1"/>
  <c r="O134" i="1" s="1"/>
  <c r="Q134" i="1"/>
  <c r="O122" i="1"/>
  <c r="Q122" i="1"/>
  <c r="N98" i="1"/>
  <c r="O98" i="1" s="1"/>
  <c r="Q98" i="1"/>
  <c r="N86" i="1"/>
  <c r="O86" i="1" s="1"/>
  <c r="Q86" i="1"/>
  <c r="N61" i="1"/>
  <c r="O61" i="1" s="1"/>
  <c r="N48" i="1"/>
  <c r="O48" i="1" s="1"/>
  <c r="N24" i="1"/>
  <c r="O24" i="1" s="1"/>
  <c r="Q24" i="1"/>
  <c r="Q8" i="1"/>
  <c r="N361" i="1"/>
  <c r="O361" i="1" s="1"/>
  <c r="Q361" i="1"/>
  <c r="N349" i="1"/>
  <c r="O349" i="1" s="1"/>
  <c r="Q349" i="1"/>
  <c r="N337" i="1"/>
  <c r="O337" i="1" s="1"/>
  <c r="Q337" i="1"/>
  <c r="N313" i="1"/>
  <c r="O313" i="1" s="1"/>
  <c r="Q313" i="1"/>
  <c r="N301" i="1"/>
  <c r="O301" i="1" s="1"/>
  <c r="Q301" i="1"/>
  <c r="N277" i="1"/>
  <c r="O277" i="1" s="1"/>
  <c r="Q277" i="1"/>
  <c r="N265" i="1"/>
  <c r="O265" i="1" s="1"/>
  <c r="Q265" i="1"/>
  <c r="N253" i="1"/>
  <c r="O253" i="1" s="1"/>
  <c r="Q253" i="1"/>
  <c r="N229" i="1"/>
  <c r="O229" i="1" s="1"/>
  <c r="Q229" i="1"/>
  <c r="N217" i="1"/>
  <c r="O217" i="1" s="1"/>
  <c r="Q217" i="1"/>
  <c r="N205" i="1"/>
  <c r="O205" i="1" s="1"/>
  <c r="Q205" i="1"/>
  <c r="N181" i="1"/>
  <c r="O181" i="1" s="1"/>
  <c r="Q181" i="1"/>
  <c r="N169" i="1"/>
  <c r="O169" i="1" s="1"/>
  <c r="Q169" i="1"/>
  <c r="N145" i="1"/>
  <c r="O145" i="1" s="1"/>
  <c r="Q145" i="1"/>
  <c r="N133" i="1"/>
  <c r="O133" i="1" s="1"/>
  <c r="Q133" i="1"/>
  <c r="O121" i="1"/>
  <c r="Q121" i="1"/>
  <c r="N109" i="1"/>
  <c r="O109" i="1" s="1"/>
  <c r="Q109" i="1"/>
  <c r="N85" i="1"/>
  <c r="O85" i="1" s="1"/>
  <c r="Q85" i="1"/>
  <c r="N73" i="1"/>
  <c r="O73" i="1" s="1"/>
  <c r="N60" i="1"/>
  <c r="O60" i="1" s="1"/>
  <c r="N35" i="1"/>
  <c r="O35" i="1" s="1"/>
  <c r="Q35" i="1"/>
  <c r="N23" i="1"/>
  <c r="O23" i="1" s="1"/>
  <c r="Q23" i="1"/>
  <c r="N360" i="1"/>
  <c r="O360" i="1" s="1"/>
  <c r="Q360" i="1"/>
  <c r="N348" i="1"/>
  <c r="O348" i="1" s="1"/>
  <c r="Q348" i="1"/>
  <c r="N336" i="1"/>
  <c r="O336" i="1" s="1"/>
  <c r="Q336" i="1"/>
  <c r="N324" i="1"/>
  <c r="O324" i="1" s="1"/>
  <c r="Q324" i="1"/>
  <c r="N312" i="1"/>
  <c r="O312" i="1" s="1"/>
  <c r="Q312" i="1"/>
  <c r="N300" i="1"/>
  <c r="O300" i="1" s="1"/>
  <c r="Q300" i="1"/>
  <c r="N288" i="1"/>
  <c r="O288" i="1" s="1"/>
  <c r="Q288" i="1"/>
  <c r="N276" i="1"/>
  <c r="O276" i="1" s="1"/>
  <c r="Q276" i="1"/>
  <c r="N264" i="1"/>
  <c r="O264" i="1" s="1"/>
  <c r="Q264" i="1"/>
  <c r="N252" i="1"/>
  <c r="O252" i="1" s="1"/>
  <c r="Q252" i="1"/>
  <c r="N240" i="1"/>
  <c r="O240" i="1" s="1"/>
  <c r="Q240" i="1"/>
  <c r="N228" i="1"/>
  <c r="O228" i="1" s="1"/>
  <c r="Q228" i="1"/>
  <c r="N216" i="1"/>
  <c r="O216" i="1" s="1"/>
  <c r="Q216" i="1"/>
  <c r="N204" i="1"/>
  <c r="O204" i="1" s="1"/>
  <c r="Q204" i="1"/>
  <c r="N192" i="1"/>
  <c r="O192" i="1" s="1"/>
  <c r="Q192" i="1"/>
  <c r="N180" i="1"/>
  <c r="O180" i="1" s="1"/>
  <c r="Q180" i="1"/>
  <c r="N168" i="1"/>
  <c r="O168" i="1" s="1"/>
  <c r="Q168" i="1"/>
  <c r="N156" i="1"/>
  <c r="O156" i="1" s="1"/>
  <c r="Q156" i="1"/>
  <c r="N144" i="1"/>
  <c r="O144" i="1" s="1"/>
  <c r="Q144" i="1"/>
  <c r="N132" i="1"/>
  <c r="O132" i="1" s="1"/>
  <c r="Q132" i="1"/>
  <c r="O120" i="1"/>
  <c r="Q120" i="1"/>
  <c r="N108" i="1"/>
  <c r="O108" i="1" s="1"/>
  <c r="Q108" i="1"/>
  <c r="N96" i="1"/>
  <c r="O96" i="1" s="1"/>
  <c r="Q96" i="1"/>
  <c r="N84" i="1"/>
  <c r="O84" i="1" s="1"/>
  <c r="Q84" i="1"/>
  <c r="N72" i="1"/>
  <c r="O72" i="1" s="1"/>
  <c r="N59" i="1"/>
  <c r="O59" i="1" s="1"/>
  <c r="N46" i="1"/>
  <c r="O46" i="1" s="1"/>
  <c r="N34" i="1"/>
  <c r="O34" i="1" s="1"/>
  <c r="Q34" i="1"/>
  <c r="Q22" i="1"/>
  <c r="Q10" i="1"/>
  <c r="N359" i="1"/>
  <c r="O359" i="1" s="1"/>
  <c r="Q359" i="1"/>
  <c r="N347" i="1"/>
  <c r="O347" i="1" s="1"/>
  <c r="Q347" i="1"/>
  <c r="N335" i="1"/>
  <c r="O335" i="1" s="1"/>
  <c r="Q335" i="1"/>
  <c r="N323" i="1"/>
  <c r="O323" i="1" s="1"/>
  <c r="Q323" i="1"/>
  <c r="N311" i="1"/>
  <c r="O311" i="1" s="1"/>
  <c r="Q311" i="1"/>
  <c r="N299" i="1"/>
  <c r="O299" i="1" s="1"/>
  <c r="Q299" i="1"/>
  <c r="N287" i="1"/>
  <c r="O287" i="1" s="1"/>
  <c r="Q287" i="1"/>
  <c r="N275" i="1"/>
  <c r="O275" i="1" s="1"/>
  <c r="Q275" i="1"/>
  <c r="N263" i="1"/>
  <c r="O263" i="1" s="1"/>
  <c r="Q263" i="1"/>
  <c r="N251" i="1"/>
  <c r="O251" i="1" s="1"/>
  <c r="Q251" i="1"/>
  <c r="N239" i="1"/>
  <c r="O239" i="1" s="1"/>
  <c r="Q239" i="1"/>
  <c r="N227" i="1"/>
  <c r="O227" i="1" s="1"/>
  <c r="Q227" i="1"/>
  <c r="N215" i="1"/>
  <c r="O215" i="1" s="1"/>
  <c r="Q215" i="1"/>
  <c r="N203" i="1"/>
  <c r="O203" i="1" s="1"/>
  <c r="Q203" i="1"/>
  <c r="N191" i="1"/>
  <c r="O191" i="1" s="1"/>
  <c r="Q191" i="1"/>
  <c r="N179" i="1"/>
  <c r="O179" i="1" s="1"/>
  <c r="Q179" i="1"/>
  <c r="N167" i="1"/>
  <c r="O167" i="1" s="1"/>
  <c r="Q167" i="1"/>
  <c r="N155" i="1"/>
  <c r="O155" i="1" s="1"/>
  <c r="Q155" i="1"/>
  <c r="N143" i="1"/>
  <c r="O143" i="1" s="1"/>
  <c r="Q143" i="1"/>
  <c r="N131" i="1"/>
  <c r="O131" i="1" s="1"/>
  <c r="Q131" i="1"/>
  <c r="O119" i="1"/>
  <c r="Q119" i="1"/>
  <c r="N107" i="1"/>
  <c r="O107" i="1" s="1"/>
  <c r="Q107" i="1"/>
  <c r="N95" i="1"/>
  <c r="O95" i="1" s="1"/>
  <c r="Q95" i="1"/>
  <c r="N83" i="1"/>
  <c r="O83" i="1" s="1"/>
  <c r="Q83" i="1"/>
  <c r="N71" i="1"/>
  <c r="O71" i="1" s="1"/>
  <c r="N58" i="1"/>
  <c r="O58" i="1" s="1"/>
  <c r="N45" i="1"/>
  <c r="O45" i="1" s="1"/>
  <c r="Q45" i="1"/>
  <c r="N33" i="1"/>
  <c r="O33" i="1" s="1"/>
  <c r="Q33" i="1"/>
  <c r="N21" i="1"/>
  <c r="O21" i="1" s="1"/>
  <c r="Q21" i="1"/>
  <c r="N9" i="1"/>
  <c r="O9" i="1" s="1"/>
  <c r="Q9" i="1"/>
  <c r="N333" i="1"/>
  <c r="O333" i="1" s="1"/>
  <c r="Q333" i="1"/>
  <c r="N297" i="1"/>
  <c r="O297" i="1" s="1"/>
  <c r="Q297" i="1"/>
  <c r="N261" i="1"/>
  <c r="O261" i="1" s="1"/>
  <c r="Q261" i="1"/>
  <c r="N225" i="1"/>
  <c r="O225" i="1" s="1"/>
  <c r="Q225" i="1"/>
  <c r="N177" i="1"/>
  <c r="O177" i="1" s="1"/>
  <c r="Q177" i="1"/>
  <c r="N141" i="1"/>
  <c r="O141" i="1" s="1"/>
  <c r="Q141" i="1"/>
  <c r="N81" i="1"/>
  <c r="O81" i="1" s="1"/>
  <c r="Q81" i="1"/>
  <c r="N31" i="1"/>
  <c r="O31" i="1" s="1"/>
  <c r="Q31" i="1"/>
  <c r="N332" i="1"/>
  <c r="O332" i="1" s="1"/>
  <c r="Q332" i="1"/>
  <c r="N296" i="1"/>
  <c r="O296" i="1" s="1"/>
  <c r="Q296" i="1"/>
  <c r="N248" i="1"/>
  <c r="O248" i="1" s="1"/>
  <c r="Q248" i="1"/>
  <c r="N212" i="1"/>
  <c r="O212" i="1" s="1"/>
  <c r="Q212" i="1"/>
  <c r="N164" i="1"/>
  <c r="O164" i="1" s="1"/>
  <c r="Q164" i="1"/>
  <c r="N104" i="1"/>
  <c r="O104" i="1" s="1"/>
  <c r="Q104" i="1"/>
  <c r="N80" i="1"/>
  <c r="O80" i="1" s="1"/>
  <c r="Q80" i="1"/>
  <c r="N30" i="1"/>
  <c r="O30" i="1" s="1"/>
  <c r="Q30" i="1"/>
  <c r="N343" i="1"/>
  <c r="O343" i="1" s="1"/>
  <c r="Q343" i="1"/>
  <c r="N295" i="1"/>
  <c r="O295" i="1" s="1"/>
  <c r="Q295" i="1"/>
  <c r="N247" i="1"/>
  <c r="O247" i="1" s="1"/>
  <c r="Q247" i="1"/>
  <c r="N199" i="1"/>
  <c r="O199" i="1" s="1"/>
  <c r="Q199" i="1"/>
  <c r="N151" i="1"/>
  <c r="O151" i="1" s="1"/>
  <c r="Q151" i="1"/>
  <c r="O115" i="1"/>
  <c r="Q115" i="1"/>
  <c r="N79" i="1"/>
  <c r="O79" i="1" s="1"/>
  <c r="Q79" i="1"/>
  <c r="N54" i="1"/>
  <c r="O54" i="1" s="1"/>
  <c r="N41" i="1"/>
  <c r="O41" i="1" s="1"/>
  <c r="Q41" i="1"/>
  <c r="N29" i="1"/>
  <c r="O29" i="1" s="1"/>
  <c r="Q29" i="1"/>
  <c r="N342" i="1"/>
  <c r="O342" i="1" s="1"/>
  <c r="Q342" i="1"/>
  <c r="N306" i="1"/>
  <c r="O306" i="1" s="1"/>
  <c r="Q306" i="1"/>
  <c r="N258" i="1"/>
  <c r="O258" i="1" s="1"/>
  <c r="Q258" i="1"/>
  <c r="N222" i="1"/>
  <c r="O222" i="1" s="1"/>
  <c r="Q222" i="1"/>
  <c r="N186" i="1"/>
  <c r="O186" i="1" s="1"/>
  <c r="Q186" i="1"/>
  <c r="N150" i="1"/>
  <c r="O150" i="1" s="1"/>
  <c r="Q150" i="1"/>
  <c r="N102" i="1"/>
  <c r="O102" i="1" s="1"/>
  <c r="Q102" i="1"/>
  <c r="N28" i="1"/>
  <c r="O28" i="1" s="1"/>
  <c r="Q28" i="1"/>
  <c r="N329" i="1"/>
  <c r="O329" i="1" s="1"/>
  <c r="Q329" i="1"/>
  <c r="N293" i="1"/>
  <c r="O293" i="1" s="1"/>
  <c r="Q293" i="1"/>
  <c r="N245" i="1"/>
  <c r="O245" i="1" s="1"/>
  <c r="Q245" i="1"/>
  <c r="N209" i="1"/>
  <c r="O209" i="1" s="1"/>
  <c r="Q209" i="1"/>
  <c r="N173" i="1"/>
  <c r="O173" i="1" s="1"/>
  <c r="Q173" i="1"/>
  <c r="N137" i="1"/>
  <c r="O137" i="1" s="1"/>
  <c r="Q137" i="1"/>
  <c r="N113" i="1"/>
  <c r="O113" i="1" s="1"/>
  <c r="Q113" i="1"/>
  <c r="N89" i="1"/>
  <c r="O89" i="1" s="1"/>
  <c r="Q89" i="1"/>
  <c r="N51" i="1"/>
  <c r="O51" i="1" s="1"/>
  <c r="N39" i="1"/>
  <c r="O39" i="1" s="1"/>
  <c r="Q39" i="1"/>
  <c r="N15" i="1"/>
  <c r="O15" i="1" s="1"/>
  <c r="Q15" i="1"/>
  <c r="N352" i="1"/>
  <c r="O352" i="1" s="1"/>
  <c r="Q352" i="1"/>
  <c r="N340" i="1"/>
  <c r="O340" i="1" s="1"/>
  <c r="Q340" i="1"/>
  <c r="N328" i="1"/>
  <c r="O328" i="1" s="1"/>
  <c r="Q328" i="1"/>
  <c r="N316" i="1"/>
  <c r="O316" i="1" s="1"/>
  <c r="Q316" i="1"/>
  <c r="N304" i="1"/>
  <c r="O304" i="1" s="1"/>
  <c r="Q304" i="1"/>
  <c r="N292" i="1"/>
  <c r="O292" i="1" s="1"/>
  <c r="Q292" i="1"/>
  <c r="N280" i="1"/>
  <c r="O280" i="1" s="1"/>
  <c r="Q280" i="1"/>
  <c r="N268" i="1"/>
  <c r="O268" i="1" s="1"/>
  <c r="Q268" i="1"/>
  <c r="N256" i="1"/>
  <c r="O256" i="1" s="1"/>
  <c r="Q256" i="1"/>
  <c r="N244" i="1"/>
  <c r="O244" i="1" s="1"/>
  <c r="Q244" i="1"/>
  <c r="N232" i="1"/>
  <c r="O232" i="1" s="1"/>
  <c r="Q232" i="1"/>
  <c r="N220" i="1"/>
  <c r="O220" i="1" s="1"/>
  <c r="Q220" i="1"/>
  <c r="N208" i="1"/>
  <c r="O208" i="1" s="1"/>
  <c r="Q208" i="1"/>
  <c r="N196" i="1"/>
  <c r="O196" i="1" s="1"/>
  <c r="Q196" i="1"/>
  <c r="N184" i="1"/>
  <c r="O184" i="1" s="1"/>
  <c r="Q184" i="1"/>
  <c r="N172" i="1"/>
  <c r="O172" i="1" s="1"/>
  <c r="Q172" i="1"/>
  <c r="N160" i="1"/>
  <c r="O160" i="1" s="1"/>
  <c r="Q160" i="1"/>
  <c r="N148" i="1"/>
  <c r="O148" i="1" s="1"/>
  <c r="Q148" i="1"/>
  <c r="N136" i="1"/>
  <c r="O136" i="1" s="1"/>
  <c r="Q136" i="1"/>
  <c r="O124" i="1"/>
  <c r="Q124" i="1"/>
  <c r="N112" i="1"/>
  <c r="O112" i="1" s="1"/>
  <c r="Q112" i="1"/>
  <c r="N100" i="1"/>
  <c r="O100" i="1" s="1"/>
  <c r="Q100" i="1"/>
  <c r="N88" i="1"/>
  <c r="O88" i="1" s="1"/>
  <c r="Q88" i="1"/>
  <c r="N76" i="1"/>
  <c r="O76" i="1" s="1"/>
  <c r="N63" i="1"/>
  <c r="O63" i="1" s="1"/>
  <c r="N50" i="1"/>
  <c r="O50" i="1" s="1"/>
  <c r="N38" i="1"/>
  <c r="O38" i="1" s="1"/>
  <c r="Q38" i="1"/>
  <c r="N26" i="1"/>
  <c r="O26" i="1" s="1"/>
  <c r="Q26" i="1"/>
  <c r="N14" i="1"/>
  <c r="O14" i="1" s="1"/>
  <c r="Q14" i="1"/>
  <c r="N339" i="1"/>
  <c r="O339" i="1" s="1"/>
  <c r="Q339" i="1"/>
  <c r="N303" i="1"/>
  <c r="O303" i="1" s="1"/>
  <c r="Q303" i="1"/>
  <c r="N267" i="1"/>
  <c r="O267" i="1" s="1"/>
  <c r="Q267" i="1"/>
  <c r="N231" i="1"/>
  <c r="O231" i="1" s="1"/>
  <c r="Q231" i="1"/>
  <c r="N195" i="1"/>
  <c r="O195" i="1" s="1"/>
  <c r="Q195" i="1"/>
  <c r="N159" i="1"/>
  <c r="O159" i="1" s="1"/>
  <c r="Q159" i="1"/>
  <c r="O123" i="1"/>
  <c r="Q123" i="1"/>
  <c r="N62" i="1"/>
  <c r="O62" i="1" s="1"/>
  <c r="N13" i="1"/>
  <c r="O13" i="1" s="1"/>
  <c r="Q13" i="1"/>
  <c r="N350" i="1"/>
  <c r="O350" i="1" s="1"/>
  <c r="Q350" i="1"/>
  <c r="N314" i="1"/>
  <c r="O314" i="1" s="1"/>
  <c r="Q314" i="1"/>
  <c r="N266" i="1"/>
  <c r="O266" i="1" s="1"/>
  <c r="Q266" i="1"/>
  <c r="N218" i="1"/>
  <c r="O218" i="1" s="1"/>
  <c r="Q218" i="1"/>
  <c r="N170" i="1"/>
  <c r="O170" i="1" s="1"/>
  <c r="Q170" i="1"/>
  <c r="N110" i="1"/>
  <c r="O110" i="1" s="1"/>
  <c r="Q110" i="1"/>
  <c r="N74" i="1"/>
  <c r="O74" i="1" s="1"/>
  <c r="N36" i="1"/>
  <c r="O36" i="1" s="1"/>
  <c r="Q36" i="1"/>
  <c r="N12" i="1"/>
  <c r="O12" i="1" s="1"/>
  <c r="Q12" i="1"/>
  <c r="N325" i="1"/>
  <c r="O325" i="1" s="1"/>
  <c r="Q325" i="1"/>
  <c r="N289" i="1"/>
  <c r="O289" i="1" s="1"/>
  <c r="Q289" i="1"/>
  <c r="N241" i="1"/>
  <c r="O241" i="1" s="1"/>
  <c r="Q241" i="1"/>
  <c r="N193" i="1"/>
  <c r="O193" i="1" s="1"/>
  <c r="Q193" i="1"/>
  <c r="N157" i="1"/>
  <c r="O157" i="1" s="1"/>
  <c r="Q157" i="1"/>
  <c r="N97" i="1"/>
  <c r="O97" i="1" s="1"/>
  <c r="Q97" i="1"/>
  <c r="N47" i="1"/>
  <c r="O47" i="1" s="1"/>
  <c r="N11" i="1"/>
  <c r="O11" i="1" s="1"/>
  <c r="Q11" i="1"/>
  <c r="N358" i="1"/>
  <c r="O358" i="1" s="1"/>
  <c r="Q358" i="1"/>
  <c r="N346" i="1"/>
  <c r="O346" i="1" s="1"/>
  <c r="Q346" i="1"/>
  <c r="N334" i="1"/>
  <c r="O334" i="1" s="1"/>
  <c r="Q334" i="1"/>
  <c r="N322" i="1"/>
  <c r="O322" i="1" s="1"/>
  <c r="Q322" i="1"/>
  <c r="N310" i="1"/>
  <c r="O310" i="1" s="1"/>
  <c r="Q310" i="1"/>
  <c r="N298" i="1"/>
  <c r="O298" i="1" s="1"/>
  <c r="Q298" i="1"/>
  <c r="N286" i="1"/>
  <c r="O286" i="1" s="1"/>
  <c r="Q286" i="1"/>
  <c r="N274" i="1"/>
  <c r="O274" i="1" s="1"/>
  <c r="Q274" i="1"/>
  <c r="N262" i="1"/>
  <c r="O262" i="1" s="1"/>
  <c r="Q262" i="1"/>
  <c r="N250" i="1"/>
  <c r="O250" i="1" s="1"/>
  <c r="Q250" i="1"/>
  <c r="N238" i="1"/>
  <c r="O238" i="1" s="1"/>
  <c r="Q238" i="1"/>
  <c r="N226" i="1"/>
  <c r="O226" i="1" s="1"/>
  <c r="Q226" i="1"/>
  <c r="N214" i="1"/>
  <c r="O214" i="1" s="1"/>
  <c r="Q214" i="1"/>
  <c r="N202" i="1"/>
  <c r="O202" i="1" s="1"/>
  <c r="Q202" i="1"/>
  <c r="N190" i="1"/>
  <c r="O190" i="1" s="1"/>
  <c r="Q190" i="1"/>
  <c r="N178" i="1"/>
  <c r="O178" i="1" s="1"/>
  <c r="Q178" i="1"/>
  <c r="N166" i="1"/>
  <c r="O166" i="1" s="1"/>
  <c r="Q166" i="1"/>
  <c r="N154" i="1"/>
  <c r="O154" i="1" s="1"/>
  <c r="Q154" i="1"/>
  <c r="N142" i="1"/>
  <c r="O142" i="1" s="1"/>
  <c r="Q142" i="1"/>
  <c r="N130" i="1"/>
  <c r="O130" i="1" s="1"/>
  <c r="Q130" i="1"/>
  <c r="O118" i="1"/>
  <c r="Q118" i="1"/>
  <c r="N106" i="1"/>
  <c r="O106" i="1" s="1"/>
  <c r="Q106" i="1"/>
  <c r="N94" i="1"/>
  <c r="O94" i="1" s="1"/>
  <c r="Q94" i="1"/>
  <c r="N82" i="1"/>
  <c r="O82" i="1" s="1"/>
  <c r="Q82" i="1"/>
  <c r="N69" i="1"/>
  <c r="O69" i="1" s="1"/>
  <c r="N57" i="1"/>
  <c r="O57" i="1" s="1"/>
  <c r="N44" i="1"/>
  <c r="O44" i="1" s="1"/>
  <c r="Q44" i="1"/>
  <c r="N32" i="1"/>
  <c r="O32" i="1" s="1"/>
  <c r="Q32" i="1"/>
  <c r="N20" i="1"/>
  <c r="O20" i="1" s="1"/>
  <c r="Q20" i="1"/>
  <c r="Q40" i="1"/>
  <c r="N17" i="1"/>
  <c r="N8" i="1"/>
  <c r="N22" i="1"/>
  <c r="N10" i="1"/>
  <c r="O10" i="1" s="1"/>
  <c r="B9" i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O22" i="1" l="1"/>
  <c r="O8" i="1"/>
  <c r="O17" i="1"/>
  <c r="G70" i="1" l="1"/>
  <c r="E70" i="1"/>
  <c r="C70" i="1"/>
  <c r="Q70" i="1" l="1"/>
  <c r="Q65" i="1"/>
  <c r="Q77" i="1"/>
  <c r="Q67" i="1"/>
  <c r="Q69" i="1"/>
  <c r="Q68" i="1"/>
  <c r="Q74" i="1"/>
  <c r="Q71" i="1"/>
  <c r="Q64" i="1"/>
  <c r="Q72" i="1"/>
  <c r="Q75" i="1"/>
  <c r="Q76" i="1"/>
  <c r="Q73" i="1"/>
  <c r="Q63" i="1"/>
  <c r="Q78" i="1"/>
  <c r="Q66" i="1"/>
  <c r="N70" i="1"/>
  <c r="E53" i="1"/>
  <c r="G53" i="1"/>
  <c r="C53" i="1"/>
  <c r="Q53" i="1" l="1"/>
  <c r="Q61" i="1"/>
  <c r="Q57" i="1"/>
  <c r="Q56" i="1"/>
  <c r="Q51" i="1"/>
  <c r="Q52" i="1"/>
  <c r="Q48" i="1"/>
  <c r="Q58" i="1"/>
  <c r="Q59" i="1"/>
  <c r="Q47" i="1"/>
  <c r="Q60" i="1"/>
  <c r="Q50" i="1"/>
  <c r="Q49" i="1"/>
  <c r="Q55" i="1"/>
  <c r="Q46" i="1"/>
  <c r="Q62" i="1"/>
  <c r="Q54" i="1"/>
  <c r="O70" i="1"/>
  <c r="N53" i="1"/>
  <c r="O53" i="1" l="1"/>
  <c r="O5" i="1" l="1"/>
  <c r="O6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06431EC-C40A-47BA-8886-42207A2C8B73}" keepAlive="1" name="Requête - Tableau3" description="Connexion à la requête « Tableau3 » dans le classeur." type="5" refreshedVersion="0" background="1">
    <dbPr connection="Provider=Microsoft.Mashup.OleDb.1;Data Source=$Workbook$;Location=Tableau3;Extended Properties=&quot;&quot;" command="SELECT * FROM [Tableau3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<sst xmlns="http://schemas.openxmlformats.org/spreadsheetml/2006/main" count="897" uniqueCount="237">
  <si>
    <t>N°</t>
  </si>
  <si>
    <t>Start time</t>
  </si>
  <si>
    <t>End Time</t>
  </si>
  <si>
    <t>Total Hours</t>
  </si>
  <si>
    <t>Date</t>
  </si>
  <si>
    <t>Down time</t>
  </si>
  <si>
    <t>Work Description</t>
  </si>
  <si>
    <t>Localization</t>
  </si>
  <si>
    <t>Model</t>
  </si>
  <si>
    <t>Equipment</t>
  </si>
  <si>
    <t>New Parking Number</t>
  </si>
  <si>
    <t>WT1</t>
  </si>
  <si>
    <t>WT2</t>
  </si>
  <si>
    <t>WT3</t>
  </si>
  <si>
    <t>WT9</t>
  </si>
  <si>
    <t>GR3</t>
  </si>
  <si>
    <t>GR2</t>
  </si>
  <si>
    <t>FEL4</t>
  </si>
  <si>
    <t>TD4</t>
  </si>
  <si>
    <t>FEL2</t>
  </si>
  <si>
    <t>TT17</t>
  </si>
  <si>
    <t>WT8</t>
  </si>
  <si>
    <t>EX8</t>
  </si>
  <si>
    <t>EX5</t>
  </si>
  <si>
    <t>TT32</t>
  </si>
  <si>
    <t>FEL1</t>
  </si>
  <si>
    <t>TT19</t>
  </si>
  <si>
    <t>TT39</t>
  </si>
  <si>
    <t>Water Truck</t>
  </si>
  <si>
    <t>Grader</t>
  </si>
  <si>
    <t>Loader</t>
  </si>
  <si>
    <t>Bulldozer</t>
  </si>
  <si>
    <t>Tipper Truck</t>
  </si>
  <si>
    <t>Excavator</t>
  </si>
  <si>
    <t>Water Truck 20T / 1924.1</t>
  </si>
  <si>
    <t>Water Truck 20T / 1924.2</t>
  </si>
  <si>
    <t>Water Truck 20T / 1924.3</t>
  </si>
  <si>
    <t>Water Truck 20T / WT09</t>
  </si>
  <si>
    <t>CAT140H</t>
  </si>
  <si>
    <t>CAT12K.2</t>
  </si>
  <si>
    <t>Cat972G.2</t>
  </si>
  <si>
    <t>CATD8R.3</t>
  </si>
  <si>
    <t>Cat966H.2</t>
  </si>
  <si>
    <t>Water Truck 20T / WT08</t>
  </si>
  <si>
    <t>ZX520LCH-3</t>
  </si>
  <si>
    <t>CAT329E</t>
  </si>
  <si>
    <t>Cat966H.1</t>
  </si>
  <si>
    <t>8259AC00</t>
  </si>
  <si>
    <t>3993AG00</t>
  </si>
  <si>
    <t>4443AK00</t>
  </si>
  <si>
    <t>8491AP00</t>
  </si>
  <si>
    <t>8417AX00</t>
  </si>
  <si>
    <t>8494AP00</t>
  </si>
  <si>
    <t>8432AX00</t>
  </si>
  <si>
    <t>8419AX00</t>
  </si>
  <si>
    <t>8439AX00</t>
  </si>
  <si>
    <t>Main Access Road - Out Site</t>
  </si>
  <si>
    <t>DAILY MAIN ACCESS ROAD MAINTENANCE</t>
  </si>
  <si>
    <t>Compactor</t>
  </si>
  <si>
    <t xml:space="preserve"> CATCS-563E</t>
  </si>
  <si>
    <t>GR1</t>
  </si>
  <si>
    <t>LB2</t>
  </si>
  <si>
    <t>Lowbed</t>
  </si>
  <si>
    <t>CAT12K.1</t>
  </si>
  <si>
    <t>8386AS00</t>
  </si>
  <si>
    <t>LB Man 100T</t>
  </si>
  <si>
    <t>CIL PLANT</t>
  </si>
  <si>
    <t>TD1</t>
  </si>
  <si>
    <t>LB1</t>
  </si>
  <si>
    <t>TT29</t>
  </si>
  <si>
    <t>CATD8R.1</t>
  </si>
  <si>
    <t>9818AA08</t>
  </si>
  <si>
    <t>8429AX00</t>
  </si>
  <si>
    <t>LB ACTROS 60T</t>
  </si>
  <si>
    <t>BL1</t>
  </si>
  <si>
    <t>Backhoe Loader</t>
  </si>
  <si>
    <t>CAT432D</t>
  </si>
  <si>
    <t>Tipper Truck 20m3 / F39</t>
  </si>
  <si>
    <t>TT87</t>
  </si>
  <si>
    <t>8487AX00</t>
  </si>
  <si>
    <t>WT20</t>
  </si>
  <si>
    <t>9456AP00</t>
  </si>
  <si>
    <t>Water Truck 20T / WT20</t>
  </si>
  <si>
    <t>8430AX00</t>
  </si>
  <si>
    <t>TT30</t>
  </si>
  <si>
    <t>EX1</t>
  </si>
  <si>
    <t>CAT323D.1</t>
  </si>
  <si>
    <t>EX2</t>
  </si>
  <si>
    <t>CAT323D.2</t>
  </si>
  <si>
    <t>EX3</t>
  </si>
  <si>
    <t>CAT325D</t>
  </si>
  <si>
    <t>EX4</t>
  </si>
  <si>
    <t>CAT345D</t>
  </si>
  <si>
    <t>EX6</t>
  </si>
  <si>
    <t>Hi460</t>
  </si>
  <si>
    <t>EX7</t>
  </si>
  <si>
    <t>Tipper Truck 20m3 / F17</t>
  </si>
  <si>
    <t>Tipper Truck 20m3 / F18</t>
  </si>
  <si>
    <t>8418AX00</t>
  </si>
  <si>
    <t>TT18</t>
  </si>
  <si>
    <t>Tipper Truck 20m3 / F19</t>
  </si>
  <si>
    <t>Tipper Truck 20m3 / F28</t>
  </si>
  <si>
    <t>8428AX00</t>
  </si>
  <si>
    <t>TT28</t>
  </si>
  <si>
    <t>Tipper Truck 20m3 / F29</t>
  </si>
  <si>
    <t>Tipper Truck 20m3 / F30</t>
  </si>
  <si>
    <t>Tipper Truck 20m3 / F32</t>
  </si>
  <si>
    <t>Tipper Truck 20m3 / F40</t>
  </si>
  <si>
    <t>8440AX00</t>
  </si>
  <si>
    <t>TT40</t>
  </si>
  <si>
    <t>Tipper Truck 20m3 / F87</t>
  </si>
  <si>
    <t>Cat972G.1</t>
  </si>
  <si>
    <t>FEL3</t>
  </si>
  <si>
    <t>CAT980G</t>
  </si>
  <si>
    <t>FEL5</t>
  </si>
  <si>
    <t>CAT988</t>
  </si>
  <si>
    <t>FEL6</t>
  </si>
  <si>
    <t>CAT140K</t>
  </si>
  <si>
    <t>GR4</t>
  </si>
  <si>
    <t>CAT12K.3</t>
  </si>
  <si>
    <t>GR5</t>
  </si>
  <si>
    <t>CATD8R.2</t>
  </si>
  <si>
    <t>TD2</t>
  </si>
  <si>
    <t>CATD9</t>
  </si>
  <si>
    <t>TD3</t>
  </si>
  <si>
    <t>Mixer Truck</t>
  </si>
  <si>
    <t>Cement Truck</t>
  </si>
  <si>
    <t>8480AP00</t>
  </si>
  <si>
    <t>MT1</t>
  </si>
  <si>
    <t>6118AA08</t>
  </si>
  <si>
    <t>MT2</t>
  </si>
  <si>
    <t>Parking Number</t>
  </si>
  <si>
    <t>CATCS-563E</t>
  </si>
  <si>
    <t>Equipment Rental for CIL Plant Scat Cleanup and Handling</t>
  </si>
  <si>
    <r>
      <t xml:space="preserve">Azima Authorized Signatory
</t>
    </r>
    <r>
      <rPr>
        <sz val="11"/>
        <rFont val="Arial"/>
        <family val="2"/>
      </rPr>
      <t>(Name, Sign, and Date)</t>
    </r>
  </si>
  <si>
    <r>
      <rPr>
        <b/>
        <sz val="14"/>
        <rFont val="Arial"/>
        <family val="2"/>
      </rPr>
      <t>Kinross End User Approval</t>
    </r>
    <r>
      <rPr>
        <sz val="14"/>
        <rFont val="Arial"/>
        <family val="2"/>
      </rPr>
      <t xml:space="preserve">
</t>
    </r>
    <r>
      <rPr>
        <sz val="11"/>
        <rFont val="Arial"/>
        <family val="2"/>
      </rPr>
      <t>(Name, Sign, and Date)</t>
    </r>
  </si>
  <si>
    <t>Total Hrs</t>
  </si>
  <si>
    <r>
      <rPr>
        <b/>
        <sz val="24"/>
        <rFont val="Arial"/>
        <family val="2"/>
      </rPr>
      <t>Mobile Equipment Usage Details</t>
    </r>
    <r>
      <rPr>
        <sz val="10"/>
        <rFont val="Arial"/>
        <family val="2"/>
      </rPr>
      <t xml:space="preserve">
TAS-MSA-10809_ Mobile Equipment Rental Services/SCWO-10809-1</t>
    </r>
  </si>
  <si>
    <t>Task Description:</t>
  </si>
  <si>
    <t>Task Line On the Invoice:</t>
  </si>
  <si>
    <t>Month of the Inoivce</t>
  </si>
  <si>
    <t>Equipmement Details</t>
  </si>
  <si>
    <t>Daily Equipment Hours Breackdown</t>
  </si>
  <si>
    <t>Equipment Type</t>
  </si>
  <si>
    <t>Original WO Description</t>
  </si>
  <si>
    <t>Job Site Location</t>
  </si>
  <si>
    <t>WO No</t>
  </si>
  <si>
    <t>Hourely Rate (MRU)</t>
  </si>
  <si>
    <t> Total Cost (MRU)</t>
  </si>
  <si>
    <t>Grand Total</t>
  </si>
  <si>
    <t xml:space="preserve">  </t>
  </si>
  <si>
    <t>CIL Plant Scat Cleanup and Handling</t>
  </si>
  <si>
    <t>Timesheet Record - August 15th to September 14th, 2024</t>
  </si>
  <si>
    <t>EndTime 2</t>
  </si>
  <si>
    <t>controle</t>
  </si>
  <si>
    <t>Line #1</t>
  </si>
  <si>
    <t>Total</t>
  </si>
  <si>
    <t>Sous Total</t>
  </si>
  <si>
    <t>CAT320E.1</t>
  </si>
  <si>
    <t>CAT320E.2</t>
  </si>
  <si>
    <t>CP1</t>
  </si>
  <si>
    <t>DAILY MAIN ACCESS ROAD MAINTENANCE - SAND DUNES REMOVAL</t>
  </si>
  <si>
    <t xml:space="preserve">CLEANUP SCART </t>
  </si>
  <si>
    <t>WARTSILA</t>
  </si>
  <si>
    <t>SUPPLY WATER AROUND SITEWIDE</t>
  </si>
  <si>
    <t>TSF4/5</t>
  </si>
  <si>
    <t>7 TRUCCK'S LOADS OF SAND</t>
  </si>
  <si>
    <t>C23 AREA</t>
  </si>
  <si>
    <t>PROVIDE A CAT988 LOADER TO CLEAN A DRILL PAD AND BACKFILL SOME ASM DIGGING IN C23 TARGET / SENISA</t>
  </si>
  <si>
    <t>GM PARKING</t>
  </si>
  <si>
    <t>GM CAR PARKING REFRESHEMENT</t>
  </si>
  <si>
    <t>NEAR P4</t>
  </si>
  <si>
    <t>REPAIR LEAK IN PIPE DN400</t>
  </si>
  <si>
    <t>BATCHING PLANT</t>
  </si>
  <si>
    <t>MONTHLY BATCH PLANT DELIVERY, LOAD AND HAUL</t>
  </si>
  <si>
    <t>LAMAS</t>
  </si>
  <si>
    <t>WMF</t>
  </si>
  <si>
    <t>LOADER / WOO SCRAP REORGANIZATION AT WMF</t>
  </si>
  <si>
    <t>CLEANING DRAINAGE TRANCHE</t>
  </si>
  <si>
    <t>K9 - MOBILE CRUSHER</t>
  </si>
  <si>
    <t>K9 CRUSHER MEC DAILY INSP</t>
  </si>
  <si>
    <t>AREA 24K PROJECT</t>
  </si>
  <si>
    <t>TASIAST MAXAM EXPLOSIVE YARD</t>
  </si>
  <si>
    <t>ORICA YARD WASTE CLEANUP</t>
  </si>
  <si>
    <t>MINING - WEST BRANCH</t>
  </si>
  <si>
    <t xml:space="preserve">TRANSPORT MOBILE PUMP FROM GO LINE WB TO RO CIL PLANT </t>
  </si>
  <si>
    <t>PROVIDE EXCAVATOR FOR WOODEN POLE AT WMF</t>
  </si>
  <si>
    <t>EX9</t>
  </si>
  <si>
    <t>Cat329E</t>
  </si>
  <si>
    <t>ROADS TASIAST</t>
  </si>
  <si>
    <t>DAILY MAINTENANCE RING ROAD</t>
  </si>
  <si>
    <t>CARPENTER YARD</t>
  </si>
  <si>
    <t>CARPENTER YARD UPGRADE</t>
  </si>
  <si>
    <t>TSF4 TAILING STORAGE FACILITY</t>
  </si>
  <si>
    <t>RENTAL OF LOADER FOR TSF5 DECANT</t>
  </si>
  <si>
    <t>RESTORE SITE WIDE ROADS</t>
  </si>
  <si>
    <t>BOREFIELD PIPELINES</t>
  </si>
  <si>
    <t>EXPOSE &amp; BACK DAMAGED PIPE TO FIX LEAK @P4</t>
  </si>
  <si>
    <t>15/8</t>
  </si>
  <si>
    <t>16/8</t>
  </si>
  <si>
    <t>17/8</t>
  </si>
  <si>
    <t>18/8</t>
  </si>
  <si>
    <t>19/8</t>
  </si>
  <si>
    <t>20/8</t>
  </si>
  <si>
    <t>21/8</t>
  </si>
  <si>
    <t>22/8</t>
  </si>
  <si>
    <t>23/8</t>
  </si>
  <si>
    <t>24/8</t>
  </si>
  <si>
    <t>25/8</t>
  </si>
  <si>
    <t>26/8</t>
  </si>
  <si>
    <t>27/8</t>
  </si>
  <si>
    <t>28/8</t>
  </si>
  <si>
    <t>29/8</t>
  </si>
  <si>
    <t>30/8</t>
  </si>
  <si>
    <t>31/8</t>
  </si>
  <si>
    <t>1/9</t>
  </si>
  <si>
    <t>2/9</t>
  </si>
  <si>
    <t>3/9</t>
  </si>
  <si>
    <t>4/9</t>
  </si>
  <si>
    <t>5/9</t>
  </si>
  <si>
    <t>6/9</t>
  </si>
  <si>
    <t>7/9</t>
  </si>
  <si>
    <t>8/9</t>
  </si>
  <si>
    <t>9/9</t>
  </si>
  <si>
    <t>10/9</t>
  </si>
  <si>
    <t>11/9</t>
  </si>
  <si>
    <t>12/9</t>
  </si>
  <si>
    <t>13/9</t>
  </si>
  <si>
    <t>14/9</t>
  </si>
  <si>
    <t>PRICE</t>
  </si>
  <si>
    <t>AIRPORT RUNAWAY</t>
  </si>
  <si>
    <t>MAINTENANCE AIRPORT-3 T PER WEEK</t>
  </si>
  <si>
    <t>TSF5</t>
  </si>
  <si>
    <t>10 LOADS OF CRUSHER DUST + LOADER</t>
  </si>
  <si>
    <t>CONCATENATE</t>
  </si>
  <si>
    <t>Unique</t>
  </si>
  <si>
    <t>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</si>
</sst>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[$-F400]h:mm:ss\ AM/PM"/>
    <numFmt numFmtId="165" formatCode="[hh]:mm"/>
    <numFmt numFmtId="166" formatCode="[$-409]dd\-mmm\-yy;@"/>
    <numFmt numFmtId="167" formatCode="_-* #,##0\ _€_-;\-* #,##0\ _€_-;_-* &quot;-&quot;??\ _€_-;_-@_-"/>
    <numFmt numFmtId="168" formatCode="0.0"/>
    <numFmt numFmtId="169" formatCode="d/m;@"/>
  </numFmts>
  <fonts count="2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22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1"/>
      <name val="Arial"/>
      <family val="2"/>
    </font>
    <font>
      <b/>
      <sz val="24"/>
      <name val="Arial"/>
      <family val="2"/>
    </font>
    <font>
      <b/>
      <sz val="12"/>
      <color theme="0"/>
      <name val="Arial"/>
      <family val="2"/>
    </font>
    <font>
      <b/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0" fontId="7" fillId="0" borderId="0"/>
  </cellStyleXfs>
  <cellXfs count="107">
    <xf numFmtId="0" fontId="0" fillId="0" borderId="0" xfId="0"/>
    <xf numFmtId="0" fontId="1" fillId="2" borderId="0" xfId="0" applyFont="1" applyFill="1" applyAlignment="1">
      <alignment horizontal="center" vertical="center"/>
    </xf>
    <xf numFmtId="164" fontId="1" fillId="2" borderId="0" xfId="0" applyNumberFormat="1" applyFont="1" applyFill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vertical="center"/>
    </xf>
    <xf numFmtId="165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7" fillId="3" borderId="0" xfId="2" applyFill="1"/>
    <xf numFmtId="0" fontId="9" fillId="3" borderId="0" xfId="2" applyFont="1" applyFill="1"/>
    <xf numFmtId="0" fontId="9" fillId="3" borderId="0" xfId="2" applyFont="1" applyFill="1" applyAlignment="1">
      <alignment horizontal="left" vertical="center" wrapText="1"/>
    </xf>
    <xf numFmtId="17" fontId="9" fillId="3" borderId="0" xfId="2" applyNumberFormat="1" applyFont="1" applyFill="1" applyAlignment="1">
      <alignment horizontal="left"/>
    </xf>
    <xf numFmtId="0" fontId="14" fillId="4" borderId="18" xfId="0" applyFont="1" applyFill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 wrapText="1"/>
    </xf>
    <xf numFmtId="0" fontId="9" fillId="3" borderId="14" xfId="2" applyFont="1" applyFill="1" applyBorder="1" applyAlignment="1">
      <alignment horizontal="center"/>
    </xf>
    <xf numFmtId="0" fontId="15" fillId="5" borderId="14" xfId="0" applyFont="1" applyFill="1" applyBorder="1" applyAlignment="1">
      <alignment horizontal="center"/>
    </xf>
    <xf numFmtId="0" fontId="10" fillId="3" borderId="0" xfId="2" applyFont="1" applyFill="1" applyAlignment="1">
      <alignment vertical="top"/>
    </xf>
    <xf numFmtId="0" fontId="7" fillId="3" borderId="0" xfId="2" applyFill="1" applyAlignment="1">
      <alignment vertical="top"/>
    </xf>
    <xf numFmtId="165" fontId="1" fillId="2" borderId="0" xfId="0" applyNumberFormat="1" applyFont="1" applyFill="1" applyAlignment="1">
      <alignment horizontal="center" vertical="center"/>
    </xf>
    <xf numFmtId="1" fontId="1" fillId="2" borderId="0" xfId="0" applyNumberFormat="1" applyFont="1" applyFill="1" applyAlignment="1">
      <alignment horizontal="center" vertical="center"/>
    </xf>
    <xf numFmtId="164" fontId="16" fillId="0" borderId="0" xfId="0" applyNumberFormat="1" applyFont="1" applyAlignment="1">
      <alignment horizontal="right" vertical="center"/>
    </xf>
    <xf numFmtId="168" fontId="16" fillId="0" borderId="0" xfId="0" applyNumberFormat="1" applyFon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166" fontId="0" fillId="0" borderId="0" xfId="0" applyNumberFormat="1" applyFill="1" applyAlignment="1">
      <alignment horizontal="center" vertical="center"/>
    </xf>
    <xf numFmtId="14" fontId="7" fillId="3" borderId="0" xfId="2" applyNumberFormat="1" applyFill="1"/>
    <xf numFmtId="3" fontId="9" fillId="3" borderId="0" xfId="2" applyNumberFormat="1" applyFont="1" applyFill="1"/>
    <xf numFmtId="0" fontId="17" fillId="3" borderId="0" xfId="2" applyFont="1" applyFill="1"/>
    <xf numFmtId="3" fontId="17" fillId="3" borderId="0" xfId="2" applyNumberFormat="1" applyFont="1" applyFill="1" applyAlignment="1">
      <alignment horizontal="center" vertical="center"/>
    </xf>
    <xf numFmtId="0" fontId="13" fillId="4" borderId="9" xfId="2" applyFont="1" applyFill="1" applyBorder="1" applyAlignment="1">
      <alignment horizontal="centerContinuous" vertical="center"/>
    </xf>
    <xf numFmtId="0" fontId="13" fillId="4" borderId="16" xfId="2" applyFont="1" applyFill="1" applyBorder="1" applyAlignment="1">
      <alignment horizontal="centerContinuous" vertical="center"/>
    </xf>
    <xf numFmtId="0" fontId="13" fillId="4" borderId="10" xfId="2" applyFont="1" applyFill="1" applyBorder="1" applyAlignment="1">
      <alignment horizontal="centerContinuous" vertical="center"/>
    </xf>
    <xf numFmtId="0" fontId="9" fillId="3" borderId="12" xfId="2" applyFont="1" applyFill="1" applyBorder="1" applyAlignment="1">
      <alignment horizontal="center"/>
    </xf>
    <xf numFmtId="0" fontId="15" fillId="5" borderId="12" xfId="0" applyFont="1" applyFill="1" applyBorder="1" applyAlignment="1">
      <alignment horizontal="center"/>
    </xf>
    <xf numFmtId="0" fontId="5" fillId="0" borderId="17" xfId="0" applyFont="1" applyBorder="1" applyAlignment="1">
      <alignment horizontal="center" vertical="center"/>
    </xf>
    <xf numFmtId="0" fontId="13" fillId="4" borderId="28" xfId="2" applyFont="1" applyFill="1" applyBorder="1" applyAlignment="1">
      <alignment horizontal="center" vertical="center"/>
    </xf>
    <xf numFmtId="0" fontId="13" fillId="4" borderId="29" xfId="2" applyFont="1" applyFill="1" applyBorder="1" applyAlignment="1">
      <alignment horizontal="center" vertical="center" wrapText="1"/>
    </xf>
    <xf numFmtId="0" fontId="13" fillId="4" borderId="29" xfId="2" applyFont="1" applyFill="1" applyBorder="1" applyAlignment="1">
      <alignment horizontal="center" vertical="center"/>
    </xf>
    <xf numFmtId="0" fontId="14" fillId="4" borderId="30" xfId="0" applyFont="1" applyFill="1" applyBorder="1" applyAlignment="1">
      <alignment horizontal="center" vertical="center"/>
    </xf>
    <xf numFmtId="0" fontId="9" fillId="3" borderId="18" xfId="2" applyFont="1" applyFill="1" applyBorder="1" applyAlignment="1">
      <alignment horizontal="center"/>
    </xf>
    <xf numFmtId="0" fontId="9" fillId="3" borderId="19" xfId="2" applyFont="1" applyFill="1" applyBorder="1" applyAlignment="1">
      <alignment horizontal="center"/>
    </xf>
    <xf numFmtId="0" fontId="9" fillId="3" borderId="21" xfId="2" applyFont="1" applyFill="1" applyBorder="1" applyAlignment="1">
      <alignment horizontal="center"/>
    </xf>
    <xf numFmtId="0" fontId="14" fillId="4" borderId="31" xfId="0" applyFont="1" applyFill="1" applyBorder="1" applyAlignment="1">
      <alignment horizontal="center" vertical="center"/>
    </xf>
    <xf numFmtId="0" fontId="14" fillId="4" borderId="32" xfId="0" applyFont="1" applyFill="1" applyBorder="1" applyAlignment="1">
      <alignment horizontal="center" vertical="center"/>
    </xf>
    <xf numFmtId="0" fontId="14" fillId="4" borderId="8" xfId="0" applyFont="1" applyFill="1" applyBorder="1" applyAlignment="1">
      <alignment horizontal="center" vertical="center"/>
    </xf>
    <xf numFmtId="0" fontId="14" fillId="4" borderId="20" xfId="0" applyFont="1" applyFill="1" applyBorder="1" applyAlignment="1">
      <alignment horizontal="center" vertical="center" wrapText="1"/>
    </xf>
    <xf numFmtId="0" fontId="15" fillId="5" borderId="22" xfId="0" applyFont="1" applyFill="1" applyBorder="1" applyAlignment="1">
      <alignment horizontal="center"/>
    </xf>
    <xf numFmtId="0" fontId="15" fillId="5" borderId="23" xfId="0" applyFont="1" applyFill="1" applyBorder="1" applyAlignment="1">
      <alignment horizontal="center"/>
    </xf>
    <xf numFmtId="0" fontId="14" fillId="4" borderId="33" xfId="0" applyFont="1" applyFill="1" applyBorder="1" applyAlignment="1">
      <alignment horizontal="center" vertical="center"/>
    </xf>
    <xf numFmtId="167" fontId="14" fillId="4" borderId="34" xfId="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8" fillId="3" borderId="0" xfId="2" applyFont="1" applyFill="1" applyAlignment="1">
      <alignment horizontal="center" vertical="top" wrapText="1"/>
    </xf>
    <xf numFmtId="0" fontId="10" fillId="3" borderId="0" xfId="2" applyFont="1" applyFill="1" applyAlignment="1">
      <alignment horizontal="center" vertical="top" wrapText="1"/>
    </xf>
    <xf numFmtId="0" fontId="7" fillId="3" borderId="0" xfId="2" applyFill="1" applyAlignment="1">
      <alignment horizontal="center" vertical="center" wrapText="1"/>
    </xf>
    <xf numFmtId="0" fontId="7" fillId="3" borderId="0" xfId="2" applyFill="1" applyAlignment="1">
      <alignment horizontal="center" vertical="center"/>
    </xf>
    <xf numFmtId="0" fontId="9" fillId="3" borderId="0" xfId="2" applyFont="1" applyFill="1" applyAlignment="1">
      <alignment horizontal="left"/>
    </xf>
    <xf numFmtId="0" fontId="9" fillId="3" borderId="0" xfId="2" applyFont="1" applyFill="1" applyAlignment="1">
      <alignment horizontal="left" vertical="center" wrapText="1"/>
    </xf>
    <xf numFmtId="0" fontId="13" fillId="4" borderId="1" xfId="2" applyFont="1" applyFill="1" applyBorder="1" applyAlignment="1">
      <alignment horizontal="center" vertical="center" wrapText="1"/>
    </xf>
    <xf numFmtId="0" fontId="13" fillId="4" borderId="2" xfId="2" applyFont="1" applyFill="1" applyBorder="1" applyAlignment="1">
      <alignment horizontal="center" vertical="center" wrapText="1"/>
    </xf>
    <xf numFmtId="0" fontId="13" fillId="4" borderId="3" xfId="2" applyFont="1" applyFill="1" applyBorder="1" applyAlignment="1">
      <alignment horizontal="center" vertical="center" wrapText="1"/>
    </xf>
    <xf numFmtId="0" fontId="13" fillId="4" borderId="25" xfId="2" applyFont="1" applyFill="1" applyBorder="1" applyAlignment="1">
      <alignment horizontal="center" vertical="center" wrapText="1"/>
    </xf>
    <xf numFmtId="0" fontId="13" fillId="4" borderId="26" xfId="2" applyFont="1" applyFill="1" applyBorder="1" applyAlignment="1">
      <alignment horizontal="center" vertical="center" wrapText="1"/>
    </xf>
    <xf numFmtId="0" fontId="13" fillId="4" borderId="27" xfId="2" applyFont="1" applyFill="1" applyBorder="1" applyAlignment="1">
      <alignment horizontal="center" vertical="center" wrapText="1"/>
    </xf>
    <xf numFmtId="0" fontId="13" fillId="4" borderId="18" xfId="2" applyFont="1" applyFill="1" applyBorder="1" applyAlignment="1">
      <alignment horizontal="center" vertical="center"/>
    </xf>
    <xf numFmtId="0" fontId="13" fillId="4" borderId="19" xfId="2" applyFont="1" applyFill="1" applyBorder="1" applyAlignment="1">
      <alignment horizontal="center" vertical="center"/>
    </xf>
    <xf numFmtId="0" fontId="13" fillId="4" borderId="20" xfId="2" applyFont="1" applyFill="1" applyBorder="1" applyAlignment="1">
      <alignment horizontal="center" vertical="center"/>
    </xf>
    <xf numFmtId="17" fontId="13" fillId="4" borderId="21" xfId="2" applyNumberFormat="1" applyFont="1" applyFill="1" applyBorder="1" applyAlignment="1">
      <alignment horizontal="center" vertical="center"/>
    </xf>
    <xf numFmtId="0" fontId="13" fillId="4" borderId="14" xfId="2" applyFont="1" applyFill="1" applyBorder="1" applyAlignment="1">
      <alignment horizontal="center" vertical="center"/>
    </xf>
    <xf numFmtId="17" fontId="13" fillId="4" borderId="14" xfId="2" applyNumberFormat="1" applyFont="1" applyFill="1" applyBorder="1" applyAlignment="1">
      <alignment horizontal="center" vertical="center"/>
    </xf>
    <xf numFmtId="0" fontId="13" fillId="4" borderId="22" xfId="2" applyFont="1" applyFill="1" applyBorder="1" applyAlignment="1">
      <alignment horizontal="center" vertical="center"/>
    </xf>
    <xf numFmtId="0" fontId="9" fillId="3" borderId="14" xfId="2" applyNumberFormat="1" applyFont="1" applyFill="1" applyBorder="1" applyAlignment="1">
      <alignment horizontal="center"/>
    </xf>
    <xf numFmtId="0" fontId="15" fillId="5" borderId="22" xfId="0" applyNumberFormat="1" applyFont="1" applyFill="1" applyBorder="1" applyAlignment="1">
      <alignment horizontal="center"/>
    </xf>
    <xf numFmtId="0" fontId="9" fillId="3" borderId="35" xfId="2" applyFont="1" applyFill="1" applyBorder="1" applyAlignment="1">
      <alignment horizontal="center" vertical="center"/>
    </xf>
    <xf numFmtId="0" fontId="9" fillId="3" borderId="14" xfId="2" applyFont="1" applyFill="1" applyBorder="1" applyAlignment="1">
      <alignment horizontal="center" vertical="center"/>
    </xf>
    <xf numFmtId="0" fontId="9" fillId="3" borderId="14" xfId="2" applyFont="1" applyFill="1" applyBorder="1" applyAlignment="1">
      <alignment horizontal="center" vertical="center" wrapText="1"/>
    </xf>
    <xf numFmtId="0" fontId="15" fillId="5" borderId="35" xfId="0" applyFont="1" applyFill="1" applyBorder="1" applyAlignment="1">
      <alignment horizontal="center"/>
    </xf>
    <xf numFmtId="0" fontId="15" fillId="5" borderId="39" xfId="0" applyFont="1" applyFill="1" applyBorder="1" applyAlignment="1">
      <alignment horizontal="center"/>
    </xf>
    <xf numFmtId="0" fontId="15" fillId="5" borderId="35" xfId="0" applyNumberFormat="1" applyFont="1" applyFill="1" applyBorder="1" applyAlignment="1">
      <alignment horizontal="center"/>
    </xf>
    <xf numFmtId="169" fontId="14" fillId="4" borderId="24" xfId="0" applyNumberFormat="1" applyFont="1" applyFill="1" applyBorder="1" applyAlignment="1">
      <alignment horizontal="center" vertical="center" textRotation="180"/>
    </xf>
    <xf numFmtId="169" fontId="14" fillId="4" borderId="12" xfId="0" applyNumberFormat="1" applyFont="1" applyFill="1" applyBorder="1" applyAlignment="1">
      <alignment horizontal="center" vertical="center" textRotation="180"/>
    </xf>
    <xf numFmtId="169" fontId="14" fillId="4" borderId="23" xfId="0" applyNumberFormat="1" applyFont="1" applyFill="1" applyBorder="1" applyAlignment="1">
      <alignment horizontal="center" vertical="center" textRotation="180"/>
    </xf>
    <xf numFmtId="0" fontId="15" fillId="3" borderId="14" xfId="0" applyFont="1" applyFill="1" applyBorder="1" applyAlignment="1">
      <alignment horizontal="center" vertical="center"/>
    </xf>
    <xf numFmtId="0" fontId="15" fillId="6" borderId="36" xfId="0" applyFont="1" applyFill="1" applyBorder="1" applyAlignment="1">
      <alignment horizontal="center"/>
    </xf>
    <xf numFmtId="0" fontId="15" fillId="6" borderId="37" xfId="0" applyFont="1" applyFill="1" applyBorder="1" applyAlignment="1">
      <alignment horizontal="center"/>
    </xf>
    <xf numFmtId="0" fontId="15" fillId="6" borderId="38" xfId="0" applyFont="1" applyFill="1" applyBorder="1" applyAlignment="1">
      <alignment horizontal="center"/>
    </xf>
    <xf numFmtId="0" fontId="7" fillId="6" borderId="0" xfId="2" applyFill="1"/>
    <xf numFmtId="0" fontId="18" fillId="3" borderId="14" xfId="2" applyFont="1" applyFill="1" applyBorder="1"/>
    <xf numFmtId="0" fontId="19" fillId="6" borderId="0" xfId="2" applyFont="1" applyFill="1"/>
  </cellXfs>
  <cellStyles count="3">
    <cellStyle name="Comma" xfId="1" builtinId="3"/>
    <cellStyle name="Normal" xfId="0" builtinId="0"/>
    <cellStyle name="Normal 2" xfId="2" xr:uid="{4D0DE27F-48F7-4518-B8EB-F77F18E9F557}"/>
  </cellStyles>
  <dxfs count="106"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/>
      </border>
    </dxf>
    <dxf>
      <border outline="0">
        <left style="medium">
          <color indexed="64"/>
        </left>
        <right style="medium">
          <color indexed="64"/>
        </right>
        <bottom style="thin">
          <color auto="1"/>
        </bottom>
      </border>
    </dxf>
    <dxf>
      <border outline="0">
        <bottom style="thin">
          <color auto="1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5" formatCode="[hh]:mm"/>
      <alignment horizontal="center" vertical="center" textRotation="0" wrapText="0" indent="0" justifyLastLine="0" shrinkToFit="0" readingOrder="0"/>
    </dxf>
    <dxf>
      <numFmt numFmtId="165" formatCode="[hh]:mm"/>
      <alignment horizontal="center" vertical="center" textRotation="0" wrapText="0" indent="0" justifyLastLine="0" shrinkToFit="0" readingOrder="0"/>
    </dxf>
    <dxf>
      <numFmt numFmtId="164" formatCode="[$-F400]h:mm:ss\ AM/P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4" formatCode="[$-F400]h:mm:ss\ AM/PM"/>
      <alignment horizontal="center" vertical="center" textRotation="0" wrapText="0" indent="0" justifyLastLine="0" shrinkToFit="0" readingOrder="0"/>
    </dxf>
    <dxf>
      <numFmt numFmtId="164" formatCode="[$-F400]h:mm:ss\ AM/P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4" formatCode="[$-F400]h:mm:ss\ AM/P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4" formatCode="[$-F400]h:mm:ss\ AM/P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4" formatCode="[$-F400]h:mm:ss\ AM/PM"/>
      <alignment horizontal="center" vertical="center" textRotation="0" wrapText="0" indent="0" justifyLastLine="0" shrinkToFit="0" readingOrder="0"/>
    </dxf>
    <dxf>
      <numFmt numFmtId="164" formatCode="[$-F400]h:mm:ss\ AM/P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4" formatCode="[$-F400]h:mm:ss\ AM/P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4" formatCode="[$-F400]h:mm:ss\ AM/P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4" formatCode="[$-F400]h:mm:ss\ AM/P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[$-409]dd\-mmm\-yy;@"/>
      <alignment horizontal="center" vertical="center" textRotation="0" wrapText="0" indent="0" justifyLastLine="0" shrinkToFit="0" readingOrder="0"/>
    </dxf>
    <dxf>
      <numFmt numFmtId="166" formatCode="[$-409]dd\-mmm\-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4" formatCode="[$-F400]h:mm:ss\ AM/PM"/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4" formatCode="[$-F400]h:mm:ss\ AM/PM"/>
      <fill>
        <patternFill patternType="solid">
          <fgColor indexed="64"/>
          <bgColor theme="4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eetMetadata" Target="metadata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imesheet%20Record%20-%20August%2015th%20to%20September%2014th,%2020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Legand"/>
      <sheetName val="Invoice"/>
      <sheetName val="Timesheet Record"/>
      <sheetName val="Line #1"/>
      <sheetName val="Line #2"/>
      <sheetName val="Line #3"/>
      <sheetName val="Line #4"/>
      <sheetName val="Line #5"/>
      <sheetName val="Line #6"/>
      <sheetName val="Line #7"/>
      <sheetName val="Line #8"/>
      <sheetName val="Line #9"/>
      <sheetName val="Line #10"/>
      <sheetName val="Line #11"/>
      <sheetName val="Line #12"/>
      <sheetName val="Line #13"/>
      <sheetName val="Line #14"/>
      <sheetName val="Line #15"/>
      <sheetName val="Line #16"/>
      <sheetName val="Line #17"/>
      <sheetName val="Line #18"/>
      <sheetName val="Line #19"/>
      <sheetName val="Line #20"/>
      <sheetName val="Line #21"/>
      <sheetName val="Line #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A42A466-E55E-4240-A7D7-C8311A8B55E9}" name="Tableau2" displayName="Tableau2" ref="B3:F49" totalsRowShown="0" headerRowDxfId="105" dataDxfId="103" headerRowBorderDxfId="104" tableBorderDxfId="102">
  <autoFilter ref="B3:F49" xr:uid="{8A42A466-E55E-4240-A7D7-C8311A8B55E9}"/>
  <tableColumns count="5">
    <tableColumn id="1" xr3:uid="{B90070ED-A56B-4773-B9A1-3525FD6908E6}" name="Equipment Type" dataDxfId="101"/>
    <tableColumn id="2" xr3:uid="{1DEC3C44-5D7B-4276-96CC-1E612FE48FBA}" name="Equipment" dataDxfId="100"/>
    <tableColumn id="3" xr3:uid="{45DE3D59-BFD5-483E-A960-7D21429E465E}" name="Model" dataDxfId="99"/>
    <tableColumn id="4" xr3:uid="{568ACC46-51AC-4EF8-B3D9-EED98B1AFD58}" name="Parking Number" dataDxfId="98"/>
    <tableColumn id="5" xr3:uid="{BED200C4-8BE3-4BDC-B7E4-4E41DC3D3835}" name="PRICE" dataDxfId="9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490C26-2E33-4DDC-9894-F13029E4313F}" name="Tabel1" displayName="Tabel1" ref="B7:Q363" totalsRowShown="0" headerRowDxfId="96" dataDxfId="95">
  <autoFilter ref="B7:Q363" xr:uid="{DA490C26-2E33-4DDC-9894-F13029E4313F}"/>
  <tableColumns count="16">
    <tableColumn id="1" xr3:uid="{60C8FFB5-A8B1-487C-91AF-2D5316FA20F3}" name="N°" dataDxfId="94" totalsRowDxfId="93"/>
    <tableColumn id="2" xr3:uid="{BB52BEC3-F9E6-4AEF-BD94-4A6BB0CE2C8C}" name="New Parking Number" dataDxfId="92" totalsRowDxfId="91">
      <calculatedColumnFormula>IFERROR(VLOOKUP(Tabel1[[#This Row],[Model]],Tableau2[[Model]:[Parking Number]],2,FALSE)," ")</calculatedColumnFormula>
    </tableColumn>
    <tableColumn id="14" xr3:uid="{A5221CD4-E2B5-44B2-9A67-B29244AC6C69}" name="Date" dataDxfId="90" totalsRowDxfId="89"/>
    <tableColumn id="13" xr3:uid="{DFBA4F5E-28FE-40C2-AC76-8663975E96DD}" name="Equipment Type" dataDxfId="88" totalsRowDxfId="87">
      <calculatedColumnFormula>IF(Tabel1[[#This Row],[Model]]="", "",INDEX(Tableau2[Equipment Type],MATCH(Tabel1[[#This Row],[Model]],Tableau2[Model],0)))</calculatedColumnFormula>
    </tableColumn>
    <tableColumn id="15" xr3:uid="{AD553B93-D02C-4113-A47B-21433F42D040}" name="Model" dataDxfId="86" totalsRowDxfId="85"/>
    <tableColumn id="16" xr3:uid="{D5CA19C0-ABDE-4AD1-8B61-A039776F242D}" name="Equipment" dataDxfId="84" totalsRowDxfId="83">
      <calculatedColumnFormula>IF(Tabel1[[#This Row],[Model]]="", "",INDEX(Tableau2[Equipment],MATCH(Tabel1[[#This Row],[Model]],Tableau2[Model],0)))</calculatedColumnFormula>
    </tableColumn>
    <tableColumn id="10" xr3:uid="{B63D9A9A-F568-4568-8938-43EECC9FECE5}" name="Localization" dataDxfId="82" totalsRowDxfId="81"/>
    <tableColumn id="11" xr3:uid="{CDE369A9-A7FE-4766-8B5A-D9A60E3F2E1C}" name="Work Description" dataDxfId="80" totalsRowDxfId="79"/>
    <tableColumn id="12" xr3:uid="{10610DAF-E35D-444D-B791-CC5642EA648E}" name="WO No" dataDxfId="78" totalsRowDxfId="77"/>
    <tableColumn id="3" xr3:uid="{645F418E-BE1C-4F31-A61E-F65CE8F2FAD2}" name="Start time" dataDxfId="76" totalsRowDxfId="75"/>
    <tableColumn id="9" xr3:uid="{3D80978B-D783-4E7B-9609-88E932793547}" name="Down time" dataDxfId="74" totalsRowDxfId="73"/>
    <tableColumn id="8" xr3:uid="{CC9FBF1F-80D6-459D-A475-A579FB1BD12B}" name="End Time" dataDxfId="72" totalsRowDxfId="71"/>
    <tableColumn id="4" xr3:uid="{F769FAEC-3EBA-46B0-AB79-907770DA15A3}" name="Total Hours" dataDxfId="70" totalsRowDxfId="69">
      <calculatedColumnFormula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calculatedColumnFormula>
    </tableColumn>
    <tableColumn id="5" xr3:uid="{515232D4-B053-4F23-BA26-F7DA72C52A77}" name="Total" dataDxfId="68" totalsRowDxfId="67">
      <calculatedColumnFormula>HOUR(Tabel1[[#This Row],[Total Hours]])+MINUTE(Tabel1[[#This Row],[Total Hours]])/60+SECOND(Tabel1[[#This Row],[Total Hours]])/3600</calculatedColumnFormula>
    </tableColumn>
    <tableColumn id="7" xr3:uid="{AECC97E5-F0CB-4CD7-96F7-DCAD810674C6}" name="EndTime 2" dataDxfId="66" totalsRowDxfId="65">
      <calculatedColumnFormula>Tabel1[[#This Row],[End Time]]+(Tabel1[[#This Row],[End Time]]&lt;Tabel1[[#This Row],[Start time]])</calculatedColumnFormula>
    </tableColumn>
    <tableColumn id="6" xr3:uid="{B94EDFB6-1940-4438-BB21-D415A203FFA5}" name="controle" dataDxfId="64" totalsRowDxfId="63">
      <calculatedColumnFormula>COUNTIFS(Tabel1[Date],Tabel1[[#This Row],[Date]],Tabel1[New Parking Number],Tabel1[[#This Row],[New Parking Number]],Tabel1[EndTime 2],"&gt;"&amp;Tabel1[[#This Row],[Start time]],Tabel1[Start time],"&lt;"&amp;Tabel1[[#This Row],[EndTime 2]])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3799B45-C264-4DEA-90F2-BC180CF165CB}" name="Table4" displayName="Table4" ref="B13:AN20" totalsRowShown="0" headerRowBorderDxfId="62" tableBorderDxfId="61">
  <autoFilter ref="B13:AN20" xr:uid="{43799B45-C264-4DEA-90F2-BC180CF165C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</autoFilter>
  <tableColumns count="39">
    <tableColumn id="1" xr3:uid="{CE9FC190-F636-4987-A798-49CE53554C80}" name="Equipment" dataDxfId="57" dataCellStyle="Normal 2"/>
    <tableColumn id="2" xr3:uid="{1DF3A9C7-510F-4368-AFDA-0A991FA3C299}" name="Equipment Type" dataDxfId="56" dataCellStyle="Normal 2">
      <calculatedColumnFormula>IF(Table4[[#This Row],[Equipment]]="", "",INDEX(Tableau2[],MATCH(Table4[[#This Row],[Equipment]],Tableau2[Equipment],0),MATCH(Table4[[#Headers],[Equipment Type]],Tableau2[#Headers],0)))</calculatedColumnFormula>
    </tableColumn>
    <tableColumn id="3" xr3:uid="{924AE82C-369B-4A21-B961-67C41D0353AF}" name="Original WO Description" dataDxfId="55" dataCellStyle="Normal 2"/>
    <tableColumn id="4" xr3:uid="{EAF56D2D-2594-4D71-9C19-CC0ED3196870}" name="Job Site Location" dataDxfId="24" dataCellStyle="Normal 2"/>
    <tableColumn id="5" xr3:uid="{A33CAE1E-722C-4DAD-9229-5AD52FC626A8}" name="WO No" dataDxfId="22"/>
    <tableColumn id="6" xr3:uid="{4B583D38-2574-4AA3-A081-CF0295EDE662}" name="15/8" dataDxfId="23"/>
    <tableColumn id="7" xr3:uid="{1BBE114B-1039-4DD3-B15A-9380D79CB561}" name="16/8" dataDxfId="54"/>
    <tableColumn id="8" xr3:uid="{7F3946A0-D70D-466E-A49D-C95AA8FED7A4}" name="17/8" dataDxfId="53"/>
    <tableColumn id="9" xr3:uid="{87675B9A-4691-4268-920B-4A352EE65BBF}" name="18/8" dataDxfId="52"/>
    <tableColumn id="10" xr3:uid="{913CB997-10BE-425F-92C0-69FF09B9C5C3}" name="19/8" dataDxfId="51"/>
    <tableColumn id="11" xr3:uid="{8DA35BFC-C48B-42C9-ABA7-45DDCCB8C619}" name="20/8" dataDxfId="50"/>
    <tableColumn id="12" xr3:uid="{70527636-C0BD-4608-975A-4DCEFDAD1B08}" name="21/8" dataDxfId="49"/>
    <tableColumn id="13" xr3:uid="{3698F84A-DB9C-425A-9A64-446CBBE9C4E2}" name="22/8" dataDxfId="48"/>
    <tableColumn id="14" xr3:uid="{21B6574E-F1F8-4216-8F85-8E6ED8A9898C}" name="23/8" dataDxfId="47"/>
    <tableColumn id="15" xr3:uid="{5D1930FD-2AEA-4D95-9B7C-BE33E6B0F944}" name="24/8" dataDxfId="46"/>
    <tableColumn id="16" xr3:uid="{49F1B73A-C460-4771-922A-0F8DF69FF1DA}" name="25/8" dataDxfId="45"/>
    <tableColumn id="17" xr3:uid="{FDC51802-1D27-4A18-90B1-71556322EE3E}" name="26/8" dataDxfId="44"/>
    <tableColumn id="18" xr3:uid="{0A46164D-05ED-4E22-8FA8-779D50A65522}" name="27/8" dataDxfId="43"/>
    <tableColumn id="19" xr3:uid="{AB1CA79C-8BA8-4187-BFE7-EF156FCD3ED6}" name="28/8" dataDxfId="42"/>
    <tableColumn id="20" xr3:uid="{B290DD0D-DB0A-4D1A-9505-81F84A1E91FE}" name="29/8" dataDxfId="41"/>
    <tableColumn id="21" xr3:uid="{61274A57-0004-4EF9-BE5E-882477175DD2}" name="30/8" dataDxfId="40"/>
    <tableColumn id="22" xr3:uid="{2E697673-0B27-4020-82F1-52320A5D4E5A}" name="31/8" dataDxfId="39"/>
    <tableColumn id="23" xr3:uid="{6FB56D6A-1AB7-4EB5-83FF-E02FFE374122}" name="1/9" dataDxfId="38"/>
    <tableColumn id="24" xr3:uid="{AA022BC9-7845-4F18-B258-C1A5CAED5548}" name="2/9" dataDxfId="37"/>
    <tableColumn id="25" xr3:uid="{72E03C9A-93EB-40FB-99C4-47E61B25F243}" name="3/9" dataDxfId="36"/>
    <tableColumn id="26" xr3:uid="{1AE65EEA-4ED6-4127-84FD-2587D011DAED}" name="4/9" dataDxfId="35"/>
    <tableColumn id="27" xr3:uid="{9F016934-FF2D-4AA7-8E9E-DEAD27228A30}" name="5/9" dataDxfId="34"/>
    <tableColumn id="28" xr3:uid="{CF3BB738-E1AC-4E53-BFDF-0EE88E5A4128}" name="6/9" dataDxfId="33"/>
    <tableColumn id="29" xr3:uid="{C254ABAF-BE77-4946-A006-615471E247F8}" name="7/9" dataDxfId="32"/>
    <tableColumn id="30" xr3:uid="{C4D2D038-6EBC-4348-A1CD-21C9FBD40C42}" name="8/9" dataDxfId="31"/>
    <tableColumn id="31" xr3:uid="{EDF5859D-2551-40F5-841F-A8F7A8842B37}" name="9/9" dataDxfId="30"/>
    <tableColumn id="32" xr3:uid="{B57EFAAD-9D63-4006-90C5-4187AE87F041}" name="10/9" dataDxfId="29"/>
    <tableColumn id="33" xr3:uid="{3ACC0FC2-79AF-4D2D-912C-EC9E6D8D530F}" name="11/9" dataDxfId="28"/>
    <tableColumn id="34" xr3:uid="{466D2D41-0006-4491-B3A5-84E88E72F2C1}" name="12/9" dataDxfId="27"/>
    <tableColumn id="35" xr3:uid="{1A4D4DC1-B41F-43C0-B328-7ABAD2301D8C}" name="13/9" dataDxfId="26"/>
    <tableColumn id="36" xr3:uid="{E23A7906-7C59-45C7-9F69-BD4ACDD17AFB}" name="14/9" dataDxfId="25"/>
    <tableColumn id="37" xr3:uid="{434E4E28-636C-42B0-937E-143333C9C989}" name="Total Hrs" dataDxfId="60">
      <calculatedColumnFormula>SUM(Table4[[#This Row],[15/8]:[14/9]])</calculatedColumnFormula>
    </tableColumn>
    <tableColumn id="38" xr3:uid="{607FF406-6926-46AC-A6A0-2D4770501D8D}" name="Hourely Rate (MRU)" dataDxfId="59"/>
    <tableColumn id="39" xr3:uid="{06D1B004-1BF6-4980-BF34-C1C225CF03A2}" name=" Total Cost (MRU)" dataDxfId="58">
      <calculatedColumnFormula>Table4[[#This Row],[Total Hrs]]* Table4[[#This Row],[Hourely Rate (MRU)]]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5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236D9C35-B9E2-4D62-B45B-660D50B2E0C1}">
  <we:reference id="wa104380862" version="3.0.0.0" store="fr-FR" storeType="OMEX"/>
  <we:alternateReferences>
    <we:reference id="WA104380862" version="3.0.0.0" store="WA104380862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91400-C435-409F-951D-C912B6E22853}">
  <sheetPr codeName="Feuil3"/>
  <dimension ref="B3:F49"/>
  <sheetViews>
    <sheetView workbookViewId="0">
      <selection activeCell="D27" sqref="D27:D48"/>
    </sheetView>
  </sheetViews>
  <sheetFormatPr defaultColWidth="10.90625" defaultRowHeight="14.5" x14ac:dyDescent="0.35"/>
  <cols>
    <col min="1" max="1" width="10.90625" style="8"/>
    <col min="2" max="2" width="16.26953125" style="8" bestFit="1" customWidth="1"/>
    <col min="3" max="3" width="25" style="8" bestFit="1" customWidth="1"/>
    <col min="4" max="4" width="14.26953125" style="8" bestFit="1" customWidth="1"/>
    <col min="5" max="5" width="22" style="8" customWidth="1"/>
    <col min="6" max="16384" width="10.90625" style="8"/>
  </cols>
  <sheetData>
    <row r="3" spans="2:6" ht="15" thickBot="1" x14ac:dyDescent="0.4">
      <c r="B3" s="15" t="s">
        <v>143</v>
      </c>
      <c r="C3" s="15" t="s">
        <v>9</v>
      </c>
      <c r="D3" s="15" t="s">
        <v>8</v>
      </c>
      <c r="E3" s="15" t="s">
        <v>131</v>
      </c>
      <c r="F3" s="15" t="s">
        <v>229</v>
      </c>
    </row>
    <row r="4" spans="2:6" x14ac:dyDescent="0.35">
      <c r="B4" s="11" t="s">
        <v>33</v>
      </c>
      <c r="C4" s="12" t="s">
        <v>158</v>
      </c>
      <c r="D4" s="12" t="s">
        <v>158</v>
      </c>
      <c r="E4" s="13" t="s">
        <v>85</v>
      </c>
      <c r="F4" s="45"/>
    </row>
    <row r="5" spans="2:6" x14ac:dyDescent="0.35">
      <c r="B5" s="14" t="s">
        <v>33</v>
      </c>
      <c r="C5" s="12" t="s">
        <v>159</v>
      </c>
      <c r="D5" s="12" t="s">
        <v>159</v>
      </c>
      <c r="E5" s="14" t="s">
        <v>87</v>
      </c>
      <c r="F5" s="14"/>
    </row>
    <row r="6" spans="2:6" x14ac:dyDescent="0.35">
      <c r="B6" s="14" t="s">
        <v>33</v>
      </c>
      <c r="C6" s="14" t="s">
        <v>86</v>
      </c>
      <c r="D6" s="14" t="s">
        <v>86</v>
      </c>
      <c r="E6" s="14" t="s">
        <v>89</v>
      </c>
      <c r="F6" s="14"/>
    </row>
    <row r="7" spans="2:6" x14ac:dyDescent="0.35">
      <c r="B7" s="14" t="s">
        <v>33</v>
      </c>
      <c r="C7" s="14" t="s">
        <v>88</v>
      </c>
      <c r="D7" s="14" t="s">
        <v>88</v>
      </c>
      <c r="E7" s="14" t="s">
        <v>91</v>
      </c>
      <c r="F7" s="14"/>
    </row>
    <row r="8" spans="2:6" x14ac:dyDescent="0.35">
      <c r="B8" s="14" t="s">
        <v>33</v>
      </c>
      <c r="C8" s="14" t="s">
        <v>90</v>
      </c>
      <c r="D8" s="14" t="s">
        <v>90</v>
      </c>
      <c r="E8" s="14" t="s">
        <v>23</v>
      </c>
      <c r="F8" s="14"/>
    </row>
    <row r="9" spans="2:6" x14ac:dyDescent="0.35">
      <c r="B9" s="14" t="s">
        <v>33</v>
      </c>
      <c r="C9" s="14" t="s">
        <v>45</v>
      </c>
      <c r="D9" s="14" t="s">
        <v>45</v>
      </c>
      <c r="E9" s="14" t="s">
        <v>93</v>
      </c>
      <c r="F9" s="14"/>
    </row>
    <row r="10" spans="2:6" x14ac:dyDescent="0.35">
      <c r="B10" s="14" t="s">
        <v>33</v>
      </c>
      <c r="C10" s="14" t="s">
        <v>92</v>
      </c>
      <c r="D10" s="14" t="s">
        <v>92</v>
      </c>
      <c r="E10" s="14" t="s">
        <v>95</v>
      </c>
      <c r="F10" s="14"/>
    </row>
    <row r="11" spans="2:6" x14ac:dyDescent="0.35">
      <c r="B11" s="14" t="s">
        <v>33</v>
      </c>
      <c r="C11" s="14" t="s">
        <v>94</v>
      </c>
      <c r="D11" s="14" t="s">
        <v>94</v>
      </c>
      <c r="E11" s="14" t="s">
        <v>22</v>
      </c>
      <c r="F11" s="14"/>
    </row>
    <row r="12" spans="2:6" x14ac:dyDescent="0.35">
      <c r="B12" s="14" t="s">
        <v>33</v>
      </c>
      <c r="C12" s="14" t="s">
        <v>44</v>
      </c>
      <c r="D12" s="14" t="s">
        <v>44</v>
      </c>
      <c r="E12" s="14" t="s">
        <v>187</v>
      </c>
      <c r="F12" s="14"/>
    </row>
    <row r="13" spans="2:6" x14ac:dyDescent="0.35">
      <c r="B13" s="14" t="s">
        <v>32</v>
      </c>
      <c r="C13" s="14" t="s">
        <v>96</v>
      </c>
      <c r="D13" s="14" t="s">
        <v>51</v>
      </c>
      <c r="E13" s="14" t="s">
        <v>20</v>
      </c>
      <c r="F13" s="14"/>
    </row>
    <row r="14" spans="2:6" x14ac:dyDescent="0.35">
      <c r="B14" s="14" t="s">
        <v>32</v>
      </c>
      <c r="C14" s="14" t="s">
        <v>97</v>
      </c>
      <c r="D14" s="14" t="s">
        <v>98</v>
      </c>
      <c r="E14" s="14" t="s">
        <v>99</v>
      </c>
      <c r="F14" s="14"/>
    </row>
    <row r="15" spans="2:6" x14ac:dyDescent="0.35">
      <c r="B15" s="14" t="s">
        <v>32</v>
      </c>
      <c r="C15" s="14" t="s">
        <v>100</v>
      </c>
      <c r="D15" s="14" t="s">
        <v>54</v>
      </c>
      <c r="E15" s="14" t="s">
        <v>26</v>
      </c>
      <c r="F15" s="14"/>
    </row>
    <row r="16" spans="2:6" x14ac:dyDescent="0.35">
      <c r="B16" s="14" t="s">
        <v>32</v>
      </c>
      <c r="C16" s="14" t="s">
        <v>101</v>
      </c>
      <c r="D16" s="14" t="s">
        <v>102</v>
      </c>
      <c r="E16" s="14" t="s">
        <v>103</v>
      </c>
      <c r="F16" s="14"/>
    </row>
    <row r="17" spans="2:6" x14ac:dyDescent="0.35">
      <c r="B17" s="14" t="s">
        <v>32</v>
      </c>
      <c r="C17" s="14" t="s">
        <v>104</v>
      </c>
      <c r="D17" s="14" t="s">
        <v>72</v>
      </c>
      <c r="E17" s="14" t="s">
        <v>69</v>
      </c>
      <c r="F17" s="14"/>
    </row>
    <row r="18" spans="2:6" x14ac:dyDescent="0.35">
      <c r="B18" s="14" t="s">
        <v>32</v>
      </c>
      <c r="C18" s="14" t="s">
        <v>105</v>
      </c>
      <c r="D18" s="14" t="s">
        <v>83</v>
      </c>
      <c r="E18" s="14" t="s">
        <v>84</v>
      </c>
      <c r="F18" s="14"/>
    </row>
    <row r="19" spans="2:6" x14ac:dyDescent="0.35">
      <c r="B19" s="14" t="s">
        <v>32</v>
      </c>
      <c r="C19" s="14" t="s">
        <v>106</v>
      </c>
      <c r="D19" s="14" t="s">
        <v>53</v>
      </c>
      <c r="E19" s="14" t="s">
        <v>24</v>
      </c>
      <c r="F19" s="14"/>
    </row>
    <row r="20" spans="2:6" x14ac:dyDescent="0.35">
      <c r="B20" s="14" t="s">
        <v>32</v>
      </c>
      <c r="C20" s="14" t="s">
        <v>77</v>
      </c>
      <c r="D20" s="14" t="s">
        <v>55</v>
      </c>
      <c r="E20" s="14" t="s">
        <v>27</v>
      </c>
      <c r="F20" s="14"/>
    </row>
    <row r="21" spans="2:6" x14ac:dyDescent="0.35">
      <c r="B21" s="14" t="s">
        <v>32</v>
      </c>
      <c r="C21" s="14" t="s">
        <v>107</v>
      </c>
      <c r="D21" s="14" t="s">
        <v>108</v>
      </c>
      <c r="E21" s="14" t="s">
        <v>109</v>
      </c>
      <c r="F21" s="14"/>
    </row>
    <row r="22" spans="2:6" x14ac:dyDescent="0.35">
      <c r="B22" s="14" t="s">
        <v>32</v>
      </c>
      <c r="C22" s="14" t="s">
        <v>110</v>
      </c>
      <c r="D22" s="14" t="s">
        <v>79</v>
      </c>
      <c r="E22" s="14" t="s">
        <v>78</v>
      </c>
      <c r="F22" s="14"/>
    </row>
    <row r="23" spans="2:6" x14ac:dyDescent="0.35">
      <c r="B23" s="14" t="s">
        <v>28</v>
      </c>
      <c r="C23" s="14" t="s">
        <v>34</v>
      </c>
      <c r="D23" s="14" t="s">
        <v>47</v>
      </c>
      <c r="E23" s="14" t="s">
        <v>11</v>
      </c>
      <c r="F23" s="14"/>
    </row>
    <row r="24" spans="2:6" x14ac:dyDescent="0.35">
      <c r="B24" s="14" t="s">
        <v>28</v>
      </c>
      <c r="C24" s="14" t="s">
        <v>35</v>
      </c>
      <c r="D24" s="14" t="s">
        <v>48</v>
      </c>
      <c r="E24" s="14" t="s">
        <v>12</v>
      </c>
      <c r="F24" s="14"/>
    </row>
    <row r="25" spans="2:6" x14ac:dyDescent="0.35">
      <c r="B25" s="14" t="s">
        <v>28</v>
      </c>
      <c r="C25" s="14" t="s">
        <v>36</v>
      </c>
      <c r="D25" s="14" t="s">
        <v>49</v>
      </c>
      <c r="E25" s="14" t="s">
        <v>13</v>
      </c>
      <c r="F25" s="14"/>
    </row>
    <row r="26" spans="2:6" x14ac:dyDescent="0.35">
      <c r="B26" s="14" t="s">
        <v>28</v>
      </c>
      <c r="C26" s="14" t="s">
        <v>43</v>
      </c>
      <c r="D26" s="14" t="s">
        <v>52</v>
      </c>
      <c r="E26" s="14" t="s">
        <v>21</v>
      </c>
      <c r="F26" s="14"/>
    </row>
    <row r="27" spans="2:6" x14ac:dyDescent="0.35">
      <c r="B27" s="14" t="s">
        <v>28</v>
      </c>
      <c r="C27" s="14" t="s">
        <v>37</v>
      </c>
      <c r="D27" s="14" t="s">
        <v>50</v>
      </c>
      <c r="E27" s="14" t="s">
        <v>14</v>
      </c>
      <c r="F27" s="14"/>
    </row>
    <row r="28" spans="2:6" x14ac:dyDescent="0.35">
      <c r="B28" s="14" t="s">
        <v>28</v>
      </c>
      <c r="C28" s="14" t="s">
        <v>82</v>
      </c>
      <c r="D28" s="14" t="s">
        <v>81</v>
      </c>
      <c r="E28" s="14" t="s">
        <v>80</v>
      </c>
      <c r="F28" s="14"/>
    </row>
    <row r="29" spans="2:6" x14ac:dyDescent="0.35">
      <c r="B29" s="14" t="s">
        <v>30</v>
      </c>
      <c r="C29" s="14" t="s">
        <v>46</v>
      </c>
      <c r="D29" s="14" t="s">
        <v>46</v>
      </c>
      <c r="E29" s="14" t="s">
        <v>25</v>
      </c>
      <c r="F29" s="14"/>
    </row>
    <row r="30" spans="2:6" x14ac:dyDescent="0.35">
      <c r="B30" s="14" t="s">
        <v>30</v>
      </c>
      <c r="C30" s="14" t="s">
        <v>42</v>
      </c>
      <c r="D30" s="14" t="s">
        <v>42</v>
      </c>
      <c r="E30" s="14" t="s">
        <v>19</v>
      </c>
      <c r="F30" s="14"/>
    </row>
    <row r="31" spans="2:6" x14ac:dyDescent="0.35">
      <c r="B31" s="14" t="s">
        <v>30</v>
      </c>
      <c r="C31" s="14" t="s">
        <v>111</v>
      </c>
      <c r="D31" s="14" t="s">
        <v>111</v>
      </c>
      <c r="E31" s="14" t="s">
        <v>112</v>
      </c>
      <c r="F31" s="14"/>
    </row>
    <row r="32" spans="2:6" x14ac:dyDescent="0.35">
      <c r="B32" s="14" t="s">
        <v>30</v>
      </c>
      <c r="C32" s="14" t="s">
        <v>40</v>
      </c>
      <c r="D32" s="14" t="s">
        <v>40</v>
      </c>
      <c r="E32" s="14" t="s">
        <v>17</v>
      </c>
      <c r="F32" s="14"/>
    </row>
    <row r="33" spans="2:6" x14ac:dyDescent="0.35">
      <c r="B33" s="14" t="s">
        <v>30</v>
      </c>
      <c r="C33" s="14" t="s">
        <v>113</v>
      </c>
      <c r="D33" s="14" t="s">
        <v>113</v>
      </c>
      <c r="E33" s="14" t="s">
        <v>114</v>
      </c>
      <c r="F33" s="14"/>
    </row>
    <row r="34" spans="2:6" x14ac:dyDescent="0.35">
      <c r="B34" s="14" t="s">
        <v>30</v>
      </c>
      <c r="C34" s="14" t="s">
        <v>115</v>
      </c>
      <c r="D34" s="14" t="s">
        <v>115</v>
      </c>
      <c r="E34" s="14" t="s">
        <v>116</v>
      </c>
      <c r="F34" s="14"/>
    </row>
    <row r="35" spans="2:6" x14ac:dyDescent="0.35">
      <c r="B35" s="14" t="s">
        <v>29</v>
      </c>
      <c r="C35" s="14" t="s">
        <v>63</v>
      </c>
      <c r="D35" s="14" t="s">
        <v>63</v>
      </c>
      <c r="E35" s="14" t="s">
        <v>60</v>
      </c>
      <c r="F35" s="14"/>
    </row>
    <row r="36" spans="2:6" x14ac:dyDescent="0.35">
      <c r="B36" s="14" t="s">
        <v>29</v>
      </c>
      <c r="C36" s="14" t="s">
        <v>39</v>
      </c>
      <c r="D36" s="14" t="s">
        <v>39</v>
      </c>
      <c r="E36" s="14" t="s">
        <v>16</v>
      </c>
      <c r="F36" s="14"/>
    </row>
    <row r="37" spans="2:6" x14ac:dyDescent="0.35">
      <c r="B37" s="14" t="s">
        <v>29</v>
      </c>
      <c r="C37" s="14" t="s">
        <v>38</v>
      </c>
      <c r="D37" s="14" t="s">
        <v>38</v>
      </c>
      <c r="E37" s="14" t="s">
        <v>15</v>
      </c>
      <c r="F37" s="14"/>
    </row>
    <row r="38" spans="2:6" x14ac:dyDescent="0.35">
      <c r="B38" s="14" t="s">
        <v>29</v>
      </c>
      <c r="C38" s="14" t="s">
        <v>117</v>
      </c>
      <c r="D38" s="14" t="s">
        <v>117</v>
      </c>
      <c r="E38" s="14" t="s">
        <v>118</v>
      </c>
      <c r="F38" s="14"/>
    </row>
    <row r="39" spans="2:6" x14ac:dyDescent="0.35">
      <c r="B39" s="14" t="s">
        <v>29</v>
      </c>
      <c r="C39" s="14" t="s">
        <v>119</v>
      </c>
      <c r="D39" s="14" t="s">
        <v>119</v>
      </c>
      <c r="E39" s="14" t="s">
        <v>120</v>
      </c>
      <c r="F39" s="14"/>
    </row>
    <row r="40" spans="2:6" x14ac:dyDescent="0.35">
      <c r="B40" s="14" t="s">
        <v>31</v>
      </c>
      <c r="C40" s="14" t="s">
        <v>70</v>
      </c>
      <c r="D40" s="14" t="s">
        <v>70</v>
      </c>
      <c r="E40" s="14" t="s">
        <v>67</v>
      </c>
      <c r="F40" s="14"/>
    </row>
    <row r="41" spans="2:6" x14ac:dyDescent="0.35">
      <c r="B41" s="14" t="s">
        <v>31</v>
      </c>
      <c r="C41" s="14" t="s">
        <v>121</v>
      </c>
      <c r="D41" s="14" t="s">
        <v>121</v>
      </c>
      <c r="E41" s="14" t="s">
        <v>122</v>
      </c>
      <c r="F41" s="14"/>
    </row>
    <row r="42" spans="2:6" x14ac:dyDescent="0.35">
      <c r="B42" s="14" t="s">
        <v>31</v>
      </c>
      <c r="C42" s="14" t="s">
        <v>123</v>
      </c>
      <c r="D42" s="14" t="s">
        <v>123</v>
      </c>
      <c r="E42" s="14" t="s">
        <v>124</v>
      </c>
      <c r="F42" s="14"/>
    </row>
    <row r="43" spans="2:6" x14ac:dyDescent="0.35">
      <c r="B43" s="14" t="s">
        <v>31</v>
      </c>
      <c r="C43" s="14" t="s">
        <v>41</v>
      </c>
      <c r="D43" s="14" t="s">
        <v>41</v>
      </c>
      <c r="E43" s="14" t="s">
        <v>18</v>
      </c>
      <c r="F43" s="14"/>
    </row>
    <row r="44" spans="2:6" x14ac:dyDescent="0.35">
      <c r="B44" s="14" t="s">
        <v>75</v>
      </c>
      <c r="C44" s="14" t="s">
        <v>76</v>
      </c>
      <c r="D44" s="14" t="s">
        <v>76</v>
      </c>
      <c r="E44" s="14" t="s">
        <v>74</v>
      </c>
      <c r="F44" s="14"/>
    </row>
    <row r="45" spans="2:6" x14ac:dyDescent="0.35">
      <c r="B45" s="14" t="s">
        <v>58</v>
      </c>
      <c r="C45" s="14" t="s">
        <v>59</v>
      </c>
      <c r="D45" s="14" t="s">
        <v>132</v>
      </c>
      <c r="E45" s="14" t="s">
        <v>160</v>
      </c>
      <c r="F45" s="14"/>
    </row>
    <row r="46" spans="2:6" x14ac:dyDescent="0.35">
      <c r="B46" s="14" t="s">
        <v>125</v>
      </c>
      <c r="C46" s="14" t="s">
        <v>126</v>
      </c>
      <c r="D46" s="14" t="s">
        <v>127</v>
      </c>
      <c r="E46" s="14" t="s">
        <v>128</v>
      </c>
      <c r="F46" s="14"/>
    </row>
    <row r="47" spans="2:6" x14ac:dyDescent="0.35">
      <c r="B47" s="14" t="s">
        <v>125</v>
      </c>
      <c r="C47" s="14" t="s">
        <v>126</v>
      </c>
      <c r="D47" s="14" t="s">
        <v>129</v>
      </c>
      <c r="E47" s="14" t="s">
        <v>130</v>
      </c>
      <c r="F47" s="14"/>
    </row>
    <row r="48" spans="2:6" x14ac:dyDescent="0.35">
      <c r="B48" s="14" t="s">
        <v>62</v>
      </c>
      <c r="C48" s="14" t="s">
        <v>73</v>
      </c>
      <c r="D48" s="14" t="s">
        <v>71</v>
      </c>
      <c r="E48" s="14" t="s">
        <v>68</v>
      </c>
      <c r="F48" s="14"/>
    </row>
    <row r="49" spans="2:6" x14ac:dyDescent="0.35">
      <c r="B49" s="12" t="s">
        <v>62</v>
      </c>
      <c r="C49" s="12" t="s">
        <v>65</v>
      </c>
      <c r="D49" s="12" t="s">
        <v>64</v>
      </c>
      <c r="E49" s="12" t="s">
        <v>61</v>
      </c>
      <c r="F49" s="12"/>
    </row>
  </sheetData>
  <phoneticPr fontId="3" type="noConversion"/>
  <conditionalFormatting sqref="E4:E5 E7 E9 E11">
    <cfRule type="expression" dxfId="21" priority="2">
      <formula>$B$4</formula>
    </cfRule>
  </conditionalFormatting>
  <conditionalFormatting sqref="E6 E8 E10 E12">
    <cfRule type="expression" dxfId="20" priority="1">
      <formula>$B$4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3BBA8-E86C-43C1-A113-C4694D17B463}">
  <sheetPr codeName="Feuil1"/>
  <dimension ref="A1:S363"/>
  <sheetViews>
    <sheetView showGridLines="0" topLeftCell="A2" zoomScale="60" zoomScaleNormal="60" workbookViewId="0">
      <selection activeCell="F26" sqref="F26"/>
    </sheetView>
  </sheetViews>
  <sheetFormatPr defaultColWidth="11.453125" defaultRowHeight="14.5" x14ac:dyDescent="0.35"/>
  <cols>
    <col min="1" max="1" width="1.81640625" style="8" customWidth="1"/>
    <col min="2" max="2" width="12.7265625" style="4" customWidth="1"/>
    <col min="3" max="3" width="18.6328125" style="4" customWidth="1"/>
    <col min="4" max="4" width="10.453125" style="4" bestFit="1" customWidth="1"/>
    <col min="5" max="5" width="16.1796875" style="4" bestFit="1" customWidth="1"/>
    <col min="6" max="6" width="21.90625" style="4" bestFit="1" customWidth="1"/>
    <col min="7" max="7" width="21.90625" style="4" customWidth="1"/>
    <col min="8" max="8" width="29.26953125" style="4" bestFit="1" customWidth="1"/>
    <col min="9" max="9" width="58.08984375" style="4" customWidth="1"/>
    <col min="10" max="10" width="12.54296875" style="4" bestFit="1" customWidth="1"/>
    <col min="11" max="11" width="12" style="4" bestFit="1" customWidth="1"/>
    <col min="12" max="12" width="12.90625" style="4" bestFit="1" customWidth="1"/>
    <col min="13" max="13" width="11.54296875" style="4" bestFit="1" customWidth="1"/>
    <col min="14" max="14" width="13.1796875" style="5" customWidth="1"/>
    <col min="15" max="15" width="12.81640625" style="5" customWidth="1"/>
    <col min="16" max="16" width="15.6328125" style="5" hidden="1" customWidth="1"/>
    <col min="17" max="17" width="7" style="5" hidden="1" customWidth="1"/>
    <col min="18" max="18" width="12.81640625" style="6" bestFit="1" customWidth="1"/>
    <col min="19" max="19" width="11.453125" style="7"/>
    <col min="20" max="16384" width="11.453125" style="8"/>
  </cols>
  <sheetData>
    <row r="1" spans="1:19" ht="15" thickBot="1" x14ac:dyDescent="0.4">
      <c r="A1" s="31"/>
      <c r="B1" s="32"/>
      <c r="C1" s="32"/>
      <c r="D1" s="32"/>
      <c r="E1" s="32"/>
    </row>
    <row r="2" spans="1:19" ht="14.5" customHeight="1" x14ac:dyDescent="0.35">
      <c r="A2" s="31"/>
      <c r="B2" s="61" t="s">
        <v>152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3"/>
    </row>
    <row r="3" spans="1:19" ht="14.5" customHeight="1" x14ac:dyDescent="0.35">
      <c r="A3" s="31"/>
      <c r="B3" s="64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6"/>
    </row>
    <row r="4" spans="1:19" ht="15" customHeight="1" thickBot="1" x14ac:dyDescent="0.4">
      <c r="A4" s="31"/>
      <c r="B4" s="67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9"/>
    </row>
    <row r="5" spans="1:19" ht="15.5" x14ac:dyDescent="0.35">
      <c r="A5" s="31"/>
      <c r="B5" s="32"/>
      <c r="C5" s="32"/>
      <c r="D5" s="32"/>
      <c r="E5" s="32"/>
      <c r="N5" s="28" t="s">
        <v>156</v>
      </c>
      <c r="O5" s="29">
        <f>SUM(Tabel1[Total])</f>
        <v>1418</v>
      </c>
    </row>
    <row r="6" spans="1:19" ht="15.5" x14ac:dyDescent="0.35">
      <c r="A6" s="31"/>
      <c r="B6" s="32"/>
      <c r="C6" s="32"/>
      <c r="D6" s="32"/>
      <c r="E6" s="32"/>
      <c r="N6" s="28" t="s">
        <v>157</v>
      </c>
      <c r="O6" s="29">
        <f>SUBTOTAL(9,Tabel1[Total])</f>
        <v>1418</v>
      </c>
    </row>
    <row r="7" spans="1:19" s="3" customFormat="1" x14ac:dyDescent="0.35">
      <c r="A7" s="33"/>
      <c r="B7" s="34" t="s">
        <v>0</v>
      </c>
      <c r="C7" s="34" t="s">
        <v>10</v>
      </c>
      <c r="D7" s="34" t="s">
        <v>4</v>
      </c>
      <c r="E7" s="34" t="s">
        <v>143</v>
      </c>
      <c r="F7" s="1" t="s">
        <v>8</v>
      </c>
      <c r="G7" s="1" t="s">
        <v>9</v>
      </c>
      <c r="H7" s="1" t="s">
        <v>7</v>
      </c>
      <c r="I7" s="1" t="s">
        <v>6</v>
      </c>
      <c r="J7" s="1" t="s">
        <v>146</v>
      </c>
      <c r="K7" s="2" t="s">
        <v>1</v>
      </c>
      <c r="L7" s="2" t="s">
        <v>5</v>
      </c>
      <c r="M7" s="2" t="s">
        <v>2</v>
      </c>
      <c r="N7" s="2" t="s">
        <v>3</v>
      </c>
      <c r="O7" s="2" t="s">
        <v>156</v>
      </c>
      <c r="P7" s="26" t="s">
        <v>153</v>
      </c>
      <c r="Q7" s="27" t="s">
        <v>154</v>
      </c>
    </row>
    <row r="8" spans="1:19" x14ac:dyDescent="0.35">
      <c r="A8" s="32"/>
      <c r="B8" s="32">
        <v>1</v>
      </c>
      <c r="C8" s="32" t="str">
        <f>IFERROR(VLOOKUP(Tabel1[[#This Row],[Model]],Tableau2[[Model]:[Parking Number]],2,FALSE)," ")</f>
        <v>WT1</v>
      </c>
      <c r="D8" s="35">
        <v>45519</v>
      </c>
      <c r="E8" s="32" t="str">
        <f>IF(Tabel1[[#This Row],[Model]]="", "",INDEX(Tableau2[Equipment Type],MATCH(Tabel1[[#This Row],[Model]],Tableau2[Model],0)))</f>
        <v>Water Truck</v>
      </c>
      <c r="F8" s="4" t="s">
        <v>47</v>
      </c>
      <c r="G8" s="4" t="str">
        <f>IF(Tabel1[[#This Row],[Model]]="", "",INDEX(Tableau2[Equipment],MATCH(Tabel1[[#This Row],[Model]],Tableau2[Model],0)))</f>
        <v>Water Truck 20T / 1924.1</v>
      </c>
      <c r="H8" s="4" t="s">
        <v>56</v>
      </c>
      <c r="I8" s="10" t="s">
        <v>57</v>
      </c>
      <c r="J8" s="4">
        <v>5239743</v>
      </c>
      <c r="K8" s="9">
        <v>0.33333333333333331</v>
      </c>
      <c r="L8" s="9">
        <v>4.1666666666666664E-2</v>
      </c>
      <c r="M8" s="9">
        <v>0.70833333333333337</v>
      </c>
      <c r="N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8" s="30">
        <f>HOUR(Tabel1[[#This Row],[Total Hours]])+MINUTE(Tabel1[[#This Row],[Total Hours]])/60+SECOND(Tabel1[[#This Row],[Total Hours]])/3600</f>
        <v>8</v>
      </c>
      <c r="P8" s="6">
        <f>Tabel1[[#This Row],[End Time]]+(Tabel1[[#This Row],[End Time]]&lt;Tabel1[[#This Row],[Start time]])</f>
        <v>0.70833333333333337</v>
      </c>
      <c r="Q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  <c r="R8" s="8"/>
      <c r="S8" s="8"/>
    </row>
    <row r="9" spans="1:19" x14ac:dyDescent="0.35">
      <c r="A9" s="32"/>
      <c r="B9" s="32">
        <f t="shared" ref="B9:B72" si="0">B8+1</f>
        <v>2</v>
      </c>
      <c r="C9" s="32" t="str">
        <f>IFERROR(VLOOKUP(Tabel1[[#This Row],[Model]],Tableau2[[Model]:[Parking Number]],2,FALSE)," ")</f>
        <v>WT2</v>
      </c>
      <c r="D9" s="35">
        <v>45519</v>
      </c>
      <c r="E9" s="32" t="str">
        <f>IF(Tabel1[[#This Row],[Model]]="", "",INDEX(Tableau2[Equipment Type],MATCH(Tabel1[[#This Row],[Model]],Tableau2[Model],0)))</f>
        <v>Water Truck</v>
      </c>
      <c r="F9" s="4" t="s">
        <v>48</v>
      </c>
      <c r="G9" s="4" t="str">
        <f>IF(Tabel1[[#This Row],[Model]]="", "",INDEX(Tableau2[Equipment],MATCH(Tabel1[[#This Row],[Model]],Tableau2[Model],0)))</f>
        <v>Water Truck 20T / 1924.2</v>
      </c>
      <c r="H9" s="4" t="s">
        <v>56</v>
      </c>
      <c r="I9" s="10" t="s">
        <v>57</v>
      </c>
      <c r="J9" s="4">
        <v>5239743</v>
      </c>
      <c r="K9" s="9">
        <v>0.33333333333333331</v>
      </c>
      <c r="L9" s="9">
        <v>4.1666666666666664E-2</v>
      </c>
      <c r="M9" s="9">
        <v>0.70833333333333337</v>
      </c>
      <c r="N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9" s="30">
        <f>HOUR(Tabel1[[#This Row],[Total Hours]])+MINUTE(Tabel1[[#This Row],[Total Hours]])/60+SECOND(Tabel1[[#This Row],[Total Hours]])/3600</f>
        <v>8</v>
      </c>
      <c r="P9" s="6">
        <f>Tabel1[[#This Row],[End Time]]+(Tabel1[[#This Row],[End Time]]&lt;Tabel1[[#This Row],[Start time]])</f>
        <v>0.70833333333333337</v>
      </c>
      <c r="Q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  <c r="R9" s="8"/>
      <c r="S9" s="8"/>
    </row>
    <row r="10" spans="1:19" x14ac:dyDescent="0.35">
      <c r="A10" s="32"/>
      <c r="B10" s="32">
        <f t="shared" si="0"/>
        <v>3</v>
      </c>
      <c r="C10" s="32" t="str">
        <f>IFERROR(VLOOKUP(Tabel1[[#This Row],[Model]],Tableau2[[Model]:[Parking Number]],2,FALSE)," ")</f>
        <v>WT3</v>
      </c>
      <c r="D10" s="35">
        <v>45519</v>
      </c>
      <c r="E10" s="32" t="str">
        <f>IF(Tabel1[[#This Row],[Model]]="", "",INDEX(Tableau2[Equipment Type],MATCH(Tabel1[[#This Row],[Model]],Tableau2[Model],0)))</f>
        <v>Water Truck</v>
      </c>
      <c r="F10" s="4" t="s">
        <v>49</v>
      </c>
      <c r="G10" s="4" t="str">
        <f>IF(Tabel1[[#This Row],[Model]]="", "",INDEX(Tableau2[Equipment],MATCH(Tabel1[[#This Row],[Model]],Tableau2[Model],0)))</f>
        <v>Water Truck 20T / 1924.3</v>
      </c>
      <c r="H10" s="4" t="s">
        <v>56</v>
      </c>
      <c r="I10" s="10" t="s">
        <v>57</v>
      </c>
      <c r="J10" s="4">
        <v>5239743</v>
      </c>
      <c r="K10" s="9">
        <v>0.33333333333333331</v>
      </c>
      <c r="L10" s="9">
        <v>4.1666666666666664E-2</v>
      </c>
      <c r="M10" s="9">
        <v>0.70833333333333337</v>
      </c>
      <c r="N1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0" s="30">
        <f>HOUR(Tabel1[[#This Row],[Total Hours]])+MINUTE(Tabel1[[#This Row],[Total Hours]])/60+SECOND(Tabel1[[#This Row],[Total Hours]])/3600</f>
        <v>8</v>
      </c>
      <c r="P10" s="6">
        <f>Tabel1[[#This Row],[End Time]]+(Tabel1[[#This Row],[End Time]]&lt;Tabel1[[#This Row],[Start time]])</f>
        <v>0.70833333333333337</v>
      </c>
      <c r="Q1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1" spans="1:19" x14ac:dyDescent="0.35">
      <c r="A11" s="32"/>
      <c r="B11" s="32">
        <f t="shared" si="0"/>
        <v>4</v>
      </c>
      <c r="C11" s="32" t="str">
        <f>IFERROR(VLOOKUP(Tabel1[[#This Row],[Model]],Tableau2[[Model]:[Parking Number]],2,FALSE)," ")</f>
        <v>WT9</v>
      </c>
      <c r="D11" s="35">
        <v>45519</v>
      </c>
      <c r="E11" s="32" t="str">
        <f>IF(Tabel1[[#This Row],[Model]]="", "",INDEX(Tableau2[Equipment Type],MATCH(Tabel1[[#This Row],[Model]],Tableau2[Model],0)))</f>
        <v>Water Truck</v>
      </c>
      <c r="F11" s="4" t="s">
        <v>50</v>
      </c>
      <c r="G11" s="4" t="str">
        <f>IF(Tabel1[[#This Row],[Model]]="", "",INDEX(Tableau2[Equipment],MATCH(Tabel1[[#This Row],[Model]],Tableau2[Model],0)))</f>
        <v>Water Truck 20T / WT09</v>
      </c>
      <c r="H11" s="4" t="s">
        <v>56</v>
      </c>
      <c r="I11" s="10" t="s">
        <v>57</v>
      </c>
      <c r="J11" s="4">
        <v>5239743</v>
      </c>
      <c r="K11" s="9">
        <v>0.33333333333333331</v>
      </c>
      <c r="L11" s="9">
        <v>4.1666666666666664E-2</v>
      </c>
      <c r="M11" s="9">
        <v>0.70833333333333337</v>
      </c>
      <c r="N1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1" s="30">
        <f>HOUR(Tabel1[[#This Row],[Total Hours]])+MINUTE(Tabel1[[#This Row],[Total Hours]])/60+SECOND(Tabel1[[#This Row],[Total Hours]])/3600</f>
        <v>8</v>
      </c>
      <c r="P11" s="6">
        <f>Tabel1[[#This Row],[End Time]]+(Tabel1[[#This Row],[End Time]]&lt;Tabel1[[#This Row],[Start time]])</f>
        <v>0.70833333333333337</v>
      </c>
      <c r="Q1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2" spans="1:19" x14ac:dyDescent="0.35">
      <c r="A12" s="32"/>
      <c r="B12" s="32">
        <f t="shared" si="0"/>
        <v>5</v>
      </c>
      <c r="C12" s="32" t="str">
        <f>IFERROR(VLOOKUP(Tabel1[[#This Row],[Model]],Tableau2[[Model]:[Parking Number]],2,FALSE)," ")</f>
        <v>GR1</v>
      </c>
      <c r="D12" s="35">
        <v>45519</v>
      </c>
      <c r="E12" s="32" t="str">
        <f>IF(Tabel1[[#This Row],[Model]]="", "",INDEX(Tableau2[Equipment Type],MATCH(Tabel1[[#This Row],[Model]],Tableau2[Model],0)))</f>
        <v>Grader</v>
      </c>
      <c r="F12" s="4" t="s">
        <v>63</v>
      </c>
      <c r="G12" s="4" t="str">
        <f>IF(Tabel1[[#This Row],[Model]]="", "",INDEX(Tableau2[Equipment],MATCH(Tabel1[[#This Row],[Model]],Tableau2[Model],0)))</f>
        <v>CAT12K.1</v>
      </c>
      <c r="H12" s="4" t="s">
        <v>56</v>
      </c>
      <c r="I12" s="10" t="s">
        <v>57</v>
      </c>
      <c r="J12" s="4">
        <v>5239743</v>
      </c>
      <c r="K12" s="9">
        <v>0.33333333333333331</v>
      </c>
      <c r="L12" s="9">
        <v>4.1666666666666664E-2</v>
      </c>
      <c r="M12" s="9">
        <v>0.70833333333333337</v>
      </c>
      <c r="N1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2" s="30">
        <f>HOUR(Tabel1[[#This Row],[Total Hours]])+MINUTE(Tabel1[[#This Row],[Total Hours]])/60+SECOND(Tabel1[[#This Row],[Total Hours]])/3600</f>
        <v>8</v>
      </c>
      <c r="P12" s="6">
        <f>Tabel1[[#This Row],[End Time]]+(Tabel1[[#This Row],[End Time]]&lt;Tabel1[[#This Row],[Start time]])</f>
        <v>0.70833333333333337</v>
      </c>
      <c r="Q1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3" spans="1:19" x14ac:dyDescent="0.35">
      <c r="A13" s="32"/>
      <c r="B13" s="32">
        <f t="shared" si="0"/>
        <v>6</v>
      </c>
      <c r="C13" s="32" t="str">
        <f>IFERROR(VLOOKUP(Tabel1[[#This Row],[Model]],Tableau2[[Model]:[Parking Number]],2,FALSE)," ")</f>
        <v>GR2</v>
      </c>
      <c r="D13" s="35">
        <v>45519</v>
      </c>
      <c r="E13" s="32" t="str">
        <f>IF(Tabel1[[#This Row],[Model]]="", "",INDEX(Tableau2[Equipment Type],MATCH(Tabel1[[#This Row],[Model]],Tableau2[Model],0)))</f>
        <v>Grader</v>
      </c>
      <c r="F13" s="4" t="s">
        <v>39</v>
      </c>
      <c r="G13" s="4" t="str">
        <f>IF(Tabel1[[#This Row],[Model]]="", "",INDEX(Tableau2[Equipment],MATCH(Tabel1[[#This Row],[Model]],Tableau2[Model],0)))</f>
        <v>CAT12K.2</v>
      </c>
      <c r="H13" s="4" t="s">
        <v>56</v>
      </c>
      <c r="I13" s="10" t="s">
        <v>57</v>
      </c>
      <c r="J13" s="4">
        <v>5239743</v>
      </c>
      <c r="K13" s="9">
        <v>0.33333333333333331</v>
      </c>
      <c r="L13" s="9">
        <v>4.1666666666666664E-2</v>
      </c>
      <c r="M13" s="9">
        <v>0.70833333333333337</v>
      </c>
      <c r="N1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3" s="30">
        <f>HOUR(Tabel1[[#This Row],[Total Hours]])+MINUTE(Tabel1[[#This Row],[Total Hours]])/60+SECOND(Tabel1[[#This Row],[Total Hours]])/3600</f>
        <v>8</v>
      </c>
      <c r="P13" s="6">
        <f>Tabel1[[#This Row],[End Time]]+(Tabel1[[#This Row],[End Time]]&lt;Tabel1[[#This Row],[Start time]])</f>
        <v>0.70833333333333337</v>
      </c>
      <c r="Q1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4" spans="1:19" x14ac:dyDescent="0.35">
      <c r="A14" s="32"/>
      <c r="B14" s="32">
        <f t="shared" si="0"/>
        <v>7</v>
      </c>
      <c r="C14" s="32" t="str">
        <f>IFERROR(VLOOKUP(Tabel1[[#This Row],[Model]],Tableau2[[Model]:[Parking Number]],2,FALSE)," ")</f>
        <v>FEL4</v>
      </c>
      <c r="D14" s="35">
        <v>45519</v>
      </c>
      <c r="E14" s="32" t="str">
        <f>IF(Tabel1[[#This Row],[Model]]="", "",INDEX(Tableau2[Equipment Type],MATCH(Tabel1[[#This Row],[Model]],Tableau2[Model],0)))</f>
        <v>Loader</v>
      </c>
      <c r="F14" s="4" t="s">
        <v>40</v>
      </c>
      <c r="G14" s="4" t="str">
        <f>IF(Tabel1[[#This Row],[Model]]="", "",INDEX(Tableau2[Equipment],MATCH(Tabel1[[#This Row],[Model]],Tableau2[Model],0)))</f>
        <v>Cat972G.2</v>
      </c>
      <c r="H14" s="4" t="s">
        <v>56</v>
      </c>
      <c r="I14" s="10" t="s">
        <v>57</v>
      </c>
      <c r="J14" s="4">
        <v>5239743</v>
      </c>
      <c r="K14" s="9">
        <v>0.33333333333333331</v>
      </c>
      <c r="L14" s="9">
        <v>4.1666666666666664E-2</v>
      </c>
      <c r="M14" s="9">
        <v>0.70833333333333337</v>
      </c>
      <c r="N1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4" s="30">
        <f>HOUR(Tabel1[[#This Row],[Total Hours]])+MINUTE(Tabel1[[#This Row],[Total Hours]])/60+SECOND(Tabel1[[#This Row],[Total Hours]])/3600</f>
        <v>8</v>
      </c>
      <c r="P14" s="6">
        <f>Tabel1[[#This Row],[End Time]]+(Tabel1[[#This Row],[End Time]]&lt;Tabel1[[#This Row],[Start time]])</f>
        <v>0.70833333333333337</v>
      </c>
      <c r="Q1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5" spans="1:19" x14ac:dyDescent="0.35">
      <c r="A15" s="32"/>
      <c r="B15" s="32">
        <f t="shared" si="0"/>
        <v>8</v>
      </c>
      <c r="C15" s="32" t="str">
        <f>IFERROR(VLOOKUP(Tabel1[[#This Row],[Model]],Tableau2[[Model]:[Parking Number]],2,FALSE)," ")</f>
        <v>TD1</v>
      </c>
      <c r="D15" s="35">
        <v>45519</v>
      </c>
      <c r="E15" s="32" t="str">
        <f>IF(Tabel1[[#This Row],[Model]]="", "",INDEX(Tableau2[Equipment Type],MATCH(Tabel1[[#This Row],[Model]],Tableau2[Model],0)))</f>
        <v>Bulldozer</v>
      </c>
      <c r="F15" s="4" t="s">
        <v>70</v>
      </c>
      <c r="G15" s="4" t="str">
        <f>IF(Tabel1[[#This Row],[Model]]="", "",INDEX(Tableau2[Equipment],MATCH(Tabel1[[#This Row],[Model]],Tableau2[Model],0)))</f>
        <v>CATD8R.1</v>
      </c>
      <c r="H15" s="4" t="s">
        <v>56</v>
      </c>
      <c r="I15" s="10" t="s">
        <v>161</v>
      </c>
      <c r="J15" s="4">
        <v>5092509</v>
      </c>
      <c r="K15" s="9">
        <v>0.33333333333333331</v>
      </c>
      <c r="L15" s="9">
        <v>4.1666666666666664E-2</v>
      </c>
      <c r="M15" s="9">
        <v>0.70833333333333337</v>
      </c>
      <c r="N1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5" s="30">
        <f>HOUR(Tabel1[[#This Row],[Total Hours]])+MINUTE(Tabel1[[#This Row],[Total Hours]])/60+SECOND(Tabel1[[#This Row],[Total Hours]])/3600</f>
        <v>8</v>
      </c>
      <c r="P15" s="6">
        <f>Tabel1[[#This Row],[End Time]]+(Tabel1[[#This Row],[End Time]]&lt;Tabel1[[#This Row],[Start time]])</f>
        <v>0.70833333333333337</v>
      </c>
      <c r="Q1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6" spans="1:19" x14ac:dyDescent="0.35">
      <c r="A16" s="32"/>
      <c r="B16" s="32">
        <f t="shared" si="0"/>
        <v>9</v>
      </c>
      <c r="C16" s="32" t="str">
        <f>IFERROR(VLOOKUP(Tabel1[[#This Row],[Model]],Tableau2[[Model]:[Parking Number]],2,FALSE)," ")</f>
        <v>FEL1</v>
      </c>
      <c r="D16" s="35">
        <v>45519</v>
      </c>
      <c r="E16" s="32" t="str">
        <f>IF(Tabel1[[#This Row],[Model]]="", "",INDEX(Tableau2[Equipment Type],MATCH(Tabel1[[#This Row],[Model]],Tableau2[Model],0)))</f>
        <v>Loader</v>
      </c>
      <c r="F16" s="4" t="s">
        <v>46</v>
      </c>
      <c r="G16" s="4" t="str">
        <f>IF(Tabel1[[#This Row],[Model]]="", "",INDEX(Tableau2[Equipment],MATCH(Tabel1[[#This Row],[Model]],Tableau2[Model],0)))</f>
        <v>Cat966H.1</v>
      </c>
      <c r="H16" s="4" t="s">
        <v>66</v>
      </c>
      <c r="I16" s="10" t="s">
        <v>162</v>
      </c>
      <c r="J16" s="4">
        <v>5198487</v>
      </c>
      <c r="K16" s="9">
        <v>0.29166666666666669</v>
      </c>
      <c r="L16" s="9">
        <v>4.1666666666666664E-2</v>
      </c>
      <c r="M16" s="9">
        <v>0.79166666666666663</v>
      </c>
      <c r="N1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16" s="30">
        <f>HOUR(Tabel1[[#This Row],[Total Hours]])+MINUTE(Tabel1[[#This Row],[Total Hours]])/60+SECOND(Tabel1[[#This Row],[Total Hours]])/3600</f>
        <v>11</v>
      </c>
      <c r="P16" s="6">
        <f>Tabel1[[#This Row],[End Time]]+(Tabel1[[#This Row],[End Time]]&lt;Tabel1[[#This Row],[Start time]])</f>
        <v>0.79166666666666663</v>
      </c>
      <c r="Q1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7" spans="1:17" x14ac:dyDescent="0.35">
      <c r="A17" s="32"/>
      <c r="B17" s="32">
        <f t="shared" si="0"/>
        <v>10</v>
      </c>
      <c r="C17" s="32" t="str">
        <f>IFERROR(VLOOKUP(Tabel1[[#This Row],[Model]],Tableau2[[Model]:[Parking Number]],2,FALSE)," ")</f>
        <v>FEL1</v>
      </c>
      <c r="D17" s="35">
        <v>45519</v>
      </c>
      <c r="E17" s="32" t="str">
        <f>IF(Tabel1[[#This Row],[Model]]="", "",INDEX(Tableau2[Equipment Type],MATCH(Tabel1[[#This Row],[Model]],Tableau2[Model],0)))</f>
        <v>Loader</v>
      </c>
      <c r="F17" s="4" t="s">
        <v>46</v>
      </c>
      <c r="G17" s="4" t="str">
        <f>IF(Tabel1[[#This Row],[Model]]="", "",INDEX(Tableau2[Equipment],MATCH(Tabel1[[#This Row],[Model]],Tableau2[Model],0)))</f>
        <v>Cat966H.1</v>
      </c>
      <c r="H17" s="4" t="s">
        <v>66</v>
      </c>
      <c r="I17" s="10" t="s">
        <v>162</v>
      </c>
      <c r="J17" s="4">
        <v>5198487</v>
      </c>
      <c r="K17" s="9">
        <v>0.79166666666666663</v>
      </c>
      <c r="L17" s="9">
        <v>0</v>
      </c>
      <c r="M17" s="9">
        <v>0.20833333333333334</v>
      </c>
      <c r="N1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23.416666666666664</v>
      </c>
      <c r="O17" s="30">
        <f>HOUR(Tabel1[[#This Row],[Total Hours]])+MINUTE(Tabel1[[#This Row],[Total Hours]])/60+SECOND(Tabel1[[#This Row],[Total Hours]])/3600</f>
        <v>10</v>
      </c>
      <c r="P17" s="6">
        <f>Tabel1[[#This Row],[End Time]]+(Tabel1[[#This Row],[End Time]]&lt;Tabel1[[#This Row],[Start time]])</f>
        <v>1.2083333333333333</v>
      </c>
      <c r="Q1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8" spans="1:17" x14ac:dyDescent="0.35">
      <c r="A18" s="32"/>
      <c r="B18" s="32">
        <f t="shared" si="0"/>
        <v>11</v>
      </c>
      <c r="C18" s="32" t="str">
        <f>IFERROR(VLOOKUP(Tabel1[[#This Row],[Model]],Tableau2[[Model]:[Parking Number]],2,FALSE)," ")</f>
        <v>TT17</v>
      </c>
      <c r="D18" s="35">
        <v>45519</v>
      </c>
      <c r="E18" s="32" t="str">
        <f>IF(Tabel1[[#This Row],[Model]]="", "",INDEX(Tableau2[Equipment Type],MATCH(Tabel1[[#This Row],[Model]],Tableau2[Model],0)))</f>
        <v>Tipper Truck</v>
      </c>
      <c r="F18" s="4" t="s">
        <v>51</v>
      </c>
      <c r="G18" s="4" t="str">
        <f>IF(Tabel1[[#This Row],[Model]]="", "",INDEX(Tableau2[Equipment],MATCH(Tabel1[[#This Row],[Model]],Tableau2[Model],0)))</f>
        <v>Tipper Truck 20m3 / F17</v>
      </c>
      <c r="H18" s="4" t="s">
        <v>66</v>
      </c>
      <c r="I18" s="10" t="s">
        <v>162</v>
      </c>
      <c r="J18" s="4">
        <v>5198487</v>
      </c>
      <c r="K18" s="9">
        <v>0.29166666666666669</v>
      </c>
      <c r="L18" s="9">
        <v>4.1666666666666664E-2</v>
      </c>
      <c r="M18" s="9">
        <v>0.79166666666666663</v>
      </c>
      <c r="N1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18" s="30">
        <f>HOUR(Tabel1[[#This Row],[Total Hours]])+MINUTE(Tabel1[[#This Row],[Total Hours]])/60+SECOND(Tabel1[[#This Row],[Total Hours]])/3600</f>
        <v>11</v>
      </c>
      <c r="P18" s="6">
        <f>Tabel1[[#This Row],[End Time]]+(Tabel1[[#This Row],[End Time]]&lt;Tabel1[[#This Row],[Start time]])</f>
        <v>0.79166666666666663</v>
      </c>
      <c r="Q1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9" spans="1:17" x14ac:dyDescent="0.35">
      <c r="A19" s="32"/>
      <c r="B19" s="32">
        <f t="shared" si="0"/>
        <v>12</v>
      </c>
      <c r="C19" s="32" t="str">
        <f>IFERROR(VLOOKUP(Tabel1[[#This Row],[Model]],Tableau2[[Model]:[Parking Number]],2,FALSE)," ")</f>
        <v>WT8</v>
      </c>
      <c r="D19" s="35">
        <v>45519</v>
      </c>
      <c r="E19" s="32" t="str">
        <f>IF(Tabel1[[#This Row],[Model]]="", "",INDEX(Tableau2[Equipment Type],MATCH(Tabel1[[#This Row],[Model]],Tableau2[Model],0)))</f>
        <v>Water Truck</v>
      </c>
      <c r="F19" s="4" t="s">
        <v>52</v>
      </c>
      <c r="G19" s="4" t="str">
        <f>IF(Tabel1[[#This Row],[Model]]="", "",INDEX(Tableau2[Equipment],MATCH(Tabel1[[#This Row],[Model]],Tableau2[Model],0)))</f>
        <v>Water Truck 20T / WT08</v>
      </c>
      <c r="H19" s="4" t="s">
        <v>163</v>
      </c>
      <c r="I19" s="10" t="s">
        <v>164</v>
      </c>
      <c r="J19" s="4">
        <v>5253778</v>
      </c>
      <c r="K19" s="9">
        <v>0.29166666666666669</v>
      </c>
      <c r="L19" s="9">
        <v>4.1666666666666664E-2</v>
      </c>
      <c r="M19" s="9">
        <v>0.70833333333333337</v>
      </c>
      <c r="N1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0.375</v>
      </c>
      <c r="O19" s="30">
        <f>HOUR(Tabel1[[#This Row],[Total Hours]])+MINUTE(Tabel1[[#This Row],[Total Hours]])/60+SECOND(Tabel1[[#This Row],[Total Hours]])/3600</f>
        <v>9</v>
      </c>
      <c r="P19" s="6">
        <f>Tabel1[[#This Row],[End Time]]+(Tabel1[[#This Row],[End Time]]&lt;Tabel1[[#This Row],[Start time]])</f>
        <v>0.70833333333333337</v>
      </c>
      <c r="Q1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0" spans="1:17" x14ac:dyDescent="0.35">
      <c r="A20" s="32"/>
      <c r="B20" s="32">
        <f t="shared" si="0"/>
        <v>13</v>
      </c>
      <c r="C20" s="32" t="str">
        <f>IFERROR(VLOOKUP(Tabel1[[#This Row],[Model]],Tableau2[[Model]:[Parking Number]],2,FALSE)," ")</f>
        <v>FEL2</v>
      </c>
      <c r="D20" s="35">
        <v>45519</v>
      </c>
      <c r="E20" s="32" t="str">
        <f>IF(Tabel1[[#This Row],[Model]]="", "",INDEX(Tableau2[Equipment Type],MATCH(Tabel1[[#This Row],[Model]],Tableau2[Model],0)))</f>
        <v>Loader</v>
      </c>
      <c r="F20" s="4" t="s">
        <v>42</v>
      </c>
      <c r="G20" s="4" t="str">
        <f>IF(Tabel1[[#This Row],[Model]]="", "",INDEX(Tableau2[Equipment],MATCH(Tabel1[[#This Row],[Model]],Tableau2[Model],0)))</f>
        <v>Cat966H.2</v>
      </c>
      <c r="H20" s="4" t="s">
        <v>165</v>
      </c>
      <c r="I20" s="10" t="s">
        <v>166</v>
      </c>
      <c r="J20" s="4">
        <v>5250776</v>
      </c>
      <c r="K20" s="9">
        <v>0.625</v>
      </c>
      <c r="L20" s="9">
        <v>0</v>
      </c>
      <c r="M20" s="9">
        <v>0.70833333333333337</v>
      </c>
      <c r="N2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8.333333333333337E-2</v>
      </c>
      <c r="O20" s="30">
        <f>HOUR(Tabel1[[#This Row],[Total Hours]])+MINUTE(Tabel1[[#This Row],[Total Hours]])/60+SECOND(Tabel1[[#This Row],[Total Hours]])/3600</f>
        <v>2</v>
      </c>
      <c r="P20" s="6">
        <f>Tabel1[[#This Row],[End Time]]+(Tabel1[[#This Row],[End Time]]&lt;Tabel1[[#This Row],[Start time]])</f>
        <v>0.70833333333333337</v>
      </c>
      <c r="Q2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1" spans="1:17" x14ac:dyDescent="0.35">
      <c r="A21" s="32"/>
      <c r="B21" s="32">
        <f t="shared" si="0"/>
        <v>14</v>
      </c>
      <c r="C21" s="32" t="str">
        <f>IFERROR(VLOOKUP(Tabel1[[#This Row],[Model]],Tableau2[[Model]:[Parking Number]],2,FALSE)," ")</f>
        <v>TT32</v>
      </c>
      <c r="D21" s="35">
        <v>45519</v>
      </c>
      <c r="E21" s="32" t="str">
        <f>IF(Tabel1[[#This Row],[Model]]="", "",INDEX(Tableau2[Equipment Type],MATCH(Tabel1[[#This Row],[Model]],Tableau2[Model],0)))</f>
        <v>Tipper Truck</v>
      </c>
      <c r="F21" s="4" t="s">
        <v>53</v>
      </c>
      <c r="G21" s="4" t="str">
        <f>IF(Tabel1[[#This Row],[Model]]="", "",INDEX(Tableau2[Equipment],MATCH(Tabel1[[#This Row],[Model]],Tableau2[Model],0)))</f>
        <v>Tipper Truck 20m3 / F32</v>
      </c>
      <c r="H21" s="4" t="s">
        <v>165</v>
      </c>
      <c r="I21" s="10" t="s">
        <v>166</v>
      </c>
      <c r="J21" s="4">
        <v>5250776</v>
      </c>
      <c r="K21" s="9">
        <v>0.625</v>
      </c>
      <c r="L21" s="9">
        <v>0</v>
      </c>
      <c r="M21" s="9">
        <v>0.70833333333333337</v>
      </c>
      <c r="N2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8.333333333333337E-2</v>
      </c>
      <c r="O21" s="30">
        <f>HOUR(Tabel1[[#This Row],[Total Hours]])+MINUTE(Tabel1[[#This Row],[Total Hours]])/60+SECOND(Tabel1[[#This Row],[Total Hours]])/3600</f>
        <v>2</v>
      </c>
      <c r="P21" s="6">
        <f>Tabel1[[#This Row],[End Time]]+(Tabel1[[#This Row],[End Time]]&lt;Tabel1[[#This Row],[Start time]])</f>
        <v>0.70833333333333337</v>
      </c>
      <c r="Q2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2" spans="1:17" x14ac:dyDescent="0.35">
      <c r="A22" s="32"/>
      <c r="B22" s="32">
        <f t="shared" si="0"/>
        <v>15</v>
      </c>
      <c r="C22" s="32" t="str">
        <f>IFERROR(VLOOKUP(Tabel1[[#This Row],[Model]],Tableau2[[Model]:[Parking Number]],2,FALSE)," ")</f>
        <v>TT87</v>
      </c>
      <c r="D22" s="35">
        <v>45519</v>
      </c>
      <c r="E22" s="32" t="str">
        <f>IF(Tabel1[[#This Row],[Model]]="", "",INDEX(Tableau2[Equipment Type],MATCH(Tabel1[[#This Row],[Model]],Tableau2[Model],0)))</f>
        <v>Tipper Truck</v>
      </c>
      <c r="F22" s="4" t="s">
        <v>79</v>
      </c>
      <c r="G22" s="4" t="str">
        <f>IF(Tabel1[[#This Row],[Model]]="", "",INDEX(Tableau2[Equipment],MATCH(Tabel1[[#This Row],[Model]],Tableau2[Model],0)))</f>
        <v>Tipper Truck 20m3 / F87</v>
      </c>
      <c r="H22" s="4" t="s">
        <v>165</v>
      </c>
      <c r="I22" s="10" t="s">
        <v>166</v>
      </c>
      <c r="J22" s="4">
        <v>5250776</v>
      </c>
      <c r="K22" s="9">
        <v>0.625</v>
      </c>
      <c r="L22" s="9">
        <v>0</v>
      </c>
      <c r="M22" s="9">
        <v>0.70833333333333337</v>
      </c>
      <c r="N2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8.333333333333337E-2</v>
      </c>
      <c r="O22" s="30">
        <f>HOUR(Tabel1[[#This Row],[Total Hours]])+MINUTE(Tabel1[[#This Row],[Total Hours]])/60+SECOND(Tabel1[[#This Row],[Total Hours]])/3600</f>
        <v>2</v>
      </c>
      <c r="P22" s="6">
        <f>Tabel1[[#This Row],[End Time]]+(Tabel1[[#This Row],[End Time]]&lt;Tabel1[[#This Row],[Start time]])</f>
        <v>0.70833333333333337</v>
      </c>
      <c r="Q2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3" spans="1:17" x14ac:dyDescent="0.35">
      <c r="A23" s="32"/>
      <c r="B23" s="32">
        <f t="shared" si="0"/>
        <v>16</v>
      </c>
      <c r="C23" s="32" t="str">
        <f>IFERROR(VLOOKUP(Tabel1[[#This Row],[Model]],Tableau2[[Model]:[Parking Number]],2,FALSE)," ")</f>
        <v>TT39</v>
      </c>
      <c r="D23" s="35">
        <v>45519</v>
      </c>
      <c r="E23" s="32" t="str">
        <f>IF(Tabel1[[#This Row],[Model]]="", "",INDEX(Tableau2[Equipment Type],MATCH(Tabel1[[#This Row],[Model]],Tableau2[Model],0)))</f>
        <v>Tipper Truck</v>
      </c>
      <c r="F23" s="4" t="s">
        <v>55</v>
      </c>
      <c r="G23" s="4" t="str">
        <f>IF(Tabel1[[#This Row],[Model]]="", "",INDEX(Tableau2[Equipment],MATCH(Tabel1[[#This Row],[Model]],Tableau2[Model],0)))</f>
        <v>Tipper Truck 20m3 / F39</v>
      </c>
      <c r="H23" s="4" t="s">
        <v>165</v>
      </c>
      <c r="I23" s="10" t="s">
        <v>166</v>
      </c>
      <c r="J23" s="4">
        <v>5250776</v>
      </c>
      <c r="K23" s="9">
        <v>0.625</v>
      </c>
      <c r="L23" s="9">
        <v>0</v>
      </c>
      <c r="M23" s="9">
        <v>0.70833333333333337</v>
      </c>
      <c r="N2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8.333333333333337E-2</v>
      </c>
      <c r="O23" s="30">
        <f>HOUR(Tabel1[[#This Row],[Total Hours]])+MINUTE(Tabel1[[#This Row],[Total Hours]])/60+SECOND(Tabel1[[#This Row],[Total Hours]])/3600</f>
        <v>2</v>
      </c>
      <c r="P23" s="6">
        <f>Tabel1[[#This Row],[End Time]]+(Tabel1[[#This Row],[End Time]]&lt;Tabel1[[#This Row],[Start time]])</f>
        <v>0.70833333333333337</v>
      </c>
      <c r="Q2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4" spans="1:17" ht="29" x14ac:dyDescent="0.35">
      <c r="A24" s="32"/>
      <c r="B24" s="32">
        <f t="shared" si="0"/>
        <v>17</v>
      </c>
      <c r="C24" s="32" t="str">
        <f>IFERROR(VLOOKUP(Tabel1[[#This Row],[Model]],Tableau2[[Model]:[Parking Number]],2,FALSE)," ")</f>
        <v>FEL6</v>
      </c>
      <c r="D24" s="35">
        <v>45519</v>
      </c>
      <c r="E24" s="32" t="str">
        <f>IF(Tabel1[[#This Row],[Model]]="", "",INDEX(Tableau2[Equipment Type],MATCH(Tabel1[[#This Row],[Model]],Tableau2[Model],0)))</f>
        <v>Loader</v>
      </c>
      <c r="F24" s="4" t="s">
        <v>115</v>
      </c>
      <c r="G24" s="4" t="str">
        <f>IF(Tabel1[[#This Row],[Model]]="", "",INDEX(Tableau2[Equipment],MATCH(Tabel1[[#This Row],[Model]],Tableau2[Model],0)))</f>
        <v>CAT988</v>
      </c>
      <c r="H24" s="4" t="s">
        <v>167</v>
      </c>
      <c r="I24" s="10" t="s">
        <v>168</v>
      </c>
      <c r="J24" s="4">
        <v>5246686</v>
      </c>
      <c r="K24" s="9">
        <v>0.375</v>
      </c>
      <c r="L24" s="9">
        <v>0</v>
      </c>
      <c r="M24" s="9">
        <v>0.54166666666666663</v>
      </c>
      <c r="N2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0.16666666666666663</v>
      </c>
      <c r="O24" s="30">
        <f>HOUR(Tabel1[[#This Row],[Total Hours]])+MINUTE(Tabel1[[#This Row],[Total Hours]])/60+SECOND(Tabel1[[#This Row],[Total Hours]])/3600</f>
        <v>4</v>
      </c>
      <c r="P24" s="6">
        <f>Tabel1[[#This Row],[End Time]]+(Tabel1[[#This Row],[End Time]]&lt;Tabel1[[#This Row],[Start time]])</f>
        <v>0.54166666666666663</v>
      </c>
      <c r="Q2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5" spans="1:17" x14ac:dyDescent="0.35">
      <c r="A25" s="32"/>
      <c r="B25" s="32">
        <f t="shared" si="0"/>
        <v>18</v>
      </c>
      <c r="C25" s="32" t="str">
        <f>IFERROR(VLOOKUP(Tabel1[[#This Row],[Model]],Tableau2[[Model]:[Parking Number]],2,FALSE)," ")</f>
        <v>TT87</v>
      </c>
      <c r="D25" s="35">
        <v>45519</v>
      </c>
      <c r="E25" s="32" t="str">
        <f>IF(Tabel1[[#This Row],[Model]]="", "",INDEX(Tableau2[Equipment Type],MATCH(Tabel1[[#This Row],[Model]],Tableau2[Model],0)))</f>
        <v>Tipper Truck</v>
      </c>
      <c r="F25" s="4" t="s">
        <v>79</v>
      </c>
      <c r="G25" s="4" t="str">
        <f>IF(Tabel1[[#This Row],[Model]]="", "",INDEX(Tableau2[Equipment],MATCH(Tabel1[[#This Row],[Model]],Tableau2[Model],0)))</f>
        <v>Tipper Truck 20m3 / F87</v>
      </c>
      <c r="H25" s="4" t="s">
        <v>169</v>
      </c>
      <c r="I25" s="10" t="s">
        <v>170</v>
      </c>
      <c r="J25" s="4">
        <v>5249877</v>
      </c>
      <c r="K25" s="9">
        <v>0.79166666666666663</v>
      </c>
      <c r="L25" s="9">
        <v>0</v>
      </c>
      <c r="M25" s="9">
        <v>1</v>
      </c>
      <c r="N2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0.20833333333333337</v>
      </c>
      <c r="O25" s="30">
        <f>HOUR(Tabel1[[#This Row],[Total Hours]])+MINUTE(Tabel1[[#This Row],[Total Hours]])/60+SECOND(Tabel1[[#This Row],[Total Hours]])/3600</f>
        <v>5</v>
      </c>
      <c r="P25" s="6">
        <f>Tabel1[[#This Row],[End Time]]+(Tabel1[[#This Row],[End Time]]&lt;Tabel1[[#This Row],[Start time]])</f>
        <v>1</v>
      </c>
      <c r="Q2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6" spans="1:17" x14ac:dyDescent="0.35">
      <c r="A26" s="32"/>
      <c r="B26" s="32">
        <f t="shared" si="0"/>
        <v>19</v>
      </c>
      <c r="C26" s="32" t="str">
        <f>IFERROR(VLOOKUP(Tabel1[[#This Row],[Model]],Tableau2[[Model]:[Parking Number]],2,FALSE)," ")</f>
        <v>BL1</v>
      </c>
      <c r="D26" s="35">
        <v>45519</v>
      </c>
      <c r="E26" s="32" t="str">
        <f>IF(Tabel1[[#This Row],[Model]]="", "",INDEX(Tableau2[Equipment Type],MATCH(Tabel1[[#This Row],[Model]],Tableau2[Model],0)))</f>
        <v>Backhoe Loader</v>
      </c>
      <c r="F26" s="4" t="s">
        <v>76</v>
      </c>
      <c r="G26" s="4" t="str">
        <f>IF(Tabel1[[#This Row],[Model]]="", "",INDEX(Tableau2[Equipment],MATCH(Tabel1[[#This Row],[Model]],Tableau2[Model],0)))</f>
        <v>CAT432D</v>
      </c>
      <c r="H26" s="4" t="s">
        <v>169</v>
      </c>
      <c r="I26" s="10" t="s">
        <v>170</v>
      </c>
      <c r="J26" s="4">
        <v>5249877</v>
      </c>
      <c r="K26" s="9">
        <v>0.79166666666666663</v>
      </c>
      <c r="L26" s="9">
        <v>0</v>
      </c>
      <c r="M26" s="9">
        <v>0.125</v>
      </c>
      <c r="N2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23.333333333333332</v>
      </c>
      <c r="O26" s="30">
        <f>HOUR(Tabel1[[#This Row],[Total Hours]])+MINUTE(Tabel1[[#This Row],[Total Hours]])/60+SECOND(Tabel1[[#This Row],[Total Hours]])/3600</f>
        <v>8</v>
      </c>
      <c r="P26" s="6">
        <f>Tabel1[[#This Row],[End Time]]+(Tabel1[[#This Row],[End Time]]&lt;Tabel1[[#This Row],[Start time]])</f>
        <v>1.125</v>
      </c>
      <c r="Q2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7" spans="1:17" x14ac:dyDescent="0.35">
      <c r="A27" s="32"/>
      <c r="B27" s="32">
        <f t="shared" si="0"/>
        <v>20</v>
      </c>
      <c r="C27" s="32" t="str">
        <f>IFERROR(VLOOKUP(Tabel1[[#This Row],[Model]],Tableau2[[Model]:[Parking Number]],2,FALSE)," ")</f>
        <v>BL1</v>
      </c>
      <c r="D27" s="35">
        <v>45519</v>
      </c>
      <c r="E27" s="32" t="str">
        <f>IF(Tabel1[[#This Row],[Model]]="", "",INDEX(Tableau2[Equipment Type],MATCH(Tabel1[[#This Row],[Model]],Tableau2[Model],0)))</f>
        <v>Backhoe Loader</v>
      </c>
      <c r="F27" s="4" t="s">
        <v>76</v>
      </c>
      <c r="G27" s="4" t="str">
        <f>IF(Tabel1[[#This Row],[Model]]="", "",INDEX(Tableau2[Equipment],MATCH(Tabel1[[#This Row],[Model]],Tableau2[Model],0)))</f>
        <v>CAT432D</v>
      </c>
      <c r="H27" s="4" t="s">
        <v>171</v>
      </c>
      <c r="I27" s="10" t="s">
        <v>172</v>
      </c>
      <c r="J27" s="4">
        <v>5250657</v>
      </c>
      <c r="K27" s="9">
        <v>0.41666666666666669</v>
      </c>
      <c r="L27" s="9">
        <v>4.1666666666666664E-2</v>
      </c>
      <c r="M27" s="9">
        <v>0.625</v>
      </c>
      <c r="N2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0.16666666666666666</v>
      </c>
      <c r="O27" s="30">
        <f>HOUR(Tabel1[[#This Row],[Total Hours]])+MINUTE(Tabel1[[#This Row],[Total Hours]])/60+SECOND(Tabel1[[#This Row],[Total Hours]])/3600</f>
        <v>4</v>
      </c>
      <c r="P27" s="6">
        <f>Tabel1[[#This Row],[End Time]]+(Tabel1[[#This Row],[End Time]]&lt;Tabel1[[#This Row],[Start time]])</f>
        <v>0.625</v>
      </c>
      <c r="Q2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8" spans="1:17" x14ac:dyDescent="0.35">
      <c r="A28" s="32"/>
      <c r="B28" s="32">
        <f t="shared" si="0"/>
        <v>21</v>
      </c>
      <c r="C28" s="32" t="str">
        <f>IFERROR(VLOOKUP(Tabel1[[#This Row],[Model]],Tableau2[[Model]:[Parking Number]],2,FALSE)," ")</f>
        <v>LB1</v>
      </c>
      <c r="D28" s="35">
        <v>45519</v>
      </c>
      <c r="E28" s="32" t="str">
        <f>IF(Tabel1[[#This Row],[Model]]="", "",INDEX(Tableau2[Equipment Type],MATCH(Tabel1[[#This Row],[Model]],Tableau2[Model],0)))</f>
        <v>Lowbed</v>
      </c>
      <c r="F28" s="4" t="s">
        <v>71</v>
      </c>
      <c r="G28" s="4" t="str">
        <f>IF(Tabel1[[#This Row],[Model]]="", "",INDEX(Tableau2[Equipment],MATCH(Tabel1[[#This Row],[Model]],Tableau2[Model],0)))</f>
        <v>LB ACTROS 60T</v>
      </c>
      <c r="H28" s="4" t="s">
        <v>171</v>
      </c>
      <c r="I28" s="10" t="s">
        <v>172</v>
      </c>
      <c r="J28" s="4">
        <v>5250657</v>
      </c>
      <c r="K28" s="9">
        <v>0.375</v>
      </c>
      <c r="L28" s="9">
        <v>4.1666666666666664E-2</v>
      </c>
      <c r="M28" s="9">
        <v>0.66666666666666663</v>
      </c>
      <c r="N2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0.24999999999999997</v>
      </c>
      <c r="O28" s="30">
        <f>HOUR(Tabel1[[#This Row],[Total Hours]])+MINUTE(Tabel1[[#This Row],[Total Hours]])/60+SECOND(Tabel1[[#This Row],[Total Hours]])/3600</f>
        <v>6</v>
      </c>
      <c r="P28" s="6">
        <f>Tabel1[[#This Row],[End Time]]+(Tabel1[[#This Row],[End Time]]&lt;Tabel1[[#This Row],[Start time]])</f>
        <v>0.66666666666666663</v>
      </c>
      <c r="Q2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9" spans="1:17" x14ac:dyDescent="0.35">
      <c r="A29" s="32"/>
      <c r="B29" s="32">
        <f t="shared" si="0"/>
        <v>22</v>
      </c>
      <c r="C29" s="32" t="str">
        <f>IFERROR(VLOOKUP(Tabel1[[#This Row],[Model]],Tableau2[[Model]:[Parking Number]],2,FALSE)," ")</f>
        <v>WT1</v>
      </c>
      <c r="D29" s="35">
        <v>45520</v>
      </c>
      <c r="E29" s="32" t="str">
        <f>IF(Tabel1[[#This Row],[Model]]="", "",INDEX(Tableau2[Equipment Type],MATCH(Tabel1[[#This Row],[Model]],Tableau2[Model],0)))</f>
        <v>Water Truck</v>
      </c>
      <c r="F29" s="4" t="s">
        <v>47</v>
      </c>
      <c r="G29" s="4" t="str">
        <f>IF(Tabel1[[#This Row],[Model]]="", "",INDEX(Tableau2[Equipment],MATCH(Tabel1[[#This Row],[Model]],Tableau2[Model],0)))</f>
        <v>Water Truck 20T / 1924.1</v>
      </c>
      <c r="H29" s="4" t="s">
        <v>56</v>
      </c>
      <c r="I29" s="10" t="s">
        <v>57</v>
      </c>
      <c r="J29" s="4">
        <v>5239743</v>
      </c>
      <c r="K29" s="9">
        <v>0.33333333333333331</v>
      </c>
      <c r="L29" s="9">
        <v>0</v>
      </c>
      <c r="M29" s="9">
        <v>0.54166666666666663</v>
      </c>
      <c r="N2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0.20833333333333331</v>
      </c>
      <c r="O29" s="30">
        <f>HOUR(Tabel1[[#This Row],[Total Hours]])+MINUTE(Tabel1[[#This Row],[Total Hours]])/60+SECOND(Tabel1[[#This Row],[Total Hours]])/3600</f>
        <v>5</v>
      </c>
      <c r="P29" s="6">
        <f>Tabel1[[#This Row],[End Time]]+(Tabel1[[#This Row],[End Time]]&lt;Tabel1[[#This Row],[Start time]])</f>
        <v>0.54166666666666663</v>
      </c>
      <c r="Q2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30" spans="1:17" x14ac:dyDescent="0.35">
      <c r="A30" s="32"/>
      <c r="B30" s="32">
        <f t="shared" si="0"/>
        <v>23</v>
      </c>
      <c r="C30" s="32" t="str">
        <f>IFERROR(VLOOKUP(Tabel1[[#This Row],[Model]],Tableau2[[Model]:[Parking Number]],2,FALSE)," ")</f>
        <v>WT2</v>
      </c>
      <c r="D30" s="35">
        <v>45520</v>
      </c>
      <c r="E30" s="32" t="str">
        <f>IF(Tabel1[[#This Row],[Model]]="", "",INDEX(Tableau2[Equipment Type],MATCH(Tabel1[[#This Row],[Model]],Tableau2[Model],0)))</f>
        <v>Water Truck</v>
      </c>
      <c r="F30" s="4" t="s">
        <v>48</v>
      </c>
      <c r="G30" s="4" t="str">
        <f>IF(Tabel1[[#This Row],[Model]]="", "",INDEX(Tableau2[Equipment],MATCH(Tabel1[[#This Row],[Model]],Tableau2[Model],0)))</f>
        <v>Water Truck 20T / 1924.2</v>
      </c>
      <c r="H30" s="4" t="s">
        <v>56</v>
      </c>
      <c r="I30" s="10" t="s">
        <v>57</v>
      </c>
      <c r="J30" s="4">
        <v>5239743</v>
      </c>
      <c r="K30" s="9">
        <v>0.33333333333333331</v>
      </c>
      <c r="L30" s="9">
        <v>0</v>
      </c>
      <c r="M30" s="9">
        <v>0.54166666666666663</v>
      </c>
      <c r="N3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0.20833333333333331</v>
      </c>
      <c r="O30" s="30">
        <f>HOUR(Tabel1[[#This Row],[Total Hours]])+MINUTE(Tabel1[[#This Row],[Total Hours]])/60+SECOND(Tabel1[[#This Row],[Total Hours]])/3600</f>
        <v>5</v>
      </c>
      <c r="P30" s="6">
        <f>Tabel1[[#This Row],[End Time]]+(Tabel1[[#This Row],[End Time]]&lt;Tabel1[[#This Row],[Start time]])</f>
        <v>0.54166666666666663</v>
      </c>
      <c r="Q3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31" spans="1:17" x14ac:dyDescent="0.35">
      <c r="A31" s="32"/>
      <c r="B31" s="32">
        <f t="shared" si="0"/>
        <v>24</v>
      </c>
      <c r="C31" s="32" t="str">
        <f>IFERROR(VLOOKUP(Tabel1[[#This Row],[Model]],Tableau2[[Model]:[Parking Number]],2,FALSE)," ")</f>
        <v>WT3</v>
      </c>
      <c r="D31" s="35">
        <v>45520</v>
      </c>
      <c r="E31" s="32" t="str">
        <f>IF(Tabel1[[#This Row],[Model]]="", "",INDEX(Tableau2[Equipment Type],MATCH(Tabel1[[#This Row],[Model]],Tableau2[Model],0)))</f>
        <v>Water Truck</v>
      </c>
      <c r="F31" s="4" t="s">
        <v>49</v>
      </c>
      <c r="G31" s="4" t="str">
        <f>IF(Tabel1[[#This Row],[Model]]="", "",INDEX(Tableau2[Equipment],MATCH(Tabel1[[#This Row],[Model]],Tableau2[Model],0)))</f>
        <v>Water Truck 20T / 1924.3</v>
      </c>
      <c r="H31" s="4" t="s">
        <v>56</v>
      </c>
      <c r="I31" s="10" t="s">
        <v>57</v>
      </c>
      <c r="J31" s="4">
        <v>5239743</v>
      </c>
      <c r="K31" s="9">
        <v>0.33333333333333331</v>
      </c>
      <c r="L31" s="9">
        <v>0</v>
      </c>
      <c r="M31" s="9">
        <v>0.54166666666666663</v>
      </c>
      <c r="N3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0.20833333333333331</v>
      </c>
      <c r="O31" s="30">
        <f>HOUR(Tabel1[[#This Row],[Total Hours]])+MINUTE(Tabel1[[#This Row],[Total Hours]])/60+SECOND(Tabel1[[#This Row],[Total Hours]])/3600</f>
        <v>5</v>
      </c>
      <c r="P31" s="6">
        <f>Tabel1[[#This Row],[End Time]]+(Tabel1[[#This Row],[End Time]]&lt;Tabel1[[#This Row],[Start time]])</f>
        <v>0.54166666666666663</v>
      </c>
      <c r="Q3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32" spans="1:17" x14ac:dyDescent="0.35">
      <c r="A32" s="32"/>
      <c r="B32" s="32">
        <f t="shared" si="0"/>
        <v>25</v>
      </c>
      <c r="C32" s="32" t="str">
        <f>IFERROR(VLOOKUP(Tabel1[[#This Row],[Model]],Tableau2[[Model]:[Parking Number]],2,FALSE)," ")</f>
        <v>WT9</v>
      </c>
      <c r="D32" s="35">
        <v>45520</v>
      </c>
      <c r="E32" s="32" t="str">
        <f>IF(Tabel1[[#This Row],[Model]]="", "",INDEX(Tableau2[Equipment Type],MATCH(Tabel1[[#This Row],[Model]],Tableau2[Model],0)))</f>
        <v>Water Truck</v>
      </c>
      <c r="F32" s="4" t="s">
        <v>50</v>
      </c>
      <c r="G32" s="4" t="str">
        <f>IF(Tabel1[[#This Row],[Model]]="", "",INDEX(Tableau2[Equipment],MATCH(Tabel1[[#This Row],[Model]],Tableau2[Model],0)))</f>
        <v>Water Truck 20T / WT09</v>
      </c>
      <c r="H32" s="4" t="s">
        <v>56</v>
      </c>
      <c r="I32" s="10" t="s">
        <v>57</v>
      </c>
      <c r="J32" s="4">
        <v>5239743</v>
      </c>
      <c r="K32" s="9">
        <v>0.33333333333333331</v>
      </c>
      <c r="L32" s="9">
        <v>0</v>
      </c>
      <c r="M32" s="9">
        <v>0.54166666666666663</v>
      </c>
      <c r="N3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0.20833333333333331</v>
      </c>
      <c r="O32" s="30">
        <f>HOUR(Tabel1[[#This Row],[Total Hours]])+MINUTE(Tabel1[[#This Row],[Total Hours]])/60+SECOND(Tabel1[[#This Row],[Total Hours]])/3600</f>
        <v>5</v>
      </c>
      <c r="P32" s="6">
        <f>Tabel1[[#This Row],[End Time]]+(Tabel1[[#This Row],[End Time]]&lt;Tabel1[[#This Row],[Start time]])</f>
        <v>0.54166666666666663</v>
      </c>
      <c r="Q3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33" spans="1:17" x14ac:dyDescent="0.35">
      <c r="A33" s="32"/>
      <c r="B33" s="32">
        <f t="shared" si="0"/>
        <v>26</v>
      </c>
      <c r="C33" s="32" t="str">
        <f>IFERROR(VLOOKUP(Tabel1[[#This Row],[Model]],Tableau2[[Model]:[Parking Number]],2,FALSE)," ")</f>
        <v>GR1</v>
      </c>
      <c r="D33" s="35">
        <v>45520</v>
      </c>
      <c r="E33" s="32" t="str">
        <f>IF(Tabel1[[#This Row],[Model]]="", "",INDEX(Tableau2[Equipment Type],MATCH(Tabel1[[#This Row],[Model]],Tableau2[Model],0)))</f>
        <v>Grader</v>
      </c>
      <c r="F33" s="4" t="s">
        <v>63</v>
      </c>
      <c r="G33" s="4" t="str">
        <f>IF(Tabel1[[#This Row],[Model]]="", "",INDEX(Tableau2[Equipment],MATCH(Tabel1[[#This Row],[Model]],Tableau2[Model],0)))</f>
        <v>CAT12K.1</v>
      </c>
      <c r="H33" s="4" t="s">
        <v>56</v>
      </c>
      <c r="I33" s="10" t="s">
        <v>57</v>
      </c>
      <c r="J33" s="4">
        <v>5239743</v>
      </c>
      <c r="K33" s="9">
        <v>0.33333333333333331</v>
      </c>
      <c r="L33" s="9">
        <v>0</v>
      </c>
      <c r="M33" s="9">
        <v>0.54166666666666663</v>
      </c>
      <c r="N3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0.20833333333333331</v>
      </c>
      <c r="O33" s="30">
        <f>HOUR(Tabel1[[#This Row],[Total Hours]])+MINUTE(Tabel1[[#This Row],[Total Hours]])/60+SECOND(Tabel1[[#This Row],[Total Hours]])/3600</f>
        <v>5</v>
      </c>
      <c r="P33" s="6">
        <f>Tabel1[[#This Row],[End Time]]+(Tabel1[[#This Row],[End Time]]&lt;Tabel1[[#This Row],[Start time]])</f>
        <v>0.54166666666666663</v>
      </c>
      <c r="Q3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34" spans="1:17" x14ac:dyDescent="0.35">
      <c r="A34" s="32"/>
      <c r="B34" s="32">
        <f t="shared" si="0"/>
        <v>27</v>
      </c>
      <c r="C34" s="32" t="str">
        <f>IFERROR(VLOOKUP(Tabel1[[#This Row],[Model]],Tableau2[[Model]:[Parking Number]],2,FALSE)," ")</f>
        <v>GR2</v>
      </c>
      <c r="D34" s="35">
        <v>45520</v>
      </c>
      <c r="E34" s="32" t="str">
        <f>IF(Tabel1[[#This Row],[Model]]="", "",INDEX(Tableau2[Equipment Type],MATCH(Tabel1[[#This Row],[Model]],Tableau2[Model],0)))</f>
        <v>Grader</v>
      </c>
      <c r="F34" s="4" t="s">
        <v>39</v>
      </c>
      <c r="G34" s="4" t="str">
        <f>IF(Tabel1[[#This Row],[Model]]="", "",INDEX(Tableau2[Equipment],MATCH(Tabel1[[#This Row],[Model]],Tableau2[Model],0)))</f>
        <v>CAT12K.2</v>
      </c>
      <c r="H34" s="4" t="s">
        <v>56</v>
      </c>
      <c r="I34" s="10" t="s">
        <v>57</v>
      </c>
      <c r="J34" s="4">
        <v>5239743</v>
      </c>
      <c r="K34" s="9">
        <v>0.33333333333333331</v>
      </c>
      <c r="L34" s="9">
        <v>0</v>
      </c>
      <c r="M34" s="9">
        <v>0.54166666666666663</v>
      </c>
      <c r="N3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0.20833333333333331</v>
      </c>
      <c r="O34" s="30">
        <f>HOUR(Tabel1[[#This Row],[Total Hours]])+MINUTE(Tabel1[[#This Row],[Total Hours]])/60+SECOND(Tabel1[[#This Row],[Total Hours]])/3600</f>
        <v>5</v>
      </c>
      <c r="P34" s="6">
        <f>Tabel1[[#This Row],[End Time]]+(Tabel1[[#This Row],[End Time]]&lt;Tabel1[[#This Row],[Start time]])</f>
        <v>0.54166666666666663</v>
      </c>
      <c r="Q3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35" spans="1:17" x14ac:dyDescent="0.35">
      <c r="A35" s="32"/>
      <c r="B35" s="32">
        <f t="shared" si="0"/>
        <v>28</v>
      </c>
      <c r="C35" s="32" t="str">
        <f>IFERROR(VLOOKUP(Tabel1[[#This Row],[Model]],Tableau2[[Model]:[Parking Number]],2,FALSE)," ")</f>
        <v>FEL4</v>
      </c>
      <c r="D35" s="35">
        <v>45520</v>
      </c>
      <c r="E35" s="32" t="str">
        <f>IF(Tabel1[[#This Row],[Model]]="", "",INDEX(Tableau2[Equipment Type],MATCH(Tabel1[[#This Row],[Model]],Tableau2[Model],0)))</f>
        <v>Loader</v>
      </c>
      <c r="F35" s="4" t="s">
        <v>40</v>
      </c>
      <c r="G35" s="4" t="str">
        <f>IF(Tabel1[[#This Row],[Model]]="", "",INDEX(Tableau2[Equipment],MATCH(Tabel1[[#This Row],[Model]],Tableau2[Model],0)))</f>
        <v>Cat972G.2</v>
      </c>
      <c r="H35" s="4" t="s">
        <v>56</v>
      </c>
      <c r="I35" s="10" t="s">
        <v>57</v>
      </c>
      <c r="J35" s="4">
        <v>5239743</v>
      </c>
      <c r="K35" s="9">
        <v>0.33333333333333331</v>
      </c>
      <c r="L35" s="9">
        <v>0</v>
      </c>
      <c r="M35" s="9">
        <v>0.54166666666666663</v>
      </c>
      <c r="N3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0.20833333333333331</v>
      </c>
      <c r="O35" s="30">
        <f>HOUR(Tabel1[[#This Row],[Total Hours]])+MINUTE(Tabel1[[#This Row],[Total Hours]])/60+SECOND(Tabel1[[#This Row],[Total Hours]])/3600</f>
        <v>5</v>
      </c>
      <c r="P35" s="6">
        <f>Tabel1[[#This Row],[End Time]]+(Tabel1[[#This Row],[End Time]]&lt;Tabel1[[#This Row],[Start time]])</f>
        <v>0.54166666666666663</v>
      </c>
      <c r="Q3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36" spans="1:17" x14ac:dyDescent="0.35">
      <c r="A36" s="32"/>
      <c r="B36" s="32">
        <f t="shared" si="0"/>
        <v>29</v>
      </c>
      <c r="C36" s="32" t="str">
        <f>IFERROR(VLOOKUP(Tabel1[[#This Row],[Model]],Tableau2[[Model]:[Parking Number]],2,FALSE)," ")</f>
        <v>TD1</v>
      </c>
      <c r="D36" s="35">
        <v>45520</v>
      </c>
      <c r="E36" s="32" t="str">
        <f>IF(Tabel1[[#This Row],[Model]]="", "",INDEX(Tableau2[Equipment Type],MATCH(Tabel1[[#This Row],[Model]],Tableau2[Model],0)))</f>
        <v>Bulldozer</v>
      </c>
      <c r="F36" s="4" t="s">
        <v>70</v>
      </c>
      <c r="G36" s="4" t="str">
        <f>IF(Tabel1[[#This Row],[Model]]="", "",INDEX(Tableau2[Equipment],MATCH(Tabel1[[#This Row],[Model]],Tableau2[Model],0)))</f>
        <v>CATD8R.1</v>
      </c>
      <c r="H36" s="4" t="s">
        <v>56</v>
      </c>
      <c r="I36" s="10" t="s">
        <v>161</v>
      </c>
      <c r="J36" s="4">
        <v>5092509</v>
      </c>
      <c r="K36" s="9">
        <v>0.33333333333333331</v>
      </c>
      <c r="L36" s="9">
        <v>4.1666666666666664E-2</v>
      </c>
      <c r="M36" s="9">
        <v>0.54166666666666663</v>
      </c>
      <c r="N3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0.16666666666666666</v>
      </c>
      <c r="O36" s="30">
        <f>HOUR(Tabel1[[#This Row],[Total Hours]])+MINUTE(Tabel1[[#This Row],[Total Hours]])/60+SECOND(Tabel1[[#This Row],[Total Hours]])/3600</f>
        <v>4</v>
      </c>
      <c r="P36" s="6">
        <f>Tabel1[[#This Row],[End Time]]+(Tabel1[[#This Row],[End Time]]&lt;Tabel1[[#This Row],[Start time]])</f>
        <v>0.54166666666666663</v>
      </c>
      <c r="Q3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37" spans="1:17" x14ac:dyDescent="0.35">
      <c r="A37" s="32"/>
      <c r="B37" s="32">
        <f t="shared" si="0"/>
        <v>30</v>
      </c>
      <c r="C37" s="32" t="str">
        <f>IFERROR(VLOOKUP(Tabel1[[#This Row],[Model]],Tableau2[[Model]:[Parking Number]],2,FALSE)," ")</f>
        <v>FEL1</v>
      </c>
      <c r="D37" s="35">
        <v>45520</v>
      </c>
      <c r="E37" s="32" t="str">
        <f>IF(Tabel1[[#This Row],[Model]]="", "",INDEX(Tableau2[Equipment Type],MATCH(Tabel1[[#This Row],[Model]],Tableau2[Model],0)))</f>
        <v>Loader</v>
      </c>
      <c r="F37" s="4" t="s">
        <v>46</v>
      </c>
      <c r="G37" s="4" t="str">
        <f>IF(Tabel1[[#This Row],[Model]]="", "",INDEX(Tableau2[Equipment],MATCH(Tabel1[[#This Row],[Model]],Tableau2[Model],0)))</f>
        <v>Cat966H.1</v>
      </c>
      <c r="H37" s="4" t="s">
        <v>66</v>
      </c>
      <c r="I37" s="10" t="s">
        <v>162</v>
      </c>
      <c r="J37" s="4">
        <v>5198487</v>
      </c>
      <c r="K37" s="9">
        <v>0.29166666666666669</v>
      </c>
      <c r="L37" s="9">
        <v>4.1666666666666664E-2</v>
      </c>
      <c r="M37" s="9">
        <v>0.79166666666666663</v>
      </c>
      <c r="N3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37" s="30">
        <f>HOUR(Tabel1[[#This Row],[Total Hours]])+MINUTE(Tabel1[[#This Row],[Total Hours]])/60+SECOND(Tabel1[[#This Row],[Total Hours]])/3600</f>
        <v>11</v>
      </c>
      <c r="P37" s="6">
        <f>Tabel1[[#This Row],[End Time]]+(Tabel1[[#This Row],[End Time]]&lt;Tabel1[[#This Row],[Start time]])</f>
        <v>0.79166666666666663</v>
      </c>
      <c r="Q3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38" spans="1:17" x14ac:dyDescent="0.35">
      <c r="A38" s="32"/>
      <c r="B38" s="32">
        <f t="shared" si="0"/>
        <v>31</v>
      </c>
      <c r="C38" s="32" t="str">
        <f>IFERROR(VLOOKUP(Tabel1[[#This Row],[Model]],Tableau2[[Model]:[Parking Number]],2,FALSE)," ")</f>
        <v>FEL1</v>
      </c>
      <c r="D38" s="35">
        <v>45520</v>
      </c>
      <c r="E38" s="32" t="str">
        <f>IF(Tabel1[[#This Row],[Model]]="", "",INDEX(Tableau2[Equipment Type],MATCH(Tabel1[[#This Row],[Model]],Tableau2[Model],0)))</f>
        <v>Loader</v>
      </c>
      <c r="F38" s="4" t="s">
        <v>46</v>
      </c>
      <c r="G38" s="4" t="str">
        <f>IF(Tabel1[[#This Row],[Model]]="", "",INDEX(Tableau2[Equipment],MATCH(Tabel1[[#This Row],[Model]],Tableau2[Model],0)))</f>
        <v>Cat966H.1</v>
      </c>
      <c r="H38" s="4" t="s">
        <v>66</v>
      </c>
      <c r="I38" s="10" t="s">
        <v>162</v>
      </c>
      <c r="J38" s="4">
        <v>5198487</v>
      </c>
      <c r="K38" s="9">
        <v>0.79166666666666663</v>
      </c>
      <c r="L38" s="9">
        <v>0</v>
      </c>
      <c r="M38" s="9">
        <v>0.20833333333333334</v>
      </c>
      <c r="N3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23.416666666666664</v>
      </c>
      <c r="O38" s="30">
        <f>HOUR(Tabel1[[#This Row],[Total Hours]])+MINUTE(Tabel1[[#This Row],[Total Hours]])/60+SECOND(Tabel1[[#This Row],[Total Hours]])/3600</f>
        <v>10</v>
      </c>
      <c r="P38" s="6">
        <f>Tabel1[[#This Row],[End Time]]+(Tabel1[[#This Row],[End Time]]&lt;Tabel1[[#This Row],[Start time]])</f>
        <v>1.2083333333333333</v>
      </c>
      <c r="Q3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39" spans="1:17" x14ac:dyDescent="0.35">
      <c r="A39" s="32"/>
      <c r="B39" s="32">
        <f t="shared" si="0"/>
        <v>32</v>
      </c>
      <c r="C39" s="32" t="str">
        <f>IFERROR(VLOOKUP(Tabel1[[#This Row],[Model]],Tableau2[[Model]:[Parking Number]],2,FALSE)," ")</f>
        <v>TT17</v>
      </c>
      <c r="D39" s="35">
        <v>45520</v>
      </c>
      <c r="E39" s="32" t="str">
        <f>IF(Tabel1[[#This Row],[Model]]="", "",INDEX(Tableau2[Equipment Type],MATCH(Tabel1[[#This Row],[Model]],Tableau2[Model],0)))</f>
        <v>Tipper Truck</v>
      </c>
      <c r="F39" s="4" t="s">
        <v>51</v>
      </c>
      <c r="G39" s="4" t="str">
        <f>IF(Tabel1[[#This Row],[Model]]="", "",INDEX(Tableau2[Equipment],MATCH(Tabel1[[#This Row],[Model]],Tableau2[Model],0)))</f>
        <v>Tipper Truck 20m3 / F17</v>
      </c>
      <c r="H39" s="4" t="s">
        <v>66</v>
      </c>
      <c r="I39" s="10" t="s">
        <v>162</v>
      </c>
      <c r="J39" s="4">
        <v>5198487</v>
      </c>
      <c r="K39" s="9">
        <v>0.29166666666666669</v>
      </c>
      <c r="L39" s="9">
        <v>4.1666666666666664E-2</v>
      </c>
      <c r="M39" s="9">
        <v>0.79166666666666663</v>
      </c>
      <c r="N3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39" s="30">
        <f>HOUR(Tabel1[[#This Row],[Total Hours]])+MINUTE(Tabel1[[#This Row],[Total Hours]])/60+SECOND(Tabel1[[#This Row],[Total Hours]])/3600</f>
        <v>11</v>
      </c>
      <c r="P39" s="6">
        <f>Tabel1[[#This Row],[End Time]]+(Tabel1[[#This Row],[End Time]]&lt;Tabel1[[#This Row],[Start time]])</f>
        <v>0.79166666666666663</v>
      </c>
      <c r="Q3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40" spans="1:17" x14ac:dyDescent="0.35">
      <c r="A40" s="32"/>
      <c r="B40" s="32">
        <f t="shared" si="0"/>
        <v>33</v>
      </c>
      <c r="C40" s="32" t="str">
        <f>IFERROR(VLOOKUP(Tabel1[[#This Row],[Model]],Tableau2[[Model]:[Parking Number]],2,FALSE)," ")</f>
        <v>WT8</v>
      </c>
      <c r="D40" s="35">
        <v>45520</v>
      </c>
      <c r="E40" s="32" t="str">
        <f>IF(Tabel1[[#This Row],[Model]]="", "",INDEX(Tableau2[Equipment Type],MATCH(Tabel1[[#This Row],[Model]],Tableau2[Model],0)))</f>
        <v>Water Truck</v>
      </c>
      <c r="F40" s="4" t="s">
        <v>52</v>
      </c>
      <c r="G40" s="4" t="str">
        <f>IF(Tabel1[[#This Row],[Model]]="", "",INDEX(Tableau2[Equipment],MATCH(Tabel1[[#This Row],[Model]],Tableau2[Model],0)))</f>
        <v>Water Truck 20T / WT08</v>
      </c>
      <c r="H40" s="4" t="s">
        <v>163</v>
      </c>
      <c r="I40" s="10" t="s">
        <v>164</v>
      </c>
      <c r="J40" s="4">
        <v>5253778</v>
      </c>
      <c r="K40" s="9">
        <v>0.29166666666666669</v>
      </c>
      <c r="L40" s="9">
        <v>0</v>
      </c>
      <c r="M40" s="9">
        <v>0.54166666666666663</v>
      </c>
      <c r="N4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0.24999999999999994</v>
      </c>
      <c r="O40" s="30">
        <f>HOUR(Tabel1[[#This Row],[Total Hours]])+MINUTE(Tabel1[[#This Row],[Total Hours]])/60+SECOND(Tabel1[[#This Row],[Total Hours]])/3600</f>
        <v>6</v>
      </c>
      <c r="P40" s="6">
        <f>Tabel1[[#This Row],[End Time]]+(Tabel1[[#This Row],[End Time]]&lt;Tabel1[[#This Row],[Start time]])</f>
        <v>0.54166666666666663</v>
      </c>
      <c r="Q4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41" spans="1:17" ht="29" x14ac:dyDescent="0.35">
      <c r="A41" s="32"/>
      <c r="B41" s="32">
        <f t="shared" si="0"/>
        <v>34</v>
      </c>
      <c r="C41" s="32" t="str">
        <f>IFERROR(VLOOKUP(Tabel1[[#This Row],[Model]],Tableau2[[Model]:[Parking Number]],2,FALSE)," ")</f>
        <v>LB2</v>
      </c>
      <c r="D41" s="35">
        <v>45520</v>
      </c>
      <c r="E41" s="32" t="str">
        <f>IF(Tabel1[[#This Row],[Model]]="", "",INDEX(Tableau2[Equipment Type],MATCH(Tabel1[[#This Row],[Model]],Tableau2[Model],0)))</f>
        <v>Lowbed</v>
      </c>
      <c r="F41" s="4" t="s">
        <v>64</v>
      </c>
      <c r="G41" s="4" t="str">
        <f>IF(Tabel1[[#This Row],[Model]]="", "",INDEX(Tableau2[Equipment],MATCH(Tabel1[[#This Row],[Model]],Tableau2[Model],0)))</f>
        <v>LB Man 100T</v>
      </c>
      <c r="H41" s="4" t="s">
        <v>167</v>
      </c>
      <c r="I41" s="10" t="s">
        <v>168</v>
      </c>
      <c r="J41" s="4">
        <v>5246686</v>
      </c>
      <c r="K41" s="9">
        <v>0.66666666666666663</v>
      </c>
      <c r="L41" s="9">
        <v>0</v>
      </c>
      <c r="M41" s="9">
        <v>0.83333333333333337</v>
      </c>
      <c r="N4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0.16666666666666674</v>
      </c>
      <c r="O41" s="30">
        <f>HOUR(Tabel1[[#This Row],[Total Hours]])+MINUTE(Tabel1[[#This Row],[Total Hours]])/60+SECOND(Tabel1[[#This Row],[Total Hours]])/3600</f>
        <v>4</v>
      </c>
      <c r="P41" s="6">
        <f>Tabel1[[#This Row],[End Time]]+(Tabel1[[#This Row],[End Time]]&lt;Tabel1[[#This Row],[Start time]])</f>
        <v>0.83333333333333337</v>
      </c>
      <c r="Q4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42" spans="1:17" x14ac:dyDescent="0.35">
      <c r="A42" s="32"/>
      <c r="B42" s="32">
        <f t="shared" si="0"/>
        <v>35</v>
      </c>
      <c r="C42" s="32" t="str">
        <f>IFERROR(VLOOKUP(Tabel1[[#This Row],[Model]],Tableau2[[Model]:[Parking Number]],2,FALSE)," ")</f>
        <v>BL1</v>
      </c>
      <c r="D42" s="35">
        <v>45520</v>
      </c>
      <c r="E42" s="32" t="str">
        <f>IF(Tabel1[[#This Row],[Model]]="", "",INDEX(Tableau2[Equipment Type],MATCH(Tabel1[[#This Row],[Model]],Tableau2[Model],0)))</f>
        <v>Backhoe Loader</v>
      </c>
      <c r="F42" s="4" t="s">
        <v>76</v>
      </c>
      <c r="G42" s="4" t="str">
        <f>IF(Tabel1[[#This Row],[Model]]="", "",INDEX(Tableau2[Equipment],MATCH(Tabel1[[#This Row],[Model]],Tableau2[Model],0)))</f>
        <v>CAT432D</v>
      </c>
      <c r="H42" s="4" t="s">
        <v>173</v>
      </c>
      <c r="I42" s="10" t="s">
        <v>174</v>
      </c>
      <c r="J42" s="4">
        <v>5246410</v>
      </c>
      <c r="K42" s="9">
        <v>0.83333333333333337</v>
      </c>
      <c r="L42" s="9">
        <v>0</v>
      </c>
      <c r="M42" s="9">
        <v>0.95833333333333337</v>
      </c>
      <c r="N4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0.125</v>
      </c>
      <c r="O42" s="30">
        <f>HOUR(Tabel1[[#This Row],[Total Hours]])+MINUTE(Tabel1[[#This Row],[Total Hours]])/60+SECOND(Tabel1[[#This Row],[Total Hours]])/3600</f>
        <v>3</v>
      </c>
      <c r="P42" s="6">
        <f>Tabel1[[#This Row],[End Time]]+(Tabel1[[#This Row],[End Time]]&lt;Tabel1[[#This Row],[Start time]])</f>
        <v>0.95833333333333337</v>
      </c>
      <c r="Q4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43" spans="1:17" x14ac:dyDescent="0.35">
      <c r="A43" s="32"/>
      <c r="B43" s="32">
        <f t="shared" si="0"/>
        <v>36</v>
      </c>
      <c r="C43" s="32" t="str">
        <f>IFERROR(VLOOKUP(Tabel1[[#This Row],[Model]],Tableau2[[Model]:[Parking Number]],2,FALSE)," ")</f>
        <v>TT87</v>
      </c>
      <c r="D43" s="35">
        <v>45520</v>
      </c>
      <c r="E43" s="32" t="str">
        <f>IF(Tabel1[[#This Row],[Model]]="", "",INDEX(Tableau2[Equipment Type],MATCH(Tabel1[[#This Row],[Model]],Tableau2[Model],0)))</f>
        <v>Tipper Truck</v>
      </c>
      <c r="F43" s="4" t="s">
        <v>79</v>
      </c>
      <c r="G43" s="4" t="str">
        <f>IF(Tabel1[[#This Row],[Model]]="", "",INDEX(Tableau2[Equipment],MATCH(Tabel1[[#This Row],[Model]],Tableau2[Model],0)))</f>
        <v>Tipper Truck 20m3 / F87</v>
      </c>
      <c r="H43" s="4" t="s">
        <v>173</v>
      </c>
      <c r="I43" s="10" t="s">
        <v>174</v>
      </c>
      <c r="J43" s="4">
        <v>5246410</v>
      </c>
      <c r="K43" s="9">
        <v>0.875</v>
      </c>
      <c r="L43" s="9">
        <v>0</v>
      </c>
      <c r="M43" s="9">
        <v>4.1666666666666664E-2</v>
      </c>
      <c r="N4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23.166666666666668</v>
      </c>
      <c r="O43" s="30">
        <f>HOUR(Tabel1[[#This Row],[Total Hours]])+MINUTE(Tabel1[[#This Row],[Total Hours]])/60+SECOND(Tabel1[[#This Row],[Total Hours]])/3600</f>
        <v>4</v>
      </c>
      <c r="P43" s="6">
        <f>Tabel1[[#This Row],[End Time]]+(Tabel1[[#This Row],[End Time]]&lt;Tabel1[[#This Row],[Start time]])</f>
        <v>1.0416666666666667</v>
      </c>
      <c r="Q4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44" spans="1:17" x14ac:dyDescent="0.35">
      <c r="A44" s="32"/>
      <c r="B44" s="32">
        <f t="shared" si="0"/>
        <v>37</v>
      </c>
      <c r="C44" s="32" t="str">
        <f>IFERROR(VLOOKUP(Tabel1[[#This Row],[Model]],Tableau2[[Model]:[Parking Number]],2,FALSE)," ")</f>
        <v>EX3</v>
      </c>
      <c r="D44" s="35">
        <v>45520</v>
      </c>
      <c r="E44" s="32" t="str">
        <f>IF(Tabel1[[#This Row],[Model]]="", "",INDEX(Tableau2[Equipment Type],MATCH(Tabel1[[#This Row],[Model]],Tableau2[Model],0)))</f>
        <v>Excavator</v>
      </c>
      <c r="F44" s="4" t="s">
        <v>86</v>
      </c>
      <c r="G44" s="4" t="str">
        <f>IF(Tabel1[[#This Row],[Model]]="", "",INDEX(Tableau2[Equipment],MATCH(Tabel1[[#This Row],[Model]],Tableau2[Model],0)))</f>
        <v>CAT323D.1</v>
      </c>
      <c r="H44" s="4" t="s">
        <v>175</v>
      </c>
      <c r="I44" s="10"/>
      <c r="K44" s="9">
        <v>0.41666666666666669</v>
      </c>
      <c r="L44" s="9">
        <v>4.1666666666666664E-2</v>
      </c>
      <c r="M44" s="9">
        <v>0.58333333333333337</v>
      </c>
      <c r="N4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0.12500000000000003</v>
      </c>
      <c r="O44" s="30">
        <f>HOUR(Tabel1[[#This Row],[Total Hours]])+MINUTE(Tabel1[[#This Row],[Total Hours]])/60+SECOND(Tabel1[[#This Row],[Total Hours]])/3600</f>
        <v>3</v>
      </c>
      <c r="P44" s="6">
        <f>Tabel1[[#This Row],[End Time]]+(Tabel1[[#This Row],[End Time]]&lt;Tabel1[[#This Row],[Start time]])</f>
        <v>0.58333333333333337</v>
      </c>
      <c r="Q4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45" spans="1:17" x14ac:dyDescent="0.35">
      <c r="A45" s="32"/>
      <c r="B45" s="32">
        <f t="shared" si="0"/>
        <v>38</v>
      </c>
      <c r="C45" s="32" t="str">
        <f>IFERROR(VLOOKUP(Tabel1[[#This Row],[Model]],Tableau2[[Model]:[Parking Number]],2,FALSE)," ")</f>
        <v>LB1</v>
      </c>
      <c r="D45" s="35">
        <v>45520</v>
      </c>
      <c r="E45" s="32" t="str">
        <f>IF(Tabel1[[#This Row],[Model]]="", "",INDEX(Tableau2[Equipment Type],MATCH(Tabel1[[#This Row],[Model]],Tableau2[Model],0)))</f>
        <v>Lowbed</v>
      </c>
      <c r="F45" s="4" t="s">
        <v>71</v>
      </c>
      <c r="G45" s="4" t="str">
        <f>IF(Tabel1[[#This Row],[Model]]="", "",INDEX(Tableau2[Equipment],MATCH(Tabel1[[#This Row],[Model]],Tableau2[Model],0)))</f>
        <v>LB ACTROS 60T</v>
      </c>
      <c r="H45" s="4" t="s">
        <v>175</v>
      </c>
      <c r="I45" s="10"/>
      <c r="K45" s="9">
        <v>0.33333333333333331</v>
      </c>
      <c r="L45" s="9">
        <v>4.1666666666666664E-2</v>
      </c>
      <c r="M45" s="9">
        <v>0.66666666666666663</v>
      </c>
      <c r="N4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0.29166666666666663</v>
      </c>
      <c r="O45" s="30">
        <f>HOUR(Tabel1[[#This Row],[Total Hours]])+MINUTE(Tabel1[[#This Row],[Total Hours]])/60+SECOND(Tabel1[[#This Row],[Total Hours]])/3600</f>
        <v>7</v>
      </c>
      <c r="P45" s="6">
        <f>Tabel1[[#This Row],[End Time]]+(Tabel1[[#This Row],[End Time]]&lt;Tabel1[[#This Row],[Start time]])</f>
        <v>0.66666666666666663</v>
      </c>
      <c r="Q4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46" spans="1:17" x14ac:dyDescent="0.35">
      <c r="A46" s="32"/>
      <c r="B46" s="32">
        <f t="shared" si="0"/>
        <v>39</v>
      </c>
      <c r="C46" s="32" t="str">
        <f>IFERROR(VLOOKUP(Tabel1[[#This Row],[Model]],Tableau2[[Model]:[Parking Number]],2,FALSE)," ")</f>
        <v>WT1</v>
      </c>
      <c r="D46" s="35">
        <v>45521</v>
      </c>
      <c r="E46" s="32" t="str">
        <f>IF(Tabel1[[#This Row],[Model]]="", "",INDEX(Tableau2[Equipment Type],MATCH(Tabel1[[#This Row],[Model]],Tableau2[Model],0)))</f>
        <v>Water Truck</v>
      </c>
      <c r="F46" s="4" t="s">
        <v>47</v>
      </c>
      <c r="G46" s="4" t="str">
        <f>IF(Tabel1[[#This Row],[Model]]="", "",INDEX(Tableau2[Equipment],MATCH(Tabel1[[#This Row],[Model]],Tableau2[Model],0)))</f>
        <v>Water Truck 20T / 1924.1</v>
      </c>
      <c r="H46" s="4" t="s">
        <v>56</v>
      </c>
      <c r="I46" s="10" t="s">
        <v>57</v>
      </c>
      <c r="J46" s="4">
        <v>5246135</v>
      </c>
      <c r="K46" s="9">
        <v>0.33333333333333331</v>
      </c>
      <c r="L46" s="9">
        <v>4.1666666666666664E-2</v>
      </c>
      <c r="M46" s="9">
        <v>0.70833333333333337</v>
      </c>
      <c r="N4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46" s="30">
        <f>HOUR(Tabel1[[#This Row],[Total Hours]])+MINUTE(Tabel1[[#This Row],[Total Hours]])/60+SECOND(Tabel1[[#This Row],[Total Hours]])/3600</f>
        <v>8</v>
      </c>
      <c r="P46" s="6">
        <f>Tabel1[[#This Row],[End Time]]+(Tabel1[[#This Row],[End Time]]&lt;Tabel1[[#This Row],[Start time]])</f>
        <v>0.70833333333333337</v>
      </c>
      <c r="Q4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47" spans="1:17" x14ac:dyDescent="0.35">
      <c r="A47" s="32"/>
      <c r="B47" s="32">
        <f t="shared" si="0"/>
        <v>40</v>
      </c>
      <c r="C47" s="32" t="str">
        <f>IFERROR(VLOOKUP(Tabel1[[#This Row],[Model]],Tableau2[[Model]:[Parking Number]],2,FALSE)," ")</f>
        <v>WT2</v>
      </c>
      <c r="D47" s="35">
        <v>45521</v>
      </c>
      <c r="E47" s="32" t="str">
        <f>IF(Tabel1[[#This Row],[Model]]="", "",INDEX(Tableau2[Equipment Type],MATCH(Tabel1[[#This Row],[Model]],Tableau2[Model],0)))</f>
        <v>Water Truck</v>
      </c>
      <c r="F47" s="4" t="s">
        <v>48</v>
      </c>
      <c r="G47" s="4" t="str">
        <f>IF(Tabel1[[#This Row],[Model]]="", "",INDEX(Tableau2[Equipment],MATCH(Tabel1[[#This Row],[Model]],Tableau2[Model],0)))</f>
        <v>Water Truck 20T / 1924.2</v>
      </c>
      <c r="H47" s="4" t="s">
        <v>56</v>
      </c>
      <c r="I47" s="10" t="s">
        <v>57</v>
      </c>
      <c r="J47" s="4">
        <v>5246135</v>
      </c>
      <c r="K47" s="9">
        <v>0.33333333333333331</v>
      </c>
      <c r="L47" s="9">
        <v>4.1666666666666664E-2</v>
      </c>
      <c r="M47" s="9">
        <v>0.70833333333333337</v>
      </c>
      <c r="N4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47" s="30">
        <f>HOUR(Tabel1[[#This Row],[Total Hours]])+MINUTE(Tabel1[[#This Row],[Total Hours]])/60+SECOND(Tabel1[[#This Row],[Total Hours]])/3600</f>
        <v>8</v>
      </c>
      <c r="P47" s="6">
        <f>Tabel1[[#This Row],[End Time]]+(Tabel1[[#This Row],[End Time]]&lt;Tabel1[[#This Row],[Start time]])</f>
        <v>0.70833333333333337</v>
      </c>
      <c r="Q4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48" spans="1:17" x14ac:dyDescent="0.35">
      <c r="A48" s="32"/>
      <c r="B48" s="32">
        <f t="shared" si="0"/>
        <v>41</v>
      </c>
      <c r="C48" s="32" t="str">
        <f>IFERROR(VLOOKUP(Tabel1[[#This Row],[Model]],Tableau2[[Model]:[Parking Number]],2,FALSE)," ")</f>
        <v>WT3</v>
      </c>
      <c r="D48" s="35">
        <v>45521</v>
      </c>
      <c r="E48" s="32" t="str">
        <f>IF(Tabel1[[#This Row],[Model]]="", "",INDEX(Tableau2[Equipment Type],MATCH(Tabel1[[#This Row],[Model]],Tableau2[Model],0)))</f>
        <v>Water Truck</v>
      </c>
      <c r="F48" s="4" t="s">
        <v>49</v>
      </c>
      <c r="G48" s="4" t="str">
        <f>IF(Tabel1[[#This Row],[Model]]="", "",INDEX(Tableau2[Equipment],MATCH(Tabel1[[#This Row],[Model]],Tableau2[Model],0)))</f>
        <v>Water Truck 20T / 1924.3</v>
      </c>
      <c r="H48" s="4" t="s">
        <v>56</v>
      </c>
      <c r="I48" s="10" t="s">
        <v>57</v>
      </c>
      <c r="J48" s="4">
        <v>5246135</v>
      </c>
      <c r="K48" s="9">
        <v>0.33333333333333331</v>
      </c>
      <c r="L48" s="9">
        <v>4.1666666666666664E-2</v>
      </c>
      <c r="M48" s="9">
        <v>0.70833333333333337</v>
      </c>
      <c r="N4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48" s="30">
        <f>HOUR(Tabel1[[#This Row],[Total Hours]])+MINUTE(Tabel1[[#This Row],[Total Hours]])/60+SECOND(Tabel1[[#This Row],[Total Hours]])/3600</f>
        <v>8</v>
      </c>
      <c r="P48" s="6">
        <f>Tabel1[[#This Row],[End Time]]+(Tabel1[[#This Row],[End Time]]&lt;Tabel1[[#This Row],[Start time]])</f>
        <v>0.70833333333333337</v>
      </c>
      <c r="Q4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49" spans="1:17" x14ac:dyDescent="0.35">
      <c r="A49" s="32"/>
      <c r="B49" s="32">
        <f t="shared" si="0"/>
        <v>42</v>
      </c>
      <c r="C49" s="32" t="str">
        <f>IFERROR(VLOOKUP(Tabel1[[#This Row],[Model]],Tableau2[[Model]:[Parking Number]],2,FALSE)," ")</f>
        <v>WT9</v>
      </c>
      <c r="D49" s="35">
        <v>45521</v>
      </c>
      <c r="E49" s="32" t="str">
        <f>IF(Tabel1[[#This Row],[Model]]="", "",INDEX(Tableau2[Equipment Type],MATCH(Tabel1[[#This Row],[Model]],Tableau2[Model],0)))</f>
        <v>Water Truck</v>
      </c>
      <c r="F49" s="4" t="s">
        <v>50</v>
      </c>
      <c r="G49" s="4" t="str">
        <f>IF(Tabel1[[#This Row],[Model]]="", "",INDEX(Tableau2[Equipment],MATCH(Tabel1[[#This Row],[Model]],Tableau2[Model],0)))</f>
        <v>Water Truck 20T / WT09</v>
      </c>
      <c r="H49" s="4" t="s">
        <v>56</v>
      </c>
      <c r="I49" s="10" t="s">
        <v>57</v>
      </c>
      <c r="J49" s="4">
        <v>5246135</v>
      </c>
      <c r="K49" s="9">
        <v>0.33333333333333331</v>
      </c>
      <c r="L49" s="9">
        <v>4.1666666666666664E-2</v>
      </c>
      <c r="M49" s="9">
        <v>0.70833333333333337</v>
      </c>
      <c r="N4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49" s="30">
        <f>HOUR(Tabel1[[#This Row],[Total Hours]])+MINUTE(Tabel1[[#This Row],[Total Hours]])/60+SECOND(Tabel1[[#This Row],[Total Hours]])/3600</f>
        <v>8</v>
      </c>
      <c r="P49" s="6">
        <f>Tabel1[[#This Row],[End Time]]+(Tabel1[[#This Row],[End Time]]&lt;Tabel1[[#This Row],[Start time]])</f>
        <v>0.70833333333333337</v>
      </c>
      <c r="Q4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50" spans="1:17" x14ac:dyDescent="0.35">
      <c r="A50" s="32"/>
      <c r="B50" s="32">
        <f t="shared" si="0"/>
        <v>43</v>
      </c>
      <c r="C50" s="32" t="str">
        <f>IFERROR(VLOOKUP(Tabel1[[#This Row],[Model]],Tableau2[[Model]:[Parking Number]],2,FALSE)," ")</f>
        <v>GR1</v>
      </c>
      <c r="D50" s="35">
        <v>45521</v>
      </c>
      <c r="E50" s="32" t="str">
        <f>IF(Tabel1[[#This Row],[Model]]="", "",INDEX(Tableau2[Equipment Type],MATCH(Tabel1[[#This Row],[Model]],Tableau2[Model],0)))</f>
        <v>Grader</v>
      </c>
      <c r="F50" s="4" t="s">
        <v>63</v>
      </c>
      <c r="G50" s="4" t="str">
        <f>IF(Tabel1[[#This Row],[Model]]="", "",INDEX(Tableau2[Equipment],MATCH(Tabel1[[#This Row],[Model]],Tableau2[Model],0)))</f>
        <v>CAT12K.1</v>
      </c>
      <c r="H50" s="4" t="s">
        <v>56</v>
      </c>
      <c r="I50" s="10" t="s">
        <v>57</v>
      </c>
      <c r="J50" s="4">
        <v>5246135</v>
      </c>
      <c r="K50" s="9">
        <v>0.33333333333333331</v>
      </c>
      <c r="L50" s="9">
        <v>4.1666666666666664E-2</v>
      </c>
      <c r="M50" s="9">
        <v>0.70833333333333337</v>
      </c>
      <c r="N5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50" s="30">
        <f>HOUR(Tabel1[[#This Row],[Total Hours]])+MINUTE(Tabel1[[#This Row],[Total Hours]])/60+SECOND(Tabel1[[#This Row],[Total Hours]])/3600</f>
        <v>8</v>
      </c>
      <c r="P50" s="6">
        <f>Tabel1[[#This Row],[End Time]]+(Tabel1[[#This Row],[End Time]]&lt;Tabel1[[#This Row],[Start time]])</f>
        <v>0.70833333333333337</v>
      </c>
      <c r="Q5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51" spans="1:17" x14ac:dyDescent="0.35">
      <c r="A51" s="32"/>
      <c r="B51" s="32">
        <f t="shared" si="0"/>
        <v>44</v>
      </c>
      <c r="C51" s="32" t="str">
        <f>IFERROR(VLOOKUP(Tabel1[[#This Row],[Model]],Tableau2[[Model]:[Parking Number]],2,FALSE)," ")</f>
        <v>GR2</v>
      </c>
      <c r="D51" s="35">
        <v>45521</v>
      </c>
      <c r="E51" s="32" t="str">
        <f>IF(Tabel1[[#This Row],[Model]]="", "",INDEX(Tableau2[Equipment Type],MATCH(Tabel1[[#This Row],[Model]],Tableau2[Model],0)))</f>
        <v>Grader</v>
      </c>
      <c r="F51" s="4" t="s">
        <v>39</v>
      </c>
      <c r="G51" s="4" t="str">
        <f>IF(Tabel1[[#This Row],[Model]]="", "",INDEX(Tableau2[Equipment],MATCH(Tabel1[[#This Row],[Model]],Tableau2[Model],0)))</f>
        <v>CAT12K.2</v>
      </c>
      <c r="H51" s="4" t="s">
        <v>56</v>
      </c>
      <c r="I51" s="10" t="s">
        <v>57</v>
      </c>
      <c r="J51" s="4">
        <v>5246135</v>
      </c>
      <c r="K51" s="9">
        <v>0.33333333333333331</v>
      </c>
      <c r="L51" s="9">
        <v>4.1666666666666664E-2</v>
      </c>
      <c r="M51" s="9">
        <v>0.70833333333333337</v>
      </c>
      <c r="N5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51" s="30">
        <f>HOUR(Tabel1[[#This Row],[Total Hours]])+MINUTE(Tabel1[[#This Row],[Total Hours]])/60+SECOND(Tabel1[[#This Row],[Total Hours]])/3600</f>
        <v>8</v>
      </c>
      <c r="P51" s="6">
        <f>Tabel1[[#This Row],[End Time]]+(Tabel1[[#This Row],[End Time]]&lt;Tabel1[[#This Row],[Start time]])</f>
        <v>0.70833333333333337</v>
      </c>
      <c r="Q5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52" spans="1:17" x14ac:dyDescent="0.35">
      <c r="A52" s="32"/>
      <c r="B52" s="32">
        <f t="shared" si="0"/>
        <v>45</v>
      </c>
      <c r="C52" s="32" t="str">
        <f>IFERROR(VLOOKUP(Tabel1[[#This Row],[Model]],Tableau2[[Model]:[Parking Number]],2,FALSE)," ")</f>
        <v>FEL4</v>
      </c>
      <c r="D52" s="35">
        <v>45521</v>
      </c>
      <c r="E52" s="32" t="str">
        <f>IF(Tabel1[[#This Row],[Model]]="", "",INDEX(Tableau2[Equipment Type],MATCH(Tabel1[[#This Row],[Model]],Tableau2[Model],0)))</f>
        <v>Loader</v>
      </c>
      <c r="F52" s="4" t="s">
        <v>40</v>
      </c>
      <c r="G52" s="4" t="str">
        <f>IF(Tabel1[[#This Row],[Model]]="", "",INDEX(Tableau2[Equipment],MATCH(Tabel1[[#This Row],[Model]],Tableau2[Model],0)))</f>
        <v>Cat972G.2</v>
      </c>
      <c r="H52" s="4" t="s">
        <v>56</v>
      </c>
      <c r="I52" s="10" t="s">
        <v>57</v>
      </c>
      <c r="J52" s="4">
        <v>5246135</v>
      </c>
      <c r="K52" s="9">
        <v>0.33333333333333331</v>
      </c>
      <c r="L52" s="9">
        <v>4.1666666666666664E-2</v>
      </c>
      <c r="M52" s="9">
        <v>0.79166666666666663</v>
      </c>
      <c r="N5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0.41666666666666663</v>
      </c>
      <c r="O52" s="30">
        <f>HOUR(Tabel1[[#This Row],[Total Hours]])+MINUTE(Tabel1[[#This Row],[Total Hours]])/60+SECOND(Tabel1[[#This Row],[Total Hours]])/3600</f>
        <v>10</v>
      </c>
      <c r="P52" s="6">
        <f>Tabel1[[#This Row],[End Time]]+(Tabel1[[#This Row],[End Time]]&lt;Tabel1[[#This Row],[Start time]])</f>
        <v>0.79166666666666663</v>
      </c>
      <c r="Q5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53" spans="1:17" x14ac:dyDescent="0.35">
      <c r="A53" s="32"/>
      <c r="B53" s="32">
        <f t="shared" si="0"/>
        <v>46</v>
      </c>
      <c r="C53" s="32" t="str">
        <f>IFERROR(VLOOKUP(Tabel1[[#This Row],[Model]],Tableau2[[Model]:[Parking Number]],2,FALSE)," ")</f>
        <v>TD1</v>
      </c>
      <c r="D53" s="35">
        <v>45521</v>
      </c>
      <c r="E53" s="32" t="str">
        <f>IF(Tabel1[[#This Row],[Model]]="", "",INDEX(Tableau2[Equipment Type],MATCH(Tabel1[[#This Row],[Model]],Tableau2[Model],0)))</f>
        <v>Bulldozer</v>
      </c>
      <c r="F53" s="4" t="s">
        <v>70</v>
      </c>
      <c r="G53" s="4" t="str">
        <f>IF(Tabel1[[#This Row],[Model]]="", "",INDEX(Tableau2[Equipment],MATCH(Tabel1[[#This Row],[Model]],Tableau2[Model],0)))</f>
        <v>CATD8R.1</v>
      </c>
      <c r="H53" s="4" t="s">
        <v>56</v>
      </c>
      <c r="I53" s="10" t="s">
        <v>161</v>
      </c>
      <c r="J53" s="4">
        <v>5092509</v>
      </c>
      <c r="K53" s="9">
        <v>0.33333333333333331</v>
      </c>
      <c r="L53" s="9">
        <v>4.1666666666666664E-2</v>
      </c>
      <c r="M53" s="9">
        <v>0.70833333333333337</v>
      </c>
      <c r="N5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53" s="30">
        <f>HOUR(Tabel1[[#This Row],[Total Hours]])+MINUTE(Tabel1[[#This Row],[Total Hours]])/60+SECOND(Tabel1[[#This Row],[Total Hours]])/3600</f>
        <v>8</v>
      </c>
      <c r="P53" s="6">
        <f>Tabel1[[#This Row],[End Time]]+(Tabel1[[#This Row],[End Time]]&lt;Tabel1[[#This Row],[Start time]])</f>
        <v>0.70833333333333337</v>
      </c>
      <c r="Q5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54" spans="1:17" x14ac:dyDescent="0.35">
      <c r="A54" s="32"/>
      <c r="B54" s="32">
        <f t="shared" si="0"/>
        <v>47</v>
      </c>
      <c r="C54" s="32" t="str">
        <f>IFERROR(VLOOKUP(Tabel1[[#This Row],[Model]],Tableau2[[Model]:[Parking Number]],2,FALSE)," ")</f>
        <v>FEL1</v>
      </c>
      <c r="D54" s="35">
        <v>45521</v>
      </c>
      <c r="E54" s="32" t="str">
        <f>IF(Tabel1[[#This Row],[Model]]="", "",INDEX(Tableau2[Equipment Type],MATCH(Tabel1[[#This Row],[Model]],Tableau2[Model],0)))</f>
        <v>Loader</v>
      </c>
      <c r="F54" s="4" t="s">
        <v>46</v>
      </c>
      <c r="G54" s="4" t="str">
        <f>IF(Tabel1[[#This Row],[Model]]="", "",INDEX(Tableau2[Equipment],MATCH(Tabel1[[#This Row],[Model]],Tableau2[Model],0)))</f>
        <v>Cat966H.1</v>
      </c>
      <c r="H54" s="4" t="s">
        <v>66</v>
      </c>
      <c r="I54" s="10" t="s">
        <v>162</v>
      </c>
      <c r="J54" s="4">
        <v>5198487</v>
      </c>
      <c r="K54" s="9">
        <v>0.29166666666666669</v>
      </c>
      <c r="L54" s="9">
        <v>4.1666666666666664E-2</v>
      </c>
      <c r="M54" s="9">
        <v>0.79166666666666663</v>
      </c>
      <c r="N5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54" s="30">
        <f>HOUR(Tabel1[[#This Row],[Total Hours]])+MINUTE(Tabel1[[#This Row],[Total Hours]])/60+SECOND(Tabel1[[#This Row],[Total Hours]])/3600</f>
        <v>11</v>
      </c>
      <c r="P54" s="6">
        <f>Tabel1[[#This Row],[End Time]]+(Tabel1[[#This Row],[End Time]]&lt;Tabel1[[#This Row],[Start time]])</f>
        <v>0.79166666666666663</v>
      </c>
      <c r="Q5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55" spans="1:17" x14ac:dyDescent="0.35">
      <c r="A55" s="32"/>
      <c r="B55" s="32">
        <f t="shared" si="0"/>
        <v>48</v>
      </c>
      <c r="C55" s="32" t="str">
        <f>IFERROR(VLOOKUP(Tabel1[[#This Row],[Model]],Tableau2[[Model]:[Parking Number]],2,FALSE)," ")</f>
        <v>FEL1</v>
      </c>
      <c r="D55" s="35">
        <v>45521</v>
      </c>
      <c r="E55" s="32" t="str">
        <f>IF(Tabel1[[#This Row],[Model]]="", "",INDEX(Tableau2[Equipment Type],MATCH(Tabel1[[#This Row],[Model]],Tableau2[Model],0)))</f>
        <v>Loader</v>
      </c>
      <c r="F55" s="4" t="s">
        <v>46</v>
      </c>
      <c r="G55" s="4" t="str">
        <f>IF(Tabel1[[#This Row],[Model]]="", "",INDEX(Tableau2[Equipment],MATCH(Tabel1[[#This Row],[Model]],Tableau2[Model],0)))</f>
        <v>Cat966H.1</v>
      </c>
      <c r="H55" s="4" t="s">
        <v>66</v>
      </c>
      <c r="I55" s="10" t="s">
        <v>162</v>
      </c>
      <c r="J55" s="4">
        <v>5198487</v>
      </c>
      <c r="K55" s="9">
        <v>0.79166666666666663</v>
      </c>
      <c r="L55" s="9">
        <v>0</v>
      </c>
      <c r="M55" s="9">
        <v>0.20833333333333334</v>
      </c>
      <c r="N5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23.416666666666664</v>
      </c>
      <c r="O55" s="30">
        <f>HOUR(Tabel1[[#This Row],[Total Hours]])+MINUTE(Tabel1[[#This Row],[Total Hours]])/60+SECOND(Tabel1[[#This Row],[Total Hours]])/3600</f>
        <v>10</v>
      </c>
      <c r="P55" s="6">
        <f>Tabel1[[#This Row],[End Time]]+(Tabel1[[#This Row],[End Time]]&lt;Tabel1[[#This Row],[Start time]])</f>
        <v>1.2083333333333333</v>
      </c>
      <c r="Q5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56" spans="1:17" x14ac:dyDescent="0.35">
      <c r="A56" s="32"/>
      <c r="B56" s="32">
        <f t="shared" si="0"/>
        <v>49</v>
      </c>
      <c r="C56" s="32" t="str">
        <f>IFERROR(VLOOKUP(Tabel1[[#This Row],[Model]],Tableau2[[Model]:[Parking Number]],2,FALSE)," ")</f>
        <v>TT17</v>
      </c>
      <c r="D56" s="35">
        <v>45521</v>
      </c>
      <c r="E56" s="32" t="str">
        <f>IF(Tabel1[[#This Row],[Model]]="", "",INDEX(Tableau2[Equipment Type],MATCH(Tabel1[[#This Row],[Model]],Tableau2[Model],0)))</f>
        <v>Tipper Truck</v>
      </c>
      <c r="F56" s="4" t="s">
        <v>51</v>
      </c>
      <c r="G56" s="4" t="str">
        <f>IF(Tabel1[[#This Row],[Model]]="", "",INDEX(Tableau2[Equipment],MATCH(Tabel1[[#This Row],[Model]],Tableau2[Model],0)))</f>
        <v>Tipper Truck 20m3 / F17</v>
      </c>
      <c r="H56" s="4" t="s">
        <v>66</v>
      </c>
      <c r="I56" s="10" t="s">
        <v>162</v>
      </c>
      <c r="J56" s="4">
        <v>5198487</v>
      </c>
      <c r="K56" s="9">
        <v>0.29166666666666669</v>
      </c>
      <c r="L56" s="9">
        <v>4.1666666666666664E-2</v>
      </c>
      <c r="M56" s="9">
        <v>0.79166666666666663</v>
      </c>
      <c r="N5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56" s="30">
        <f>HOUR(Tabel1[[#This Row],[Total Hours]])+MINUTE(Tabel1[[#This Row],[Total Hours]])/60+SECOND(Tabel1[[#This Row],[Total Hours]])/3600</f>
        <v>11</v>
      </c>
      <c r="P56" s="6">
        <f>Tabel1[[#This Row],[End Time]]+(Tabel1[[#This Row],[End Time]]&lt;Tabel1[[#This Row],[Start time]])</f>
        <v>0.79166666666666663</v>
      </c>
      <c r="Q5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57" spans="1:17" x14ac:dyDescent="0.35">
      <c r="A57" s="32"/>
      <c r="B57" s="32">
        <f t="shared" si="0"/>
        <v>50</v>
      </c>
      <c r="C57" s="32" t="str">
        <f>IFERROR(VLOOKUP(Tabel1[[#This Row],[Model]],Tableau2[[Model]:[Parking Number]],2,FALSE)," ")</f>
        <v>WT8</v>
      </c>
      <c r="D57" s="35">
        <v>45521</v>
      </c>
      <c r="E57" s="32" t="str">
        <f>IF(Tabel1[[#This Row],[Model]]="", "",INDEX(Tableau2[Equipment Type],MATCH(Tabel1[[#This Row],[Model]],Tableau2[Model],0)))</f>
        <v>Water Truck</v>
      </c>
      <c r="F57" s="4" t="s">
        <v>52</v>
      </c>
      <c r="G57" s="4" t="str">
        <f>IF(Tabel1[[#This Row],[Model]]="", "",INDEX(Tableau2[Equipment],MATCH(Tabel1[[#This Row],[Model]],Tableau2[Model],0)))</f>
        <v>Water Truck 20T / WT08</v>
      </c>
      <c r="H57" s="4" t="s">
        <v>163</v>
      </c>
      <c r="I57" s="10" t="s">
        <v>164</v>
      </c>
      <c r="J57" s="4">
        <v>5253778</v>
      </c>
      <c r="K57" s="9">
        <v>0.29166666666666669</v>
      </c>
      <c r="L57" s="9">
        <v>4.1666666666666664E-2</v>
      </c>
      <c r="M57" s="9">
        <v>0.70833333333333337</v>
      </c>
      <c r="N5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0.375</v>
      </c>
      <c r="O57" s="30">
        <f>HOUR(Tabel1[[#This Row],[Total Hours]])+MINUTE(Tabel1[[#This Row],[Total Hours]])/60+SECOND(Tabel1[[#This Row],[Total Hours]])/3600</f>
        <v>9</v>
      </c>
      <c r="P57" s="6">
        <f>Tabel1[[#This Row],[End Time]]+(Tabel1[[#This Row],[End Time]]&lt;Tabel1[[#This Row],[Start time]])</f>
        <v>0.70833333333333337</v>
      </c>
      <c r="Q5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58" spans="1:17" x14ac:dyDescent="0.35">
      <c r="A58" s="32"/>
      <c r="B58" s="32">
        <f t="shared" si="0"/>
        <v>51</v>
      </c>
      <c r="C58" s="32" t="str">
        <f>IFERROR(VLOOKUP(Tabel1[[#This Row],[Model]],Tableau2[[Model]:[Parking Number]],2,FALSE)," ")</f>
        <v>FEL5</v>
      </c>
      <c r="D58" s="35">
        <v>45521</v>
      </c>
      <c r="E58" s="32" t="str">
        <f>IF(Tabel1[[#This Row],[Model]]="", "",INDEX(Tableau2[Equipment Type],MATCH(Tabel1[[#This Row],[Model]],Tableau2[Model],0)))</f>
        <v>Loader</v>
      </c>
      <c r="F58" s="4" t="s">
        <v>113</v>
      </c>
      <c r="G58" s="4" t="str">
        <f>IF(Tabel1[[#This Row],[Model]]="", "",INDEX(Tableau2[Equipment],MATCH(Tabel1[[#This Row],[Model]],Tableau2[Model],0)))</f>
        <v>CAT980G</v>
      </c>
      <c r="H58" s="4" t="s">
        <v>176</v>
      </c>
      <c r="I58" s="10" t="s">
        <v>177</v>
      </c>
      <c r="J58" s="4">
        <v>5252466</v>
      </c>
      <c r="K58" s="9">
        <v>0.33333333333333331</v>
      </c>
      <c r="L58" s="9">
        <v>4.1666666666666664E-2</v>
      </c>
      <c r="M58" s="9">
        <v>0.625</v>
      </c>
      <c r="N5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0.25</v>
      </c>
      <c r="O58" s="30">
        <f>HOUR(Tabel1[[#This Row],[Total Hours]])+MINUTE(Tabel1[[#This Row],[Total Hours]])/60+SECOND(Tabel1[[#This Row],[Total Hours]])/3600</f>
        <v>6</v>
      </c>
      <c r="P58" s="6">
        <f>Tabel1[[#This Row],[End Time]]+(Tabel1[[#This Row],[End Time]]&lt;Tabel1[[#This Row],[Start time]])</f>
        <v>0.625</v>
      </c>
      <c r="Q5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59" spans="1:17" x14ac:dyDescent="0.35">
      <c r="A59" s="32"/>
      <c r="B59" s="32">
        <f t="shared" si="0"/>
        <v>52</v>
      </c>
      <c r="C59" s="32" t="str">
        <f>IFERROR(VLOOKUP(Tabel1[[#This Row],[Model]],Tableau2[[Model]:[Parking Number]],2,FALSE)," ")</f>
        <v>FEL2</v>
      </c>
      <c r="D59" s="35">
        <v>45521</v>
      </c>
      <c r="E59" s="32" t="str">
        <f>IF(Tabel1[[#This Row],[Model]]="", "",INDEX(Tableau2[Equipment Type],MATCH(Tabel1[[#This Row],[Model]],Tableau2[Model],0)))</f>
        <v>Loader</v>
      </c>
      <c r="F59" s="4" t="s">
        <v>42</v>
      </c>
      <c r="G59" s="4" t="str">
        <f>IF(Tabel1[[#This Row],[Model]]="", "",INDEX(Tableau2[Equipment],MATCH(Tabel1[[#This Row],[Model]],Tableau2[Model],0)))</f>
        <v>Cat966H.2</v>
      </c>
      <c r="H59" s="4" t="s">
        <v>173</v>
      </c>
      <c r="I59" s="10" t="s">
        <v>174</v>
      </c>
      <c r="J59" s="4">
        <v>5246410</v>
      </c>
      <c r="K59" s="9">
        <v>0.33333333333333331</v>
      </c>
      <c r="L59" s="9">
        <v>4.1666666666666664E-2</v>
      </c>
      <c r="M59" s="9">
        <v>0.70833333333333337</v>
      </c>
      <c r="N5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59" s="30">
        <f>HOUR(Tabel1[[#This Row],[Total Hours]])+MINUTE(Tabel1[[#This Row],[Total Hours]])/60+SECOND(Tabel1[[#This Row],[Total Hours]])/3600</f>
        <v>8</v>
      </c>
      <c r="P59" s="6">
        <f>Tabel1[[#This Row],[End Time]]+(Tabel1[[#This Row],[End Time]]&lt;Tabel1[[#This Row],[Start time]])</f>
        <v>0.70833333333333337</v>
      </c>
      <c r="Q5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60" spans="1:17" x14ac:dyDescent="0.35">
      <c r="A60" s="32"/>
      <c r="B60" s="32">
        <f t="shared" si="0"/>
        <v>53</v>
      </c>
      <c r="C60" s="32" t="str">
        <f>IFERROR(VLOOKUP(Tabel1[[#This Row],[Model]],Tableau2[[Model]:[Parking Number]],2,FALSE)," ")</f>
        <v>TT87</v>
      </c>
      <c r="D60" s="35">
        <v>45521</v>
      </c>
      <c r="E60" s="32" t="str">
        <f>IF(Tabel1[[#This Row],[Model]]="", "",INDEX(Tableau2[Equipment Type],MATCH(Tabel1[[#This Row],[Model]],Tableau2[Model],0)))</f>
        <v>Tipper Truck</v>
      </c>
      <c r="F60" s="4" t="s">
        <v>79</v>
      </c>
      <c r="G60" s="4" t="str">
        <f>IF(Tabel1[[#This Row],[Model]]="", "",INDEX(Tableau2[Equipment],MATCH(Tabel1[[#This Row],[Model]],Tableau2[Model],0)))</f>
        <v>Tipper Truck 20m3 / F87</v>
      </c>
      <c r="H60" s="4" t="s">
        <v>173</v>
      </c>
      <c r="I60" s="10" t="s">
        <v>174</v>
      </c>
      <c r="J60" s="4">
        <v>5246410</v>
      </c>
      <c r="K60" s="9">
        <v>0.33333333333333331</v>
      </c>
      <c r="L60" s="9">
        <v>0</v>
      </c>
      <c r="M60" s="9">
        <v>0.5</v>
      </c>
      <c r="N6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0.16666666666666669</v>
      </c>
      <c r="O60" s="30">
        <f>HOUR(Tabel1[[#This Row],[Total Hours]])+MINUTE(Tabel1[[#This Row],[Total Hours]])/60+SECOND(Tabel1[[#This Row],[Total Hours]])/3600</f>
        <v>4</v>
      </c>
      <c r="P60" s="6">
        <f>Tabel1[[#This Row],[End Time]]+(Tabel1[[#This Row],[End Time]]&lt;Tabel1[[#This Row],[Start time]])</f>
        <v>0.5</v>
      </c>
      <c r="Q6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61" spans="1:17" x14ac:dyDescent="0.35">
      <c r="A61" s="32"/>
      <c r="B61" s="32">
        <f t="shared" si="0"/>
        <v>54</v>
      </c>
      <c r="C61" s="32" t="str">
        <f>IFERROR(VLOOKUP(Tabel1[[#This Row],[Model]],Tableau2[[Model]:[Parking Number]],2,FALSE)," ")</f>
        <v>TT87</v>
      </c>
      <c r="D61" s="35">
        <v>45521</v>
      </c>
      <c r="E61" s="32" t="str">
        <f>IF(Tabel1[[#This Row],[Model]]="", "",INDEX(Tableau2[Equipment Type],MATCH(Tabel1[[#This Row],[Model]],Tableau2[Model],0)))</f>
        <v>Tipper Truck</v>
      </c>
      <c r="F61" s="4" t="s">
        <v>79</v>
      </c>
      <c r="G61" s="4" t="str">
        <f>IF(Tabel1[[#This Row],[Model]]="", "",INDEX(Tableau2[Equipment],MATCH(Tabel1[[#This Row],[Model]],Tableau2[Model],0)))</f>
        <v>Tipper Truck 20m3 / F87</v>
      </c>
      <c r="H61" s="4" t="s">
        <v>173</v>
      </c>
      <c r="I61" s="10" t="s">
        <v>174</v>
      </c>
      <c r="J61" s="4">
        <v>5246410</v>
      </c>
      <c r="K61" s="9">
        <v>0.625</v>
      </c>
      <c r="L61" s="9">
        <v>0</v>
      </c>
      <c r="M61" s="9">
        <v>0.70833333333333337</v>
      </c>
      <c r="N6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8.333333333333337E-2</v>
      </c>
      <c r="O61" s="30">
        <f>HOUR(Tabel1[[#This Row],[Total Hours]])+MINUTE(Tabel1[[#This Row],[Total Hours]])/60+SECOND(Tabel1[[#This Row],[Total Hours]])/3600</f>
        <v>2</v>
      </c>
      <c r="P61" s="6">
        <f>Tabel1[[#This Row],[End Time]]+(Tabel1[[#This Row],[End Time]]&lt;Tabel1[[#This Row],[Start time]])</f>
        <v>0.70833333333333337</v>
      </c>
      <c r="Q6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62" spans="1:17" x14ac:dyDescent="0.35">
      <c r="A62" s="32"/>
      <c r="B62" s="32">
        <f t="shared" si="0"/>
        <v>55</v>
      </c>
      <c r="C62" s="32" t="str">
        <f>IFERROR(VLOOKUP(Tabel1[[#This Row],[Model]],Tableau2[[Model]:[Parking Number]],2,FALSE)," ")</f>
        <v>BL1</v>
      </c>
      <c r="D62" s="35">
        <v>45521</v>
      </c>
      <c r="E62" s="32" t="str">
        <f>IF(Tabel1[[#This Row],[Model]]="", "",INDEX(Tableau2[Equipment Type],MATCH(Tabel1[[#This Row],[Model]],Tableau2[Model],0)))</f>
        <v>Backhoe Loader</v>
      </c>
      <c r="F62" s="4" t="s">
        <v>76</v>
      </c>
      <c r="G62" s="4" t="str">
        <f>IF(Tabel1[[#This Row],[Model]]="", "",INDEX(Tableau2[Equipment],MATCH(Tabel1[[#This Row],[Model]],Tableau2[Model],0)))</f>
        <v>CAT432D</v>
      </c>
      <c r="H62" s="4" t="s">
        <v>181</v>
      </c>
      <c r="I62" s="10" t="s">
        <v>178</v>
      </c>
      <c r="J62" s="4">
        <v>5252655</v>
      </c>
      <c r="K62" s="9">
        <v>0.33333333333333331</v>
      </c>
      <c r="L62" s="9">
        <v>4.1666666666666664E-2</v>
      </c>
      <c r="M62" s="9">
        <v>0.70833333333333337</v>
      </c>
      <c r="N6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62" s="30">
        <f>HOUR(Tabel1[[#This Row],[Total Hours]])+MINUTE(Tabel1[[#This Row],[Total Hours]])/60+SECOND(Tabel1[[#This Row],[Total Hours]])/3600</f>
        <v>8</v>
      </c>
      <c r="P62" s="6">
        <f>Tabel1[[#This Row],[End Time]]+(Tabel1[[#This Row],[End Time]]&lt;Tabel1[[#This Row],[Start time]])</f>
        <v>0.70833333333333337</v>
      </c>
      <c r="Q6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63" spans="1:17" x14ac:dyDescent="0.35">
      <c r="A63" s="32"/>
      <c r="B63" s="32">
        <f t="shared" si="0"/>
        <v>56</v>
      </c>
      <c r="C63" s="32" t="str">
        <f>IFERROR(VLOOKUP(Tabel1[[#This Row],[Model]],Tableau2[[Model]:[Parking Number]],2,FALSE)," ")</f>
        <v>WT1</v>
      </c>
      <c r="D63" s="35">
        <v>45522</v>
      </c>
      <c r="E63" s="32" t="str">
        <f>IF(Tabel1[[#This Row],[Model]]="", "",INDEX(Tableau2[Equipment Type],MATCH(Tabel1[[#This Row],[Model]],Tableau2[Model],0)))</f>
        <v>Water Truck</v>
      </c>
      <c r="F63" s="4" t="s">
        <v>47</v>
      </c>
      <c r="G63" s="4" t="str">
        <f>IF(Tabel1[[#This Row],[Model]]="", "",INDEX(Tableau2[Equipment],MATCH(Tabel1[[#This Row],[Model]],Tableau2[Model],0)))</f>
        <v>Water Truck 20T / 1924.1</v>
      </c>
      <c r="H63" s="4" t="s">
        <v>56</v>
      </c>
      <c r="I63" s="10" t="s">
        <v>57</v>
      </c>
      <c r="J63" s="4">
        <v>5246135</v>
      </c>
      <c r="K63" s="9">
        <v>0.33333333333333331</v>
      </c>
      <c r="L63" s="9">
        <v>4.1666666666666664E-2</v>
      </c>
      <c r="M63" s="9">
        <v>0.70833333333333337</v>
      </c>
      <c r="N6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63" s="30">
        <f>HOUR(Tabel1[[#This Row],[Total Hours]])+MINUTE(Tabel1[[#This Row],[Total Hours]])/60+SECOND(Tabel1[[#This Row],[Total Hours]])/3600</f>
        <v>8</v>
      </c>
      <c r="P63" s="6">
        <f>Tabel1[[#This Row],[End Time]]+(Tabel1[[#This Row],[End Time]]&lt;Tabel1[[#This Row],[Start time]])</f>
        <v>0.70833333333333337</v>
      </c>
      <c r="Q6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64" spans="1:17" x14ac:dyDescent="0.35">
      <c r="A64" s="32"/>
      <c r="B64" s="32">
        <f t="shared" si="0"/>
        <v>57</v>
      </c>
      <c r="C64" s="32" t="str">
        <f>IFERROR(VLOOKUP(Tabel1[[#This Row],[Model]],Tableau2[[Model]:[Parking Number]],2,FALSE)," ")</f>
        <v>WT2</v>
      </c>
      <c r="D64" s="35">
        <v>45522</v>
      </c>
      <c r="E64" s="32" t="str">
        <f>IF(Tabel1[[#This Row],[Model]]="", "",INDEX(Tableau2[Equipment Type],MATCH(Tabel1[[#This Row],[Model]],Tableau2[Model],0)))</f>
        <v>Water Truck</v>
      </c>
      <c r="F64" s="4" t="s">
        <v>48</v>
      </c>
      <c r="G64" s="4" t="str">
        <f>IF(Tabel1[[#This Row],[Model]]="", "",INDEX(Tableau2[Equipment],MATCH(Tabel1[[#This Row],[Model]],Tableau2[Model],0)))</f>
        <v>Water Truck 20T / 1924.2</v>
      </c>
      <c r="H64" s="4" t="s">
        <v>56</v>
      </c>
      <c r="I64" s="10" t="s">
        <v>57</v>
      </c>
      <c r="J64" s="4">
        <v>5246135</v>
      </c>
      <c r="K64" s="9">
        <v>0.33333333333333331</v>
      </c>
      <c r="L64" s="9">
        <v>4.1666666666666664E-2</v>
      </c>
      <c r="M64" s="9">
        <v>0.70833333333333337</v>
      </c>
      <c r="N6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64" s="30">
        <f>HOUR(Tabel1[[#This Row],[Total Hours]])+MINUTE(Tabel1[[#This Row],[Total Hours]])/60+SECOND(Tabel1[[#This Row],[Total Hours]])/3600</f>
        <v>8</v>
      </c>
      <c r="P64" s="6">
        <f>Tabel1[[#This Row],[End Time]]+(Tabel1[[#This Row],[End Time]]&lt;Tabel1[[#This Row],[Start time]])</f>
        <v>0.70833333333333337</v>
      </c>
      <c r="Q6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65" spans="1:17" x14ac:dyDescent="0.35">
      <c r="A65" s="32"/>
      <c r="B65" s="32">
        <f t="shared" si="0"/>
        <v>58</v>
      </c>
      <c r="C65" s="32" t="str">
        <f>IFERROR(VLOOKUP(Tabel1[[#This Row],[Model]],Tableau2[[Model]:[Parking Number]],2,FALSE)," ")</f>
        <v>WT3</v>
      </c>
      <c r="D65" s="35">
        <v>45522</v>
      </c>
      <c r="E65" s="32" t="str">
        <f>IF(Tabel1[[#This Row],[Model]]="", "",INDEX(Tableau2[Equipment Type],MATCH(Tabel1[[#This Row],[Model]],Tableau2[Model],0)))</f>
        <v>Water Truck</v>
      </c>
      <c r="F65" s="4" t="s">
        <v>49</v>
      </c>
      <c r="G65" s="4" t="str">
        <f>IF(Tabel1[[#This Row],[Model]]="", "",INDEX(Tableau2[Equipment],MATCH(Tabel1[[#This Row],[Model]],Tableau2[Model],0)))</f>
        <v>Water Truck 20T / 1924.3</v>
      </c>
      <c r="H65" s="4" t="s">
        <v>56</v>
      </c>
      <c r="I65" s="10" t="s">
        <v>57</v>
      </c>
      <c r="J65" s="4">
        <v>5246135</v>
      </c>
      <c r="K65" s="9">
        <v>0.33333333333333331</v>
      </c>
      <c r="L65" s="9">
        <v>4.1666666666666664E-2</v>
      </c>
      <c r="M65" s="9">
        <v>0.70833333333333337</v>
      </c>
      <c r="N6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65" s="30">
        <f>HOUR(Tabel1[[#This Row],[Total Hours]])+MINUTE(Tabel1[[#This Row],[Total Hours]])/60+SECOND(Tabel1[[#This Row],[Total Hours]])/3600</f>
        <v>8</v>
      </c>
      <c r="P65" s="6">
        <f>Tabel1[[#This Row],[End Time]]+(Tabel1[[#This Row],[End Time]]&lt;Tabel1[[#This Row],[Start time]])</f>
        <v>0.70833333333333337</v>
      </c>
      <c r="Q6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66" spans="1:17" x14ac:dyDescent="0.35">
      <c r="A66" s="32"/>
      <c r="B66" s="32">
        <f t="shared" si="0"/>
        <v>59</v>
      </c>
      <c r="C66" s="32" t="str">
        <f>IFERROR(VLOOKUP(Tabel1[[#This Row],[Model]],Tableau2[[Model]:[Parking Number]],2,FALSE)," ")</f>
        <v>WT9</v>
      </c>
      <c r="D66" s="35">
        <v>45522</v>
      </c>
      <c r="E66" s="32" t="str">
        <f>IF(Tabel1[[#This Row],[Model]]="", "",INDEX(Tableau2[Equipment Type],MATCH(Tabel1[[#This Row],[Model]],Tableau2[Model],0)))</f>
        <v>Water Truck</v>
      </c>
      <c r="F66" s="4" t="s">
        <v>50</v>
      </c>
      <c r="G66" s="4" t="str">
        <f>IF(Tabel1[[#This Row],[Model]]="", "",INDEX(Tableau2[Equipment],MATCH(Tabel1[[#This Row],[Model]],Tableau2[Model],0)))</f>
        <v>Water Truck 20T / WT09</v>
      </c>
      <c r="H66" s="4" t="s">
        <v>56</v>
      </c>
      <c r="I66" s="10" t="s">
        <v>57</v>
      </c>
      <c r="J66" s="4">
        <v>5246135</v>
      </c>
      <c r="K66" s="9">
        <v>0.33333333333333331</v>
      </c>
      <c r="L66" s="9">
        <v>4.1666666666666664E-2</v>
      </c>
      <c r="M66" s="9">
        <v>0.70833333333333337</v>
      </c>
      <c r="N6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66" s="30">
        <f>HOUR(Tabel1[[#This Row],[Total Hours]])+MINUTE(Tabel1[[#This Row],[Total Hours]])/60+SECOND(Tabel1[[#This Row],[Total Hours]])/3600</f>
        <v>8</v>
      </c>
      <c r="P66" s="6">
        <f>Tabel1[[#This Row],[End Time]]+(Tabel1[[#This Row],[End Time]]&lt;Tabel1[[#This Row],[Start time]])</f>
        <v>0.70833333333333337</v>
      </c>
      <c r="Q6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67" spans="1:17" x14ac:dyDescent="0.35">
      <c r="A67" s="32"/>
      <c r="B67" s="32">
        <f t="shared" si="0"/>
        <v>60</v>
      </c>
      <c r="C67" s="32" t="str">
        <f>IFERROR(VLOOKUP(Tabel1[[#This Row],[Model]],Tableau2[[Model]:[Parking Number]],2,FALSE)," ")</f>
        <v>GR1</v>
      </c>
      <c r="D67" s="35">
        <v>45522</v>
      </c>
      <c r="E67" s="32" t="str">
        <f>IF(Tabel1[[#This Row],[Model]]="", "",INDEX(Tableau2[Equipment Type],MATCH(Tabel1[[#This Row],[Model]],Tableau2[Model],0)))</f>
        <v>Grader</v>
      </c>
      <c r="F67" s="4" t="s">
        <v>63</v>
      </c>
      <c r="G67" s="4" t="str">
        <f>IF(Tabel1[[#This Row],[Model]]="", "",INDEX(Tableau2[Equipment],MATCH(Tabel1[[#This Row],[Model]],Tableau2[Model],0)))</f>
        <v>CAT12K.1</v>
      </c>
      <c r="H67" s="4" t="s">
        <v>56</v>
      </c>
      <c r="I67" s="10" t="s">
        <v>57</v>
      </c>
      <c r="J67" s="4">
        <v>5246135</v>
      </c>
      <c r="K67" s="9">
        <v>0.33333333333333331</v>
      </c>
      <c r="L67" s="9">
        <v>4.1666666666666664E-2</v>
      </c>
      <c r="M67" s="9">
        <v>0.70833333333333337</v>
      </c>
      <c r="N6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67" s="30">
        <f>HOUR(Tabel1[[#This Row],[Total Hours]])+MINUTE(Tabel1[[#This Row],[Total Hours]])/60+SECOND(Tabel1[[#This Row],[Total Hours]])/3600</f>
        <v>8</v>
      </c>
      <c r="P67" s="6">
        <f>Tabel1[[#This Row],[End Time]]+(Tabel1[[#This Row],[End Time]]&lt;Tabel1[[#This Row],[Start time]])</f>
        <v>0.70833333333333337</v>
      </c>
      <c r="Q6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68" spans="1:17" x14ac:dyDescent="0.35">
      <c r="A68" s="32"/>
      <c r="B68" s="32">
        <f t="shared" si="0"/>
        <v>61</v>
      </c>
      <c r="C68" s="32" t="str">
        <f>IFERROR(VLOOKUP(Tabel1[[#This Row],[Model]],Tableau2[[Model]:[Parking Number]],2,FALSE)," ")</f>
        <v>GR2</v>
      </c>
      <c r="D68" s="35">
        <v>45522</v>
      </c>
      <c r="E68" s="32" t="str">
        <f>IF(Tabel1[[#This Row],[Model]]="", "",INDEX(Tableau2[Equipment Type],MATCH(Tabel1[[#This Row],[Model]],Tableau2[Model],0)))</f>
        <v>Grader</v>
      </c>
      <c r="F68" s="4" t="s">
        <v>39</v>
      </c>
      <c r="G68" s="4" t="str">
        <f>IF(Tabel1[[#This Row],[Model]]="", "",INDEX(Tableau2[Equipment],MATCH(Tabel1[[#This Row],[Model]],Tableau2[Model],0)))</f>
        <v>CAT12K.2</v>
      </c>
      <c r="H68" s="4" t="s">
        <v>56</v>
      </c>
      <c r="I68" s="10" t="s">
        <v>57</v>
      </c>
      <c r="J68" s="4">
        <v>5246135</v>
      </c>
      <c r="K68" s="9">
        <v>0.33333333333333331</v>
      </c>
      <c r="L68" s="9">
        <v>4.1666666666666664E-2</v>
      </c>
      <c r="M68" s="9">
        <v>0.70833333333333337</v>
      </c>
      <c r="N6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68" s="30">
        <f>HOUR(Tabel1[[#This Row],[Total Hours]])+MINUTE(Tabel1[[#This Row],[Total Hours]])/60+SECOND(Tabel1[[#This Row],[Total Hours]])/3600</f>
        <v>8</v>
      </c>
      <c r="P68" s="6">
        <f>Tabel1[[#This Row],[End Time]]+(Tabel1[[#This Row],[End Time]]&lt;Tabel1[[#This Row],[Start time]])</f>
        <v>0.70833333333333337</v>
      </c>
      <c r="Q6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69" spans="1:17" x14ac:dyDescent="0.35">
      <c r="A69" s="32"/>
      <c r="B69" s="32">
        <f t="shared" si="0"/>
        <v>62</v>
      </c>
      <c r="C69" s="32" t="str">
        <f>IFERROR(VLOOKUP(Tabel1[[#This Row],[Model]],Tableau2[[Model]:[Parking Number]],2,FALSE)," ")</f>
        <v>FEL4</v>
      </c>
      <c r="D69" s="35">
        <v>45522</v>
      </c>
      <c r="E69" s="32" t="str">
        <f>IF(Tabel1[[#This Row],[Model]]="", "",INDEX(Tableau2[Equipment Type],MATCH(Tabel1[[#This Row],[Model]],Tableau2[Model],0)))</f>
        <v>Loader</v>
      </c>
      <c r="F69" s="4" t="s">
        <v>40</v>
      </c>
      <c r="G69" s="4" t="str">
        <f>IF(Tabel1[[#This Row],[Model]]="", "",INDEX(Tableau2[Equipment],MATCH(Tabel1[[#This Row],[Model]],Tableau2[Model],0)))</f>
        <v>Cat972G.2</v>
      </c>
      <c r="H69" s="4" t="s">
        <v>56</v>
      </c>
      <c r="I69" s="10" t="s">
        <v>57</v>
      </c>
      <c r="J69" s="4">
        <v>5246135</v>
      </c>
      <c r="K69" s="9">
        <v>0.33333333333333331</v>
      </c>
      <c r="L69" s="9">
        <v>4.1666666666666664E-2</v>
      </c>
      <c r="M69" s="9">
        <v>0.70833333333333337</v>
      </c>
      <c r="N6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69" s="30">
        <f>HOUR(Tabel1[[#This Row],[Total Hours]])+MINUTE(Tabel1[[#This Row],[Total Hours]])/60+SECOND(Tabel1[[#This Row],[Total Hours]])/3600</f>
        <v>8</v>
      </c>
      <c r="P69" s="6">
        <f>Tabel1[[#This Row],[End Time]]+(Tabel1[[#This Row],[End Time]]&lt;Tabel1[[#This Row],[Start time]])</f>
        <v>0.70833333333333337</v>
      </c>
      <c r="Q6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70" spans="1:17" x14ac:dyDescent="0.35">
      <c r="A70" s="32"/>
      <c r="B70" s="32">
        <f t="shared" si="0"/>
        <v>63</v>
      </c>
      <c r="C70" s="32" t="str">
        <f>IFERROR(VLOOKUP(Tabel1[[#This Row],[Model]],Tableau2[[Model]:[Parking Number]],2,FALSE)," ")</f>
        <v>TD1</v>
      </c>
      <c r="D70" s="35">
        <v>45522</v>
      </c>
      <c r="E70" s="32" t="str">
        <f>IF(Tabel1[[#This Row],[Model]]="", "",INDEX(Tableau2[Equipment Type],MATCH(Tabel1[[#This Row],[Model]],Tableau2[Model],0)))</f>
        <v>Bulldozer</v>
      </c>
      <c r="F70" s="4" t="s">
        <v>70</v>
      </c>
      <c r="G70" s="4" t="str">
        <f>IF(Tabel1[[#This Row],[Model]]="", "",INDEX(Tableau2[Equipment],MATCH(Tabel1[[#This Row],[Model]],Tableau2[Model],0)))</f>
        <v>CATD8R.1</v>
      </c>
      <c r="H70" s="4" t="s">
        <v>56</v>
      </c>
      <c r="I70" s="10" t="s">
        <v>161</v>
      </c>
      <c r="J70" s="4">
        <v>5092509</v>
      </c>
      <c r="K70" s="9">
        <v>0.41666666666666669</v>
      </c>
      <c r="L70" s="9">
        <v>4.1666666666666664E-2</v>
      </c>
      <c r="M70" s="9">
        <v>0.70833333333333337</v>
      </c>
      <c r="N7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0.25</v>
      </c>
      <c r="O70" s="30">
        <f>HOUR(Tabel1[[#This Row],[Total Hours]])+MINUTE(Tabel1[[#This Row],[Total Hours]])/60+SECOND(Tabel1[[#This Row],[Total Hours]])/3600</f>
        <v>6</v>
      </c>
      <c r="P70" s="6">
        <f>Tabel1[[#This Row],[End Time]]+(Tabel1[[#This Row],[End Time]]&lt;Tabel1[[#This Row],[Start time]])</f>
        <v>0.70833333333333337</v>
      </c>
      <c r="Q7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71" spans="1:17" x14ac:dyDescent="0.35">
      <c r="A71" s="32"/>
      <c r="B71" s="32">
        <f t="shared" si="0"/>
        <v>64</v>
      </c>
      <c r="C71" s="32" t="str">
        <f>IFERROR(VLOOKUP(Tabel1[[#This Row],[Model]],Tableau2[[Model]:[Parking Number]],2,FALSE)," ")</f>
        <v>FEL1</v>
      </c>
      <c r="D71" s="35">
        <v>45522</v>
      </c>
      <c r="E71" s="32" t="str">
        <f>IF(Tabel1[[#This Row],[Model]]="", "",INDEX(Tableau2[Equipment Type],MATCH(Tabel1[[#This Row],[Model]],Tableau2[Model],0)))</f>
        <v>Loader</v>
      </c>
      <c r="F71" s="4" t="s">
        <v>46</v>
      </c>
      <c r="G71" s="4" t="str">
        <f>IF(Tabel1[[#This Row],[Model]]="", "",INDEX(Tableau2[Equipment],MATCH(Tabel1[[#This Row],[Model]],Tableau2[Model],0)))</f>
        <v>Cat966H.1</v>
      </c>
      <c r="H71" s="4" t="s">
        <v>66</v>
      </c>
      <c r="I71" s="10" t="s">
        <v>162</v>
      </c>
      <c r="J71" s="4">
        <v>5198487</v>
      </c>
      <c r="K71" s="9">
        <v>0.29166666666666669</v>
      </c>
      <c r="L71" s="9">
        <v>4.1666666666666664E-2</v>
      </c>
      <c r="M71" s="9">
        <v>0.79166666666666663</v>
      </c>
      <c r="N7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71" s="30">
        <f>HOUR(Tabel1[[#This Row],[Total Hours]])+MINUTE(Tabel1[[#This Row],[Total Hours]])/60+SECOND(Tabel1[[#This Row],[Total Hours]])/3600</f>
        <v>11</v>
      </c>
      <c r="P71" s="6">
        <f>Tabel1[[#This Row],[End Time]]+(Tabel1[[#This Row],[End Time]]&lt;Tabel1[[#This Row],[Start time]])</f>
        <v>0.79166666666666663</v>
      </c>
      <c r="Q7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72" spans="1:17" x14ac:dyDescent="0.35">
      <c r="A72" s="32"/>
      <c r="B72" s="32">
        <f t="shared" si="0"/>
        <v>65</v>
      </c>
      <c r="C72" s="32" t="str">
        <f>IFERROR(VLOOKUP(Tabel1[[#This Row],[Model]],Tableau2[[Model]:[Parking Number]],2,FALSE)," ")</f>
        <v>FEL1</v>
      </c>
      <c r="D72" s="35">
        <v>45522</v>
      </c>
      <c r="E72" s="32" t="str">
        <f>IF(Tabel1[[#This Row],[Model]]="", "",INDEX(Tableau2[Equipment Type],MATCH(Tabel1[[#This Row],[Model]],Tableau2[Model],0)))</f>
        <v>Loader</v>
      </c>
      <c r="F72" s="4" t="s">
        <v>46</v>
      </c>
      <c r="G72" s="4" t="str">
        <f>IF(Tabel1[[#This Row],[Model]]="", "",INDEX(Tableau2[Equipment],MATCH(Tabel1[[#This Row],[Model]],Tableau2[Model],0)))</f>
        <v>Cat966H.1</v>
      </c>
      <c r="H72" s="4" t="s">
        <v>66</v>
      </c>
      <c r="I72" s="10" t="s">
        <v>162</v>
      </c>
      <c r="J72" s="4">
        <v>5198487</v>
      </c>
      <c r="K72" s="9">
        <v>0.79166666666666663</v>
      </c>
      <c r="L72" s="9">
        <v>0</v>
      </c>
      <c r="M72" s="9">
        <v>0.20833333333333334</v>
      </c>
      <c r="N7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23.416666666666664</v>
      </c>
      <c r="O72" s="30">
        <f>HOUR(Tabel1[[#This Row],[Total Hours]])+MINUTE(Tabel1[[#This Row],[Total Hours]])/60+SECOND(Tabel1[[#This Row],[Total Hours]])/3600</f>
        <v>10</v>
      </c>
      <c r="P72" s="6">
        <f>Tabel1[[#This Row],[End Time]]+(Tabel1[[#This Row],[End Time]]&lt;Tabel1[[#This Row],[Start time]])</f>
        <v>1.2083333333333333</v>
      </c>
      <c r="Q7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73" spans="1:17" x14ac:dyDescent="0.35">
      <c r="A73" s="32"/>
      <c r="B73" s="32">
        <f t="shared" ref="B73:B136" si="1">B72+1</f>
        <v>66</v>
      </c>
      <c r="C73" s="32" t="str">
        <f>IFERROR(VLOOKUP(Tabel1[[#This Row],[Model]],Tableau2[[Model]:[Parking Number]],2,FALSE)," ")</f>
        <v>TT17</v>
      </c>
      <c r="D73" s="35">
        <v>45522</v>
      </c>
      <c r="E73" s="32" t="str">
        <f>IF(Tabel1[[#This Row],[Model]]="", "",INDEX(Tableau2[Equipment Type],MATCH(Tabel1[[#This Row],[Model]],Tableau2[Model],0)))</f>
        <v>Tipper Truck</v>
      </c>
      <c r="F73" s="4" t="s">
        <v>51</v>
      </c>
      <c r="G73" s="4" t="str">
        <f>IF(Tabel1[[#This Row],[Model]]="", "",INDEX(Tableau2[Equipment],MATCH(Tabel1[[#This Row],[Model]],Tableau2[Model],0)))</f>
        <v>Tipper Truck 20m3 / F17</v>
      </c>
      <c r="H73" s="4" t="s">
        <v>66</v>
      </c>
      <c r="I73" s="10" t="s">
        <v>162</v>
      </c>
      <c r="J73" s="4">
        <v>5198487</v>
      </c>
      <c r="K73" s="9">
        <v>0.29166666666666669</v>
      </c>
      <c r="L73" s="9">
        <v>4.1666666666666664E-2</v>
      </c>
      <c r="M73" s="9">
        <v>0.79166666666666663</v>
      </c>
      <c r="N7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73" s="30">
        <f>HOUR(Tabel1[[#This Row],[Total Hours]])+MINUTE(Tabel1[[#This Row],[Total Hours]])/60+SECOND(Tabel1[[#This Row],[Total Hours]])/3600</f>
        <v>11</v>
      </c>
      <c r="P73" s="6">
        <f>Tabel1[[#This Row],[End Time]]+(Tabel1[[#This Row],[End Time]]&lt;Tabel1[[#This Row],[Start time]])</f>
        <v>0.79166666666666663</v>
      </c>
      <c r="Q7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74" spans="1:17" x14ac:dyDescent="0.35">
      <c r="A74" s="32"/>
      <c r="B74" s="32">
        <f t="shared" si="1"/>
        <v>67</v>
      </c>
      <c r="C74" s="32" t="str">
        <f>IFERROR(VLOOKUP(Tabel1[[#This Row],[Model]],Tableau2[[Model]:[Parking Number]],2,FALSE)," ")</f>
        <v>WT8</v>
      </c>
      <c r="D74" s="35">
        <v>45522</v>
      </c>
      <c r="E74" s="32" t="str">
        <f>IF(Tabel1[[#This Row],[Model]]="", "",INDEX(Tableau2[Equipment Type],MATCH(Tabel1[[#This Row],[Model]],Tableau2[Model],0)))</f>
        <v>Water Truck</v>
      </c>
      <c r="F74" s="4" t="s">
        <v>52</v>
      </c>
      <c r="G74" s="4" t="str">
        <f>IF(Tabel1[[#This Row],[Model]]="", "",INDEX(Tableau2[Equipment],MATCH(Tabel1[[#This Row],[Model]],Tableau2[Model],0)))</f>
        <v>Water Truck 20T / WT08</v>
      </c>
      <c r="H74" s="4" t="s">
        <v>163</v>
      </c>
      <c r="I74" s="10" t="s">
        <v>164</v>
      </c>
      <c r="J74" s="4">
        <v>5253778</v>
      </c>
      <c r="K74" s="9">
        <v>0.29166666666666669</v>
      </c>
      <c r="L74" s="9">
        <v>4.1666666666666664E-2</v>
      </c>
      <c r="M74" s="9">
        <v>0.70833333333333337</v>
      </c>
      <c r="N7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0.375</v>
      </c>
      <c r="O74" s="30">
        <f>HOUR(Tabel1[[#This Row],[Total Hours]])+MINUTE(Tabel1[[#This Row],[Total Hours]])/60+SECOND(Tabel1[[#This Row],[Total Hours]])/3600</f>
        <v>9</v>
      </c>
      <c r="P74" s="6">
        <f>Tabel1[[#This Row],[End Time]]+(Tabel1[[#This Row],[End Time]]&lt;Tabel1[[#This Row],[Start time]])</f>
        <v>0.70833333333333337</v>
      </c>
      <c r="Q7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75" spans="1:17" x14ac:dyDescent="0.35">
      <c r="A75" s="32"/>
      <c r="B75" s="32">
        <f t="shared" si="1"/>
        <v>68</v>
      </c>
      <c r="C75" s="32" t="str">
        <f>IFERROR(VLOOKUP(Tabel1[[#This Row],[Model]],Tableau2[[Model]:[Parking Number]],2,FALSE)," ")</f>
        <v>FEL2</v>
      </c>
      <c r="D75" s="35">
        <v>45522</v>
      </c>
      <c r="E75" s="32" t="str">
        <f>IF(Tabel1[[#This Row],[Model]]="", "",INDEX(Tableau2[Equipment Type],MATCH(Tabel1[[#This Row],[Model]],Tableau2[Model],0)))</f>
        <v>Loader</v>
      </c>
      <c r="F75" s="4" t="s">
        <v>42</v>
      </c>
      <c r="G75" s="4" t="str">
        <f>IF(Tabel1[[#This Row],[Model]]="", "",INDEX(Tableau2[Equipment],MATCH(Tabel1[[#This Row],[Model]],Tableau2[Model],0)))</f>
        <v>Cat966H.2</v>
      </c>
      <c r="H75" s="4" t="s">
        <v>173</v>
      </c>
      <c r="I75" s="10" t="s">
        <v>174</v>
      </c>
      <c r="J75" s="4">
        <v>5246410</v>
      </c>
      <c r="K75" s="9">
        <v>0.375</v>
      </c>
      <c r="L75" s="9">
        <v>0</v>
      </c>
      <c r="M75" s="9">
        <v>0.45833333333333331</v>
      </c>
      <c r="N7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8.3333333333333315E-2</v>
      </c>
      <c r="O75" s="30">
        <f>HOUR(Tabel1[[#This Row],[Total Hours]])+MINUTE(Tabel1[[#This Row],[Total Hours]])/60+SECOND(Tabel1[[#This Row],[Total Hours]])/3600</f>
        <v>2</v>
      </c>
      <c r="P75" s="6">
        <f>Tabel1[[#This Row],[End Time]]+(Tabel1[[#This Row],[End Time]]&lt;Tabel1[[#This Row],[Start time]])</f>
        <v>0.45833333333333331</v>
      </c>
      <c r="Q7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76" spans="1:17" x14ac:dyDescent="0.35">
      <c r="A76" s="32"/>
      <c r="B76" s="32">
        <f t="shared" si="1"/>
        <v>69</v>
      </c>
      <c r="C76" s="32" t="str">
        <f>IFERROR(VLOOKUP(Tabel1[[#This Row],[Model]],Tableau2[[Model]:[Parking Number]],2,FALSE)," ")</f>
        <v>FEL2</v>
      </c>
      <c r="D76" s="35">
        <v>45522</v>
      </c>
      <c r="E76" s="32" t="str">
        <f>IF(Tabel1[[#This Row],[Model]]="", "",INDEX(Tableau2[Equipment Type],MATCH(Tabel1[[#This Row],[Model]],Tableau2[Model],0)))</f>
        <v>Loader</v>
      </c>
      <c r="F76" s="4" t="s">
        <v>42</v>
      </c>
      <c r="G76" s="4" t="str">
        <f>IF(Tabel1[[#This Row],[Model]]="", "",INDEX(Tableau2[Equipment],MATCH(Tabel1[[#This Row],[Model]],Tableau2[Model],0)))</f>
        <v>Cat966H.2</v>
      </c>
      <c r="H76" s="4" t="s">
        <v>173</v>
      </c>
      <c r="I76" s="10" t="s">
        <v>174</v>
      </c>
      <c r="J76" s="4">
        <v>5246410</v>
      </c>
      <c r="K76" s="9">
        <v>0.58333333333333337</v>
      </c>
      <c r="L76" s="9">
        <v>0</v>
      </c>
      <c r="M76" s="9">
        <v>0.70833333333333337</v>
      </c>
      <c r="N7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0.125</v>
      </c>
      <c r="O76" s="30">
        <f>HOUR(Tabel1[[#This Row],[Total Hours]])+MINUTE(Tabel1[[#This Row],[Total Hours]])/60+SECOND(Tabel1[[#This Row],[Total Hours]])/3600</f>
        <v>3</v>
      </c>
      <c r="P76" s="6">
        <f>Tabel1[[#This Row],[End Time]]+(Tabel1[[#This Row],[End Time]]&lt;Tabel1[[#This Row],[Start time]])</f>
        <v>0.70833333333333337</v>
      </c>
      <c r="Q7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77" spans="1:17" x14ac:dyDescent="0.35">
      <c r="A77" s="32"/>
      <c r="B77" s="32">
        <f t="shared" si="1"/>
        <v>70</v>
      </c>
      <c r="C77" s="32" t="str">
        <f>IFERROR(VLOOKUP(Tabel1[[#This Row],[Model]],Tableau2[[Model]:[Parking Number]],2,FALSE)," ")</f>
        <v>TT87</v>
      </c>
      <c r="D77" s="35">
        <v>45522</v>
      </c>
      <c r="E77" s="32" t="str">
        <f>IF(Tabel1[[#This Row],[Model]]="", "",INDEX(Tableau2[Equipment Type],MATCH(Tabel1[[#This Row],[Model]],Tableau2[Model],0)))</f>
        <v>Tipper Truck</v>
      </c>
      <c r="F77" s="4" t="s">
        <v>79</v>
      </c>
      <c r="G77" s="4" t="str">
        <f>IF(Tabel1[[#This Row],[Model]]="", "",INDEX(Tableau2[Equipment],MATCH(Tabel1[[#This Row],[Model]],Tableau2[Model],0)))</f>
        <v>Tipper Truck 20m3 / F87</v>
      </c>
      <c r="H77" s="4" t="s">
        <v>179</v>
      </c>
      <c r="I77" s="10" t="s">
        <v>180</v>
      </c>
      <c r="J77" s="4">
        <v>5240419</v>
      </c>
      <c r="K77" s="9">
        <v>0.375</v>
      </c>
      <c r="L77" s="9">
        <v>4.1666666666666664E-2</v>
      </c>
      <c r="M77" s="9">
        <v>0.66666666666666663</v>
      </c>
      <c r="N7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0.24999999999999997</v>
      </c>
      <c r="O77" s="30">
        <f>HOUR(Tabel1[[#This Row],[Total Hours]])+MINUTE(Tabel1[[#This Row],[Total Hours]])/60+SECOND(Tabel1[[#This Row],[Total Hours]])/3600</f>
        <v>6</v>
      </c>
      <c r="P77" s="6">
        <f>Tabel1[[#This Row],[End Time]]+(Tabel1[[#This Row],[End Time]]&lt;Tabel1[[#This Row],[Start time]])</f>
        <v>0.66666666666666663</v>
      </c>
      <c r="Q7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78" spans="1:17" x14ac:dyDescent="0.35">
      <c r="A78" s="32"/>
      <c r="B78" s="32">
        <f t="shared" si="1"/>
        <v>71</v>
      </c>
      <c r="C78" s="32" t="str">
        <f>IFERROR(VLOOKUP(Tabel1[[#This Row],[Model]],Tableau2[[Model]:[Parking Number]],2,FALSE)," ")</f>
        <v>EX2</v>
      </c>
      <c r="D78" s="35">
        <v>45522</v>
      </c>
      <c r="E78" s="32" t="str">
        <f>IF(Tabel1[[#This Row],[Model]]="", "",INDEX(Tableau2[Equipment Type],MATCH(Tabel1[[#This Row],[Model]],Tableau2[Model],0)))</f>
        <v>Excavator</v>
      </c>
      <c r="F78" s="4" t="s">
        <v>159</v>
      </c>
      <c r="G78" s="4" t="str">
        <f>IF(Tabel1[[#This Row],[Model]]="", "",INDEX(Tableau2[Equipment],MATCH(Tabel1[[#This Row],[Model]],Tableau2[Model],0)))</f>
        <v>CAT320E.2</v>
      </c>
      <c r="H78" s="4" t="s">
        <v>181</v>
      </c>
      <c r="I78" s="10" t="s">
        <v>178</v>
      </c>
      <c r="J78" s="4">
        <v>5252655</v>
      </c>
      <c r="K78" s="9">
        <v>0.33333333333333331</v>
      </c>
      <c r="L78" s="9">
        <v>0</v>
      </c>
      <c r="M78" s="9">
        <v>0.41666666666666669</v>
      </c>
      <c r="N7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8.333333333333337E-2</v>
      </c>
      <c r="O78" s="30">
        <f>HOUR(Tabel1[[#This Row],[Total Hours]])+MINUTE(Tabel1[[#This Row],[Total Hours]])/60+SECOND(Tabel1[[#This Row],[Total Hours]])/3600</f>
        <v>2</v>
      </c>
      <c r="P78" s="6">
        <f>Tabel1[[#This Row],[End Time]]+(Tabel1[[#This Row],[End Time]]&lt;Tabel1[[#This Row],[Start time]])</f>
        <v>0.41666666666666669</v>
      </c>
      <c r="Q7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79" spans="1:17" x14ac:dyDescent="0.35">
      <c r="A79" s="32"/>
      <c r="B79" s="32">
        <f t="shared" si="1"/>
        <v>72</v>
      </c>
      <c r="C79" s="32" t="str">
        <f>IFERROR(VLOOKUP(Tabel1[[#This Row],[Model]],Tableau2[[Model]:[Parking Number]],2,FALSE)," ")</f>
        <v>WT1</v>
      </c>
      <c r="D79" s="35">
        <v>45523</v>
      </c>
      <c r="E79" s="32" t="str">
        <f>IF(Tabel1[[#This Row],[Model]]="", "",INDEX(Tableau2[Equipment Type],MATCH(Tabel1[[#This Row],[Model]],Tableau2[Model],0)))</f>
        <v>Water Truck</v>
      </c>
      <c r="F79" s="4" t="s">
        <v>47</v>
      </c>
      <c r="G79" s="4" t="str">
        <f>IF(Tabel1[[#This Row],[Model]]="", "",INDEX(Tableau2[Equipment],MATCH(Tabel1[[#This Row],[Model]],Tableau2[Model],0)))</f>
        <v>Water Truck 20T / 1924.1</v>
      </c>
      <c r="H79" s="4" t="s">
        <v>56</v>
      </c>
      <c r="I79" s="10" t="s">
        <v>57</v>
      </c>
      <c r="J79" s="4">
        <v>5246135</v>
      </c>
      <c r="K79" s="9">
        <v>0.33333333333333331</v>
      </c>
      <c r="L79" s="9">
        <v>4.1666666666666664E-2</v>
      </c>
      <c r="M79" s="9">
        <v>0.70833333333333337</v>
      </c>
      <c r="N7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79" s="30">
        <f>HOUR(Tabel1[[#This Row],[Total Hours]])+MINUTE(Tabel1[[#This Row],[Total Hours]])/60+SECOND(Tabel1[[#This Row],[Total Hours]])/3600</f>
        <v>8</v>
      </c>
      <c r="P79" s="6">
        <f>Tabel1[[#This Row],[End Time]]+(Tabel1[[#This Row],[End Time]]&lt;Tabel1[[#This Row],[Start time]])</f>
        <v>0.70833333333333337</v>
      </c>
      <c r="Q7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80" spans="1:17" x14ac:dyDescent="0.35">
      <c r="A80" s="32"/>
      <c r="B80" s="32">
        <f t="shared" si="1"/>
        <v>73</v>
      </c>
      <c r="C80" s="32" t="str">
        <f>IFERROR(VLOOKUP(Tabel1[[#This Row],[Model]],Tableau2[[Model]:[Parking Number]],2,FALSE)," ")</f>
        <v>WT2</v>
      </c>
      <c r="D80" s="35">
        <v>45523</v>
      </c>
      <c r="E80" s="32" t="str">
        <f>IF(Tabel1[[#This Row],[Model]]="", "",INDEX(Tableau2[Equipment Type],MATCH(Tabel1[[#This Row],[Model]],Tableau2[Model],0)))</f>
        <v>Water Truck</v>
      </c>
      <c r="F80" s="4" t="s">
        <v>48</v>
      </c>
      <c r="G80" s="4" t="str">
        <f>IF(Tabel1[[#This Row],[Model]]="", "",INDEX(Tableau2[Equipment],MATCH(Tabel1[[#This Row],[Model]],Tableau2[Model],0)))</f>
        <v>Water Truck 20T / 1924.2</v>
      </c>
      <c r="H80" s="4" t="s">
        <v>56</v>
      </c>
      <c r="I80" s="10" t="s">
        <v>57</v>
      </c>
      <c r="J80" s="4">
        <v>5246135</v>
      </c>
      <c r="K80" s="9">
        <v>0.33333333333333331</v>
      </c>
      <c r="L80" s="9">
        <v>4.1666666666666664E-2</v>
      </c>
      <c r="M80" s="9">
        <v>0.70833333333333337</v>
      </c>
      <c r="N8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80" s="30">
        <f>HOUR(Tabel1[[#This Row],[Total Hours]])+MINUTE(Tabel1[[#This Row],[Total Hours]])/60+SECOND(Tabel1[[#This Row],[Total Hours]])/3600</f>
        <v>8</v>
      </c>
      <c r="P80" s="6">
        <f>Tabel1[[#This Row],[End Time]]+(Tabel1[[#This Row],[End Time]]&lt;Tabel1[[#This Row],[Start time]])</f>
        <v>0.70833333333333337</v>
      </c>
      <c r="Q8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81" spans="1:17" x14ac:dyDescent="0.35">
      <c r="A81" s="32"/>
      <c r="B81" s="32">
        <f t="shared" si="1"/>
        <v>74</v>
      </c>
      <c r="C81" s="32" t="str">
        <f>IFERROR(VLOOKUP(Tabel1[[#This Row],[Model]],Tableau2[[Model]:[Parking Number]],2,FALSE)," ")</f>
        <v>WT3</v>
      </c>
      <c r="D81" s="35">
        <v>45523</v>
      </c>
      <c r="E81" s="32" t="str">
        <f>IF(Tabel1[[#This Row],[Model]]="", "",INDEX(Tableau2[Equipment Type],MATCH(Tabel1[[#This Row],[Model]],Tableau2[Model],0)))</f>
        <v>Water Truck</v>
      </c>
      <c r="F81" s="4" t="s">
        <v>49</v>
      </c>
      <c r="G81" s="4" t="str">
        <f>IF(Tabel1[[#This Row],[Model]]="", "",INDEX(Tableau2[Equipment],MATCH(Tabel1[[#This Row],[Model]],Tableau2[Model],0)))</f>
        <v>Water Truck 20T / 1924.3</v>
      </c>
      <c r="H81" s="4" t="s">
        <v>56</v>
      </c>
      <c r="I81" s="10" t="s">
        <v>57</v>
      </c>
      <c r="J81" s="4">
        <v>5246135</v>
      </c>
      <c r="K81" s="9">
        <v>0.33333333333333331</v>
      </c>
      <c r="L81" s="9">
        <v>4.1666666666666664E-2</v>
      </c>
      <c r="M81" s="9">
        <v>0.70833333333333337</v>
      </c>
      <c r="N8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81" s="30">
        <f>HOUR(Tabel1[[#This Row],[Total Hours]])+MINUTE(Tabel1[[#This Row],[Total Hours]])/60+SECOND(Tabel1[[#This Row],[Total Hours]])/3600</f>
        <v>8</v>
      </c>
      <c r="P81" s="6">
        <f>Tabel1[[#This Row],[End Time]]+(Tabel1[[#This Row],[End Time]]&lt;Tabel1[[#This Row],[Start time]])</f>
        <v>0.70833333333333337</v>
      </c>
      <c r="Q8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82" spans="1:17" x14ac:dyDescent="0.35">
      <c r="A82" s="32"/>
      <c r="B82" s="32">
        <f t="shared" si="1"/>
        <v>75</v>
      </c>
      <c r="C82" s="32" t="str">
        <f>IFERROR(VLOOKUP(Tabel1[[#This Row],[Model]],Tableau2[[Model]:[Parking Number]],2,FALSE)," ")</f>
        <v>WT9</v>
      </c>
      <c r="D82" s="35">
        <v>45523</v>
      </c>
      <c r="E82" s="32" t="str">
        <f>IF(Tabel1[[#This Row],[Model]]="", "",INDEX(Tableau2[Equipment Type],MATCH(Tabel1[[#This Row],[Model]],Tableau2[Model],0)))</f>
        <v>Water Truck</v>
      </c>
      <c r="F82" s="4" t="s">
        <v>50</v>
      </c>
      <c r="G82" s="4" t="str">
        <f>IF(Tabel1[[#This Row],[Model]]="", "",INDEX(Tableau2[Equipment],MATCH(Tabel1[[#This Row],[Model]],Tableau2[Model],0)))</f>
        <v>Water Truck 20T / WT09</v>
      </c>
      <c r="H82" s="4" t="s">
        <v>56</v>
      </c>
      <c r="I82" s="10" t="s">
        <v>57</v>
      </c>
      <c r="J82" s="4">
        <v>5246135</v>
      </c>
      <c r="K82" s="9">
        <v>0.33333333333333331</v>
      </c>
      <c r="L82" s="9">
        <v>4.1666666666666664E-2</v>
      </c>
      <c r="M82" s="9">
        <v>0.70833333333333337</v>
      </c>
      <c r="N8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82" s="30">
        <f>HOUR(Tabel1[[#This Row],[Total Hours]])+MINUTE(Tabel1[[#This Row],[Total Hours]])/60+SECOND(Tabel1[[#This Row],[Total Hours]])/3600</f>
        <v>8</v>
      </c>
      <c r="P82" s="6">
        <f>Tabel1[[#This Row],[End Time]]+(Tabel1[[#This Row],[End Time]]&lt;Tabel1[[#This Row],[Start time]])</f>
        <v>0.70833333333333337</v>
      </c>
      <c r="Q8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83" spans="1:17" x14ac:dyDescent="0.35">
      <c r="A83" s="32"/>
      <c r="B83" s="32">
        <f t="shared" si="1"/>
        <v>76</v>
      </c>
      <c r="C83" s="32" t="str">
        <f>IFERROR(VLOOKUP(Tabel1[[#This Row],[Model]],Tableau2[[Model]:[Parking Number]],2,FALSE)," ")</f>
        <v>GR1</v>
      </c>
      <c r="D83" s="35">
        <v>45523</v>
      </c>
      <c r="E83" s="32" t="str">
        <f>IF(Tabel1[[#This Row],[Model]]="", "",INDEX(Tableau2[Equipment Type],MATCH(Tabel1[[#This Row],[Model]],Tableau2[Model],0)))</f>
        <v>Grader</v>
      </c>
      <c r="F83" s="4" t="s">
        <v>63</v>
      </c>
      <c r="G83" s="4" t="str">
        <f>IF(Tabel1[[#This Row],[Model]]="", "",INDEX(Tableau2[Equipment],MATCH(Tabel1[[#This Row],[Model]],Tableau2[Model],0)))</f>
        <v>CAT12K.1</v>
      </c>
      <c r="H83" s="4" t="s">
        <v>56</v>
      </c>
      <c r="I83" s="10" t="s">
        <v>57</v>
      </c>
      <c r="J83" s="4">
        <v>5246135</v>
      </c>
      <c r="K83" s="9">
        <v>0.33333333333333331</v>
      </c>
      <c r="L83" s="9">
        <v>4.1666666666666664E-2</v>
      </c>
      <c r="M83" s="9">
        <v>0.70833333333333337</v>
      </c>
      <c r="N8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83" s="30">
        <f>HOUR(Tabel1[[#This Row],[Total Hours]])+MINUTE(Tabel1[[#This Row],[Total Hours]])/60+SECOND(Tabel1[[#This Row],[Total Hours]])/3600</f>
        <v>8</v>
      </c>
      <c r="P83" s="6">
        <f>Tabel1[[#This Row],[End Time]]+(Tabel1[[#This Row],[End Time]]&lt;Tabel1[[#This Row],[Start time]])</f>
        <v>0.70833333333333337</v>
      </c>
      <c r="Q8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84" spans="1:17" x14ac:dyDescent="0.35">
      <c r="A84" s="32"/>
      <c r="B84" s="32">
        <f t="shared" si="1"/>
        <v>77</v>
      </c>
      <c r="C84" s="32" t="str">
        <f>IFERROR(VLOOKUP(Tabel1[[#This Row],[Model]],Tableau2[[Model]:[Parking Number]],2,FALSE)," ")</f>
        <v>GR2</v>
      </c>
      <c r="D84" s="35">
        <v>45523</v>
      </c>
      <c r="E84" s="32" t="str">
        <f>IF(Tabel1[[#This Row],[Model]]="", "",INDEX(Tableau2[Equipment Type],MATCH(Tabel1[[#This Row],[Model]],Tableau2[Model],0)))</f>
        <v>Grader</v>
      </c>
      <c r="F84" s="4" t="s">
        <v>39</v>
      </c>
      <c r="G84" s="4" t="str">
        <f>IF(Tabel1[[#This Row],[Model]]="", "",INDEX(Tableau2[Equipment],MATCH(Tabel1[[#This Row],[Model]],Tableau2[Model],0)))</f>
        <v>CAT12K.2</v>
      </c>
      <c r="H84" s="4" t="s">
        <v>56</v>
      </c>
      <c r="I84" s="10" t="s">
        <v>57</v>
      </c>
      <c r="J84" s="4">
        <v>5246135</v>
      </c>
      <c r="K84" s="9">
        <v>0.33333333333333331</v>
      </c>
      <c r="L84" s="9">
        <v>4.1666666666666664E-2</v>
      </c>
      <c r="M84" s="9">
        <v>0.70833333333333337</v>
      </c>
      <c r="N8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84" s="30">
        <f>HOUR(Tabel1[[#This Row],[Total Hours]])+MINUTE(Tabel1[[#This Row],[Total Hours]])/60+SECOND(Tabel1[[#This Row],[Total Hours]])/3600</f>
        <v>8</v>
      </c>
      <c r="P84" s="6">
        <f>Tabel1[[#This Row],[End Time]]+(Tabel1[[#This Row],[End Time]]&lt;Tabel1[[#This Row],[Start time]])</f>
        <v>0.70833333333333337</v>
      </c>
      <c r="Q8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85" spans="1:17" x14ac:dyDescent="0.35">
      <c r="A85" s="32"/>
      <c r="B85" s="32">
        <f t="shared" si="1"/>
        <v>78</v>
      </c>
      <c r="C85" s="32" t="str">
        <f>IFERROR(VLOOKUP(Tabel1[[#This Row],[Model]],Tableau2[[Model]:[Parking Number]],2,FALSE)," ")</f>
        <v>FEL4</v>
      </c>
      <c r="D85" s="35">
        <v>45523</v>
      </c>
      <c r="E85" s="32" t="str">
        <f>IF(Tabel1[[#This Row],[Model]]="", "",INDEX(Tableau2[Equipment Type],MATCH(Tabel1[[#This Row],[Model]],Tableau2[Model],0)))</f>
        <v>Loader</v>
      </c>
      <c r="F85" s="4" t="s">
        <v>40</v>
      </c>
      <c r="G85" s="4" t="str">
        <f>IF(Tabel1[[#This Row],[Model]]="", "",INDEX(Tableau2[Equipment],MATCH(Tabel1[[#This Row],[Model]],Tableau2[Model],0)))</f>
        <v>Cat972G.2</v>
      </c>
      <c r="H85" s="4" t="s">
        <v>56</v>
      </c>
      <c r="I85" s="10" t="s">
        <v>57</v>
      </c>
      <c r="J85" s="4">
        <v>5246135</v>
      </c>
      <c r="K85" s="9">
        <v>0.33333333333333331</v>
      </c>
      <c r="L85" s="9">
        <v>4.1666666666666664E-2</v>
      </c>
      <c r="M85" s="9">
        <v>0.70833333333333337</v>
      </c>
      <c r="N8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85" s="30">
        <f>HOUR(Tabel1[[#This Row],[Total Hours]])+MINUTE(Tabel1[[#This Row],[Total Hours]])/60+SECOND(Tabel1[[#This Row],[Total Hours]])/3600</f>
        <v>8</v>
      </c>
      <c r="P85" s="6">
        <f>Tabel1[[#This Row],[End Time]]+(Tabel1[[#This Row],[End Time]]&lt;Tabel1[[#This Row],[Start time]])</f>
        <v>0.70833333333333337</v>
      </c>
      <c r="Q8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86" spans="1:17" x14ac:dyDescent="0.35">
      <c r="A86" s="32"/>
      <c r="B86" s="32">
        <f t="shared" si="1"/>
        <v>79</v>
      </c>
      <c r="C86" s="32" t="str">
        <f>IFERROR(VLOOKUP(Tabel1[[#This Row],[Model]],Tableau2[[Model]:[Parking Number]],2,FALSE)," ")</f>
        <v>TD1</v>
      </c>
      <c r="D86" s="35">
        <v>45523</v>
      </c>
      <c r="E86" s="32" t="str">
        <f>IF(Tabel1[[#This Row],[Model]]="", "",INDEX(Tableau2[Equipment Type],MATCH(Tabel1[[#This Row],[Model]],Tableau2[Model],0)))</f>
        <v>Bulldozer</v>
      </c>
      <c r="F86" s="4" t="s">
        <v>70</v>
      </c>
      <c r="G86" s="4" t="str">
        <f>IF(Tabel1[[#This Row],[Model]]="", "",INDEX(Tableau2[Equipment],MATCH(Tabel1[[#This Row],[Model]],Tableau2[Model],0)))</f>
        <v>CATD8R.1</v>
      </c>
      <c r="H86" s="4" t="s">
        <v>56</v>
      </c>
      <c r="I86" s="10" t="s">
        <v>161</v>
      </c>
      <c r="J86" s="4">
        <v>5092509</v>
      </c>
      <c r="K86" s="9">
        <v>0.33333333333333331</v>
      </c>
      <c r="L86" s="9">
        <v>4.1666666666666664E-2</v>
      </c>
      <c r="M86" s="9">
        <v>0.70833333333333337</v>
      </c>
      <c r="N8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86" s="30">
        <f>HOUR(Tabel1[[#This Row],[Total Hours]])+MINUTE(Tabel1[[#This Row],[Total Hours]])/60+SECOND(Tabel1[[#This Row],[Total Hours]])/3600</f>
        <v>8</v>
      </c>
      <c r="P86" s="6">
        <f>Tabel1[[#This Row],[End Time]]+(Tabel1[[#This Row],[End Time]]&lt;Tabel1[[#This Row],[Start time]])</f>
        <v>0.70833333333333337</v>
      </c>
      <c r="Q8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87" spans="1:17" x14ac:dyDescent="0.35">
      <c r="A87" s="32"/>
      <c r="B87" s="32">
        <f t="shared" si="1"/>
        <v>80</v>
      </c>
      <c r="C87" s="32" t="str">
        <f>IFERROR(VLOOKUP(Tabel1[[#This Row],[Model]],Tableau2[[Model]:[Parking Number]],2,FALSE)," ")</f>
        <v>FEL1</v>
      </c>
      <c r="D87" s="35">
        <v>45523</v>
      </c>
      <c r="E87" s="32" t="str">
        <f>IF(Tabel1[[#This Row],[Model]]="", "",INDEX(Tableau2[Equipment Type],MATCH(Tabel1[[#This Row],[Model]],Tableau2[Model],0)))</f>
        <v>Loader</v>
      </c>
      <c r="F87" s="4" t="s">
        <v>46</v>
      </c>
      <c r="G87" s="4" t="str">
        <f>IF(Tabel1[[#This Row],[Model]]="", "",INDEX(Tableau2[Equipment],MATCH(Tabel1[[#This Row],[Model]],Tableau2[Model],0)))</f>
        <v>Cat966H.1</v>
      </c>
      <c r="H87" s="4" t="s">
        <v>66</v>
      </c>
      <c r="I87" s="10" t="s">
        <v>162</v>
      </c>
      <c r="J87" s="4">
        <v>5198487</v>
      </c>
      <c r="K87" s="9">
        <v>0.29166666666666669</v>
      </c>
      <c r="L87" s="9">
        <v>4.1666666666666664E-2</v>
      </c>
      <c r="M87" s="9">
        <v>0.79166666666666663</v>
      </c>
      <c r="N8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87" s="30">
        <f>HOUR(Tabel1[[#This Row],[Total Hours]])+MINUTE(Tabel1[[#This Row],[Total Hours]])/60+SECOND(Tabel1[[#This Row],[Total Hours]])/3600</f>
        <v>11</v>
      </c>
      <c r="P87" s="6">
        <f>Tabel1[[#This Row],[End Time]]+(Tabel1[[#This Row],[End Time]]&lt;Tabel1[[#This Row],[Start time]])</f>
        <v>0.79166666666666663</v>
      </c>
      <c r="Q8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88" spans="1:17" x14ac:dyDescent="0.35">
      <c r="A88" s="32"/>
      <c r="B88" s="32">
        <f t="shared" si="1"/>
        <v>81</v>
      </c>
      <c r="C88" s="32" t="str">
        <f>IFERROR(VLOOKUP(Tabel1[[#This Row],[Model]],Tableau2[[Model]:[Parking Number]],2,FALSE)," ")</f>
        <v>FEL1</v>
      </c>
      <c r="D88" s="35">
        <v>45523</v>
      </c>
      <c r="E88" s="32" t="str">
        <f>IF(Tabel1[[#This Row],[Model]]="", "",INDEX(Tableau2[Equipment Type],MATCH(Tabel1[[#This Row],[Model]],Tableau2[Model],0)))</f>
        <v>Loader</v>
      </c>
      <c r="F88" s="4" t="s">
        <v>46</v>
      </c>
      <c r="G88" s="4" t="str">
        <f>IF(Tabel1[[#This Row],[Model]]="", "",INDEX(Tableau2[Equipment],MATCH(Tabel1[[#This Row],[Model]],Tableau2[Model],0)))</f>
        <v>Cat966H.1</v>
      </c>
      <c r="H88" s="4" t="s">
        <v>66</v>
      </c>
      <c r="I88" s="10" t="s">
        <v>162</v>
      </c>
      <c r="J88" s="4">
        <v>5198487</v>
      </c>
      <c r="K88" s="9">
        <v>0.79166666666666663</v>
      </c>
      <c r="L88" s="9">
        <v>0</v>
      </c>
      <c r="M88" s="9">
        <v>0.20833333333333334</v>
      </c>
      <c r="N8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23.416666666666664</v>
      </c>
      <c r="O88" s="30">
        <f>HOUR(Tabel1[[#This Row],[Total Hours]])+MINUTE(Tabel1[[#This Row],[Total Hours]])/60+SECOND(Tabel1[[#This Row],[Total Hours]])/3600</f>
        <v>10</v>
      </c>
      <c r="P88" s="6">
        <f>Tabel1[[#This Row],[End Time]]+(Tabel1[[#This Row],[End Time]]&lt;Tabel1[[#This Row],[Start time]])</f>
        <v>1.2083333333333333</v>
      </c>
      <c r="Q8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89" spans="1:17" x14ac:dyDescent="0.35">
      <c r="A89" s="32"/>
      <c r="B89" s="32">
        <f t="shared" si="1"/>
        <v>82</v>
      </c>
      <c r="C89" s="32" t="str">
        <f>IFERROR(VLOOKUP(Tabel1[[#This Row],[Model]],Tableau2[[Model]:[Parking Number]],2,FALSE)," ")</f>
        <v>TT17</v>
      </c>
      <c r="D89" s="35">
        <v>45523</v>
      </c>
      <c r="E89" s="32" t="str">
        <f>IF(Tabel1[[#This Row],[Model]]="", "",INDEX(Tableau2[Equipment Type],MATCH(Tabel1[[#This Row],[Model]],Tableau2[Model],0)))</f>
        <v>Tipper Truck</v>
      </c>
      <c r="F89" s="4" t="s">
        <v>51</v>
      </c>
      <c r="G89" s="4" t="str">
        <f>IF(Tabel1[[#This Row],[Model]]="", "",INDEX(Tableau2[Equipment],MATCH(Tabel1[[#This Row],[Model]],Tableau2[Model],0)))</f>
        <v>Tipper Truck 20m3 / F17</v>
      </c>
      <c r="H89" s="4" t="s">
        <v>66</v>
      </c>
      <c r="I89" s="10" t="s">
        <v>162</v>
      </c>
      <c r="J89" s="4">
        <v>5198487</v>
      </c>
      <c r="K89" s="9">
        <v>0.29166666666666669</v>
      </c>
      <c r="L89" s="9">
        <v>4.1666666666666664E-2</v>
      </c>
      <c r="M89" s="9">
        <v>0.79166666666666663</v>
      </c>
      <c r="N8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89" s="30">
        <f>HOUR(Tabel1[[#This Row],[Total Hours]])+MINUTE(Tabel1[[#This Row],[Total Hours]])/60+SECOND(Tabel1[[#This Row],[Total Hours]])/3600</f>
        <v>11</v>
      </c>
      <c r="P89" s="6">
        <f>Tabel1[[#This Row],[End Time]]+(Tabel1[[#This Row],[End Time]]&lt;Tabel1[[#This Row],[Start time]])</f>
        <v>0.79166666666666663</v>
      </c>
      <c r="Q8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90" spans="1:17" x14ac:dyDescent="0.35">
      <c r="A90" s="32"/>
      <c r="B90" s="32">
        <f t="shared" si="1"/>
        <v>83</v>
      </c>
      <c r="C90" s="32" t="str">
        <f>IFERROR(VLOOKUP(Tabel1[[#This Row],[Model]],Tableau2[[Model]:[Parking Number]],2,FALSE)," ")</f>
        <v>WT8</v>
      </c>
      <c r="D90" s="35">
        <v>45523</v>
      </c>
      <c r="E90" s="32" t="str">
        <f>IF(Tabel1[[#This Row],[Model]]="", "",INDEX(Tableau2[Equipment Type],MATCH(Tabel1[[#This Row],[Model]],Tableau2[Model],0)))</f>
        <v>Water Truck</v>
      </c>
      <c r="F90" s="4" t="s">
        <v>52</v>
      </c>
      <c r="G90" s="4" t="str">
        <f>IF(Tabel1[[#This Row],[Model]]="", "",INDEX(Tableau2[Equipment],MATCH(Tabel1[[#This Row],[Model]],Tableau2[Model],0)))</f>
        <v>Water Truck 20T / WT08</v>
      </c>
      <c r="H90" s="4" t="s">
        <v>163</v>
      </c>
      <c r="I90" s="10" t="s">
        <v>164</v>
      </c>
      <c r="J90" s="4">
        <v>5253778</v>
      </c>
      <c r="K90" s="9">
        <v>0.29166666666666669</v>
      </c>
      <c r="L90" s="9">
        <v>4.1666666666666664E-2</v>
      </c>
      <c r="M90" s="9">
        <v>0.70833333333333337</v>
      </c>
      <c r="N9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0.375</v>
      </c>
      <c r="O90" s="30">
        <f>HOUR(Tabel1[[#This Row],[Total Hours]])+MINUTE(Tabel1[[#This Row],[Total Hours]])/60+SECOND(Tabel1[[#This Row],[Total Hours]])/3600</f>
        <v>9</v>
      </c>
      <c r="P90" s="6">
        <f>Tabel1[[#This Row],[End Time]]+(Tabel1[[#This Row],[End Time]]&lt;Tabel1[[#This Row],[Start time]])</f>
        <v>0.70833333333333337</v>
      </c>
      <c r="Q9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91" spans="1:17" x14ac:dyDescent="0.35">
      <c r="A91" s="32"/>
      <c r="B91" s="32">
        <f t="shared" si="1"/>
        <v>84</v>
      </c>
      <c r="C91" s="32" t="str">
        <f>IFERROR(VLOOKUP(Tabel1[[#This Row],[Model]],Tableau2[[Model]:[Parking Number]],2,FALSE)," ")</f>
        <v>FEL2</v>
      </c>
      <c r="D91" s="35">
        <v>45523</v>
      </c>
      <c r="E91" s="32" t="str">
        <f>IF(Tabel1[[#This Row],[Model]]="", "",INDEX(Tableau2[Equipment Type],MATCH(Tabel1[[#This Row],[Model]],Tableau2[Model],0)))</f>
        <v>Loader</v>
      </c>
      <c r="F91" s="4" t="s">
        <v>42</v>
      </c>
      <c r="G91" s="4" t="str">
        <f>IF(Tabel1[[#This Row],[Model]]="", "",INDEX(Tableau2[Equipment],MATCH(Tabel1[[#This Row],[Model]],Tableau2[Model],0)))</f>
        <v>Cat966H.2</v>
      </c>
      <c r="H91" s="4" t="s">
        <v>182</v>
      </c>
      <c r="I91" s="10" t="s">
        <v>183</v>
      </c>
      <c r="J91" s="4">
        <v>5253954</v>
      </c>
      <c r="K91" s="9">
        <v>0.41666666666666669</v>
      </c>
      <c r="L91" s="9">
        <v>0</v>
      </c>
      <c r="M91" s="9">
        <v>0.54166666666666663</v>
      </c>
      <c r="N9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0.12499999999999994</v>
      </c>
      <c r="O91" s="30">
        <f>HOUR(Tabel1[[#This Row],[Total Hours]])+MINUTE(Tabel1[[#This Row],[Total Hours]])/60+SECOND(Tabel1[[#This Row],[Total Hours]])/3600</f>
        <v>3</v>
      </c>
      <c r="P91" s="6">
        <f>Tabel1[[#This Row],[End Time]]+(Tabel1[[#This Row],[End Time]]&lt;Tabel1[[#This Row],[Start time]])</f>
        <v>0.54166666666666663</v>
      </c>
      <c r="Q9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92" spans="1:17" x14ac:dyDescent="0.35">
      <c r="A92" s="32"/>
      <c r="B92" s="32">
        <f t="shared" si="1"/>
        <v>85</v>
      </c>
      <c r="C92" s="32" t="str">
        <f>IFERROR(VLOOKUP(Tabel1[[#This Row],[Model]],Tableau2[[Model]:[Parking Number]],2,FALSE)," ")</f>
        <v>TT87</v>
      </c>
      <c r="D92" s="35">
        <v>45523</v>
      </c>
      <c r="E92" s="32" t="str">
        <f>IF(Tabel1[[#This Row],[Model]]="", "",INDEX(Tableau2[Equipment Type],MATCH(Tabel1[[#This Row],[Model]],Tableau2[Model],0)))</f>
        <v>Tipper Truck</v>
      </c>
      <c r="F92" s="4" t="s">
        <v>79</v>
      </c>
      <c r="G92" s="4" t="str">
        <f>IF(Tabel1[[#This Row],[Model]]="", "",INDEX(Tableau2[Equipment],MATCH(Tabel1[[#This Row],[Model]],Tableau2[Model],0)))</f>
        <v>Tipper Truck 20m3 / F87</v>
      </c>
      <c r="H92" s="4" t="s">
        <v>182</v>
      </c>
      <c r="I92" s="10" t="s">
        <v>183</v>
      </c>
      <c r="J92" s="4">
        <v>5253954</v>
      </c>
      <c r="K92" s="9">
        <v>0.41666666666666669</v>
      </c>
      <c r="L92" s="9">
        <v>0</v>
      </c>
      <c r="M92" s="9">
        <v>0.54166666666666663</v>
      </c>
      <c r="N9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0.12499999999999994</v>
      </c>
      <c r="O92" s="30">
        <f>HOUR(Tabel1[[#This Row],[Total Hours]])+MINUTE(Tabel1[[#This Row],[Total Hours]])/60+SECOND(Tabel1[[#This Row],[Total Hours]])/3600</f>
        <v>3</v>
      </c>
      <c r="P92" s="6">
        <f>Tabel1[[#This Row],[End Time]]+(Tabel1[[#This Row],[End Time]]&lt;Tabel1[[#This Row],[Start time]])</f>
        <v>0.54166666666666663</v>
      </c>
      <c r="Q9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93" spans="1:17" x14ac:dyDescent="0.35">
      <c r="A93" s="32"/>
      <c r="B93" s="32">
        <f t="shared" si="1"/>
        <v>86</v>
      </c>
      <c r="C93" s="32" t="str">
        <f>IFERROR(VLOOKUP(Tabel1[[#This Row],[Model]],Tableau2[[Model]:[Parking Number]],2,FALSE)," ")</f>
        <v>FEL2</v>
      </c>
      <c r="D93" s="35">
        <v>45523</v>
      </c>
      <c r="E93" s="32" t="str">
        <f>IF(Tabel1[[#This Row],[Model]]="", "",INDEX(Tableau2[Equipment Type],MATCH(Tabel1[[#This Row],[Model]],Tableau2[Model],0)))</f>
        <v>Loader</v>
      </c>
      <c r="F93" s="4" t="s">
        <v>42</v>
      </c>
      <c r="G93" s="4" t="str">
        <f>IF(Tabel1[[#This Row],[Model]]="", "",INDEX(Tableau2[Equipment],MATCH(Tabel1[[#This Row],[Model]],Tableau2[Model],0)))</f>
        <v>Cat966H.2</v>
      </c>
      <c r="H93" s="4" t="s">
        <v>184</v>
      </c>
      <c r="I93" s="10" t="s">
        <v>185</v>
      </c>
      <c r="J93" s="4">
        <v>5254073</v>
      </c>
      <c r="K93" s="9">
        <v>0.54166666666666663</v>
      </c>
      <c r="L93" s="9">
        <v>0</v>
      </c>
      <c r="M93" s="9">
        <v>0.79166666666666663</v>
      </c>
      <c r="N9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0.25</v>
      </c>
      <c r="O93" s="30">
        <f>HOUR(Tabel1[[#This Row],[Total Hours]])+MINUTE(Tabel1[[#This Row],[Total Hours]])/60+SECOND(Tabel1[[#This Row],[Total Hours]])/3600</f>
        <v>6</v>
      </c>
      <c r="P93" s="6">
        <f>Tabel1[[#This Row],[End Time]]+(Tabel1[[#This Row],[End Time]]&lt;Tabel1[[#This Row],[Start time]])</f>
        <v>0.79166666666666663</v>
      </c>
      <c r="Q9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94" spans="1:17" x14ac:dyDescent="0.35">
      <c r="A94" s="32"/>
      <c r="B94" s="32">
        <f t="shared" si="1"/>
        <v>87</v>
      </c>
      <c r="C94" s="32" t="str">
        <f>IFERROR(VLOOKUP(Tabel1[[#This Row],[Model]],Tableau2[[Model]:[Parking Number]],2,FALSE)," ")</f>
        <v>BL1</v>
      </c>
      <c r="D94" s="35">
        <v>45523</v>
      </c>
      <c r="E94" s="32" t="str">
        <f>IF(Tabel1[[#This Row],[Model]]="", "",INDEX(Tableau2[Equipment Type],MATCH(Tabel1[[#This Row],[Model]],Tableau2[Model],0)))</f>
        <v>Backhoe Loader</v>
      </c>
      <c r="F94" s="4" t="s">
        <v>76</v>
      </c>
      <c r="G94" s="4" t="str">
        <f>IF(Tabel1[[#This Row],[Model]]="", "",INDEX(Tableau2[Equipment],MATCH(Tabel1[[#This Row],[Model]],Tableau2[Model],0)))</f>
        <v>CAT432D</v>
      </c>
      <c r="H94" s="4" t="s">
        <v>173</v>
      </c>
      <c r="I94" s="10" t="s">
        <v>174</v>
      </c>
      <c r="J94" s="4">
        <v>5246410</v>
      </c>
      <c r="K94" s="9">
        <v>0.5</v>
      </c>
      <c r="L94" s="9">
        <v>0</v>
      </c>
      <c r="M94" s="9">
        <v>0.54166666666666663</v>
      </c>
      <c r="N9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4.166666666666663E-2</v>
      </c>
      <c r="O94" s="30">
        <f>HOUR(Tabel1[[#This Row],[Total Hours]])+MINUTE(Tabel1[[#This Row],[Total Hours]])/60+SECOND(Tabel1[[#This Row],[Total Hours]])/3600</f>
        <v>1</v>
      </c>
      <c r="P94" s="6">
        <f>Tabel1[[#This Row],[End Time]]+(Tabel1[[#This Row],[End Time]]&lt;Tabel1[[#This Row],[Start time]])</f>
        <v>0.54166666666666663</v>
      </c>
      <c r="Q9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95" spans="1:17" x14ac:dyDescent="0.35">
      <c r="A95" s="32"/>
      <c r="B95" s="32">
        <f t="shared" si="1"/>
        <v>88</v>
      </c>
      <c r="C95" s="32" t="str">
        <f>IFERROR(VLOOKUP(Tabel1[[#This Row],[Model]],Tableau2[[Model]:[Parking Number]],2,FALSE)," ")</f>
        <v>WT1</v>
      </c>
      <c r="D95" s="35">
        <v>45524</v>
      </c>
      <c r="E95" s="32" t="str">
        <f>IF(Tabel1[[#This Row],[Model]]="", "",INDEX(Tableau2[Equipment Type],MATCH(Tabel1[[#This Row],[Model]],Tableau2[Model],0)))</f>
        <v>Water Truck</v>
      </c>
      <c r="F95" s="4" t="s">
        <v>47</v>
      </c>
      <c r="G95" s="4" t="str">
        <f>IF(Tabel1[[#This Row],[Model]]="", "",INDEX(Tableau2[Equipment],MATCH(Tabel1[[#This Row],[Model]],Tableau2[Model],0)))</f>
        <v>Water Truck 20T / 1924.1</v>
      </c>
      <c r="H95" s="4" t="s">
        <v>56</v>
      </c>
      <c r="I95" s="10" t="s">
        <v>57</v>
      </c>
      <c r="J95" s="4">
        <v>5246135</v>
      </c>
      <c r="K95" s="9">
        <v>0.33333333333333331</v>
      </c>
      <c r="L95" s="9">
        <v>4.1666666666666664E-2</v>
      </c>
      <c r="M95" s="9">
        <v>0.70833333333333337</v>
      </c>
      <c r="N9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95" s="30">
        <f>HOUR(Tabel1[[#This Row],[Total Hours]])+MINUTE(Tabel1[[#This Row],[Total Hours]])/60+SECOND(Tabel1[[#This Row],[Total Hours]])/3600</f>
        <v>8</v>
      </c>
      <c r="P95" s="6">
        <f>Tabel1[[#This Row],[End Time]]+(Tabel1[[#This Row],[End Time]]&lt;Tabel1[[#This Row],[Start time]])</f>
        <v>0.70833333333333337</v>
      </c>
      <c r="Q9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96" spans="1:17" x14ac:dyDescent="0.35">
      <c r="A96" s="32"/>
      <c r="B96" s="32">
        <f t="shared" si="1"/>
        <v>89</v>
      </c>
      <c r="C96" s="32" t="str">
        <f>IFERROR(VLOOKUP(Tabel1[[#This Row],[Model]],Tableau2[[Model]:[Parking Number]],2,FALSE)," ")</f>
        <v>WT2</v>
      </c>
      <c r="D96" s="35">
        <v>45524</v>
      </c>
      <c r="E96" s="32" t="str">
        <f>IF(Tabel1[[#This Row],[Model]]="", "",INDEX(Tableau2[Equipment Type],MATCH(Tabel1[[#This Row],[Model]],Tableau2[Model],0)))</f>
        <v>Water Truck</v>
      </c>
      <c r="F96" s="4" t="s">
        <v>48</v>
      </c>
      <c r="G96" s="4" t="str">
        <f>IF(Tabel1[[#This Row],[Model]]="", "",INDEX(Tableau2[Equipment],MATCH(Tabel1[[#This Row],[Model]],Tableau2[Model],0)))</f>
        <v>Water Truck 20T / 1924.2</v>
      </c>
      <c r="H96" s="4" t="s">
        <v>56</v>
      </c>
      <c r="I96" s="10" t="s">
        <v>57</v>
      </c>
      <c r="J96" s="4">
        <v>5246135</v>
      </c>
      <c r="K96" s="9">
        <v>0.33333333333333331</v>
      </c>
      <c r="L96" s="9">
        <v>4.1666666666666664E-2</v>
      </c>
      <c r="M96" s="9">
        <v>0.70833333333333337</v>
      </c>
      <c r="N9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96" s="30">
        <f>HOUR(Tabel1[[#This Row],[Total Hours]])+MINUTE(Tabel1[[#This Row],[Total Hours]])/60+SECOND(Tabel1[[#This Row],[Total Hours]])/3600</f>
        <v>8</v>
      </c>
      <c r="P96" s="6">
        <f>Tabel1[[#This Row],[End Time]]+(Tabel1[[#This Row],[End Time]]&lt;Tabel1[[#This Row],[Start time]])</f>
        <v>0.70833333333333337</v>
      </c>
      <c r="Q9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97" spans="1:17" x14ac:dyDescent="0.35">
      <c r="A97" s="32"/>
      <c r="B97" s="32">
        <f t="shared" si="1"/>
        <v>90</v>
      </c>
      <c r="C97" s="32" t="str">
        <f>IFERROR(VLOOKUP(Tabel1[[#This Row],[Model]],Tableau2[[Model]:[Parking Number]],2,FALSE)," ")</f>
        <v>WT3</v>
      </c>
      <c r="D97" s="35">
        <v>45524</v>
      </c>
      <c r="E97" s="32" t="str">
        <f>IF(Tabel1[[#This Row],[Model]]="", "",INDEX(Tableau2[Equipment Type],MATCH(Tabel1[[#This Row],[Model]],Tableau2[Model],0)))</f>
        <v>Water Truck</v>
      </c>
      <c r="F97" s="4" t="s">
        <v>49</v>
      </c>
      <c r="G97" s="4" t="str">
        <f>IF(Tabel1[[#This Row],[Model]]="", "",INDEX(Tableau2[Equipment],MATCH(Tabel1[[#This Row],[Model]],Tableau2[Model],0)))</f>
        <v>Water Truck 20T / 1924.3</v>
      </c>
      <c r="H97" s="4" t="s">
        <v>56</v>
      </c>
      <c r="I97" s="10" t="s">
        <v>57</v>
      </c>
      <c r="J97" s="4">
        <v>5246135</v>
      </c>
      <c r="K97" s="9">
        <v>0.33333333333333331</v>
      </c>
      <c r="L97" s="9">
        <v>4.1666666666666664E-2</v>
      </c>
      <c r="M97" s="9">
        <v>0.70833333333333337</v>
      </c>
      <c r="N9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97" s="30">
        <f>HOUR(Tabel1[[#This Row],[Total Hours]])+MINUTE(Tabel1[[#This Row],[Total Hours]])/60+SECOND(Tabel1[[#This Row],[Total Hours]])/3600</f>
        <v>8</v>
      </c>
      <c r="P97" s="6">
        <f>Tabel1[[#This Row],[End Time]]+(Tabel1[[#This Row],[End Time]]&lt;Tabel1[[#This Row],[Start time]])</f>
        <v>0.70833333333333337</v>
      </c>
      <c r="Q9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98" spans="1:17" x14ac:dyDescent="0.35">
      <c r="A98" s="32"/>
      <c r="B98" s="32">
        <f t="shared" si="1"/>
        <v>91</v>
      </c>
      <c r="C98" s="32" t="str">
        <f>IFERROR(VLOOKUP(Tabel1[[#This Row],[Model]],Tableau2[[Model]:[Parking Number]],2,FALSE)," ")</f>
        <v>WT9</v>
      </c>
      <c r="D98" s="35">
        <v>45524</v>
      </c>
      <c r="E98" s="32" t="str">
        <f>IF(Tabel1[[#This Row],[Model]]="", "",INDEX(Tableau2[Equipment Type],MATCH(Tabel1[[#This Row],[Model]],Tableau2[Model],0)))</f>
        <v>Water Truck</v>
      </c>
      <c r="F98" s="4" t="s">
        <v>50</v>
      </c>
      <c r="G98" s="4" t="str">
        <f>IF(Tabel1[[#This Row],[Model]]="", "",INDEX(Tableau2[Equipment],MATCH(Tabel1[[#This Row],[Model]],Tableau2[Model],0)))</f>
        <v>Water Truck 20T / WT09</v>
      </c>
      <c r="H98" s="4" t="s">
        <v>56</v>
      </c>
      <c r="I98" s="10" t="s">
        <v>57</v>
      </c>
      <c r="J98" s="4">
        <v>5246135</v>
      </c>
      <c r="K98" s="9">
        <v>0.33333333333333331</v>
      </c>
      <c r="L98" s="9">
        <v>4.1666666666666664E-2</v>
      </c>
      <c r="M98" s="9">
        <v>0.70833333333333337</v>
      </c>
      <c r="N9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98" s="30">
        <f>HOUR(Tabel1[[#This Row],[Total Hours]])+MINUTE(Tabel1[[#This Row],[Total Hours]])/60+SECOND(Tabel1[[#This Row],[Total Hours]])/3600</f>
        <v>8</v>
      </c>
      <c r="P98" s="6">
        <f>Tabel1[[#This Row],[End Time]]+(Tabel1[[#This Row],[End Time]]&lt;Tabel1[[#This Row],[Start time]])</f>
        <v>0.70833333333333337</v>
      </c>
      <c r="Q9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99" spans="1:17" x14ac:dyDescent="0.35">
      <c r="A99" s="32"/>
      <c r="B99" s="32">
        <f t="shared" si="1"/>
        <v>92</v>
      </c>
      <c r="C99" s="32" t="str">
        <f>IFERROR(VLOOKUP(Tabel1[[#This Row],[Model]],Tableau2[[Model]:[Parking Number]],2,FALSE)," ")</f>
        <v>GR1</v>
      </c>
      <c r="D99" s="35">
        <v>45524</v>
      </c>
      <c r="E99" s="32" t="str">
        <f>IF(Tabel1[[#This Row],[Model]]="", "",INDEX(Tableau2[Equipment Type],MATCH(Tabel1[[#This Row],[Model]],Tableau2[Model],0)))</f>
        <v>Grader</v>
      </c>
      <c r="F99" s="4" t="s">
        <v>63</v>
      </c>
      <c r="G99" s="4" t="str">
        <f>IF(Tabel1[[#This Row],[Model]]="", "",INDEX(Tableau2[Equipment],MATCH(Tabel1[[#This Row],[Model]],Tableau2[Model],0)))</f>
        <v>CAT12K.1</v>
      </c>
      <c r="H99" s="4" t="s">
        <v>56</v>
      </c>
      <c r="I99" s="10" t="s">
        <v>57</v>
      </c>
      <c r="J99" s="4">
        <v>5246135</v>
      </c>
      <c r="K99" s="9">
        <v>0.33333333333333331</v>
      </c>
      <c r="L99" s="9">
        <v>4.1666666666666664E-2</v>
      </c>
      <c r="M99" s="9">
        <v>0.70833333333333337</v>
      </c>
      <c r="N9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99" s="30">
        <f>HOUR(Tabel1[[#This Row],[Total Hours]])+MINUTE(Tabel1[[#This Row],[Total Hours]])/60+SECOND(Tabel1[[#This Row],[Total Hours]])/3600</f>
        <v>8</v>
      </c>
      <c r="P99" s="6">
        <f>Tabel1[[#This Row],[End Time]]+(Tabel1[[#This Row],[End Time]]&lt;Tabel1[[#This Row],[Start time]])</f>
        <v>0.70833333333333337</v>
      </c>
      <c r="Q9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00" spans="1:17" x14ac:dyDescent="0.35">
      <c r="A100" s="32"/>
      <c r="B100" s="32">
        <f t="shared" si="1"/>
        <v>93</v>
      </c>
      <c r="C100" s="32" t="str">
        <f>IFERROR(VLOOKUP(Tabel1[[#This Row],[Model]],Tableau2[[Model]:[Parking Number]],2,FALSE)," ")</f>
        <v>GR2</v>
      </c>
      <c r="D100" s="35">
        <v>45524</v>
      </c>
      <c r="E100" s="32" t="str">
        <f>IF(Tabel1[[#This Row],[Model]]="", "",INDEX(Tableau2[Equipment Type],MATCH(Tabel1[[#This Row],[Model]],Tableau2[Model],0)))</f>
        <v>Grader</v>
      </c>
      <c r="F100" s="4" t="s">
        <v>39</v>
      </c>
      <c r="G100" s="4" t="str">
        <f>IF(Tabel1[[#This Row],[Model]]="", "",INDEX(Tableau2[Equipment],MATCH(Tabel1[[#This Row],[Model]],Tableau2[Model],0)))</f>
        <v>CAT12K.2</v>
      </c>
      <c r="H100" s="4" t="s">
        <v>56</v>
      </c>
      <c r="I100" s="10" t="s">
        <v>57</v>
      </c>
      <c r="J100" s="4">
        <v>5246135</v>
      </c>
      <c r="K100" s="9">
        <v>0.33333333333333331</v>
      </c>
      <c r="L100" s="9">
        <v>4.1666666666666664E-2</v>
      </c>
      <c r="M100" s="9">
        <v>0.70833333333333337</v>
      </c>
      <c r="N10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00" s="30">
        <f>HOUR(Tabel1[[#This Row],[Total Hours]])+MINUTE(Tabel1[[#This Row],[Total Hours]])/60+SECOND(Tabel1[[#This Row],[Total Hours]])/3600</f>
        <v>8</v>
      </c>
      <c r="P100" s="6">
        <f>Tabel1[[#This Row],[End Time]]+(Tabel1[[#This Row],[End Time]]&lt;Tabel1[[#This Row],[Start time]])</f>
        <v>0.70833333333333337</v>
      </c>
      <c r="Q10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01" spans="1:17" x14ac:dyDescent="0.35">
      <c r="A101" s="32"/>
      <c r="B101" s="32">
        <f t="shared" si="1"/>
        <v>94</v>
      </c>
      <c r="C101" s="32" t="str">
        <f>IFERROR(VLOOKUP(Tabel1[[#This Row],[Model]],Tableau2[[Model]:[Parking Number]],2,FALSE)," ")</f>
        <v>FEL4</v>
      </c>
      <c r="D101" s="35">
        <v>45524</v>
      </c>
      <c r="E101" s="32" t="str">
        <f>IF(Tabel1[[#This Row],[Model]]="", "",INDEX(Tableau2[Equipment Type],MATCH(Tabel1[[#This Row],[Model]],Tableau2[Model],0)))</f>
        <v>Loader</v>
      </c>
      <c r="F101" s="4" t="s">
        <v>40</v>
      </c>
      <c r="G101" s="4" t="str">
        <f>IF(Tabel1[[#This Row],[Model]]="", "",INDEX(Tableau2[Equipment],MATCH(Tabel1[[#This Row],[Model]],Tableau2[Model],0)))</f>
        <v>Cat972G.2</v>
      </c>
      <c r="H101" s="4" t="s">
        <v>56</v>
      </c>
      <c r="I101" s="10" t="s">
        <v>57</v>
      </c>
      <c r="J101" s="4">
        <v>5246135</v>
      </c>
      <c r="K101" s="9">
        <v>0.45833333333333331</v>
      </c>
      <c r="L101" s="9">
        <v>4.1666666666666664E-2</v>
      </c>
      <c r="M101" s="9">
        <v>0.70833333333333337</v>
      </c>
      <c r="N10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0.2083333333333334</v>
      </c>
      <c r="O101" s="30">
        <f>HOUR(Tabel1[[#This Row],[Total Hours]])+MINUTE(Tabel1[[#This Row],[Total Hours]])/60+SECOND(Tabel1[[#This Row],[Total Hours]])/3600</f>
        <v>5</v>
      </c>
      <c r="P101" s="6">
        <f>Tabel1[[#This Row],[End Time]]+(Tabel1[[#This Row],[End Time]]&lt;Tabel1[[#This Row],[Start time]])</f>
        <v>0.70833333333333337</v>
      </c>
      <c r="Q10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02" spans="1:17" x14ac:dyDescent="0.35">
      <c r="A102" s="32"/>
      <c r="B102" s="32">
        <f t="shared" si="1"/>
        <v>95</v>
      </c>
      <c r="C102" s="32" t="str">
        <f>IFERROR(VLOOKUP(Tabel1[[#This Row],[Model]],Tableau2[[Model]:[Parking Number]],2,FALSE)," ")</f>
        <v>TD1</v>
      </c>
      <c r="D102" s="35">
        <v>45524</v>
      </c>
      <c r="E102" s="32" t="str">
        <f>IF(Tabel1[[#This Row],[Model]]="", "",INDEX(Tableau2[Equipment Type],MATCH(Tabel1[[#This Row],[Model]],Tableau2[Model],0)))</f>
        <v>Bulldozer</v>
      </c>
      <c r="F102" s="4" t="s">
        <v>70</v>
      </c>
      <c r="G102" s="4" t="str">
        <f>IF(Tabel1[[#This Row],[Model]]="", "",INDEX(Tableau2[Equipment],MATCH(Tabel1[[#This Row],[Model]],Tableau2[Model],0)))</f>
        <v>CATD8R.1</v>
      </c>
      <c r="H102" s="4" t="s">
        <v>56</v>
      </c>
      <c r="I102" s="10" t="s">
        <v>161</v>
      </c>
      <c r="J102" s="4">
        <v>5092509</v>
      </c>
      <c r="K102" s="9">
        <v>0.33333333333333331</v>
      </c>
      <c r="L102" s="9">
        <v>4.1666666666666664E-2</v>
      </c>
      <c r="M102" s="9">
        <v>0.70833333333333337</v>
      </c>
      <c r="N10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02" s="30">
        <f>HOUR(Tabel1[[#This Row],[Total Hours]])+MINUTE(Tabel1[[#This Row],[Total Hours]])/60+SECOND(Tabel1[[#This Row],[Total Hours]])/3600</f>
        <v>8</v>
      </c>
      <c r="P102" s="6">
        <f>Tabel1[[#This Row],[End Time]]+(Tabel1[[#This Row],[End Time]]&lt;Tabel1[[#This Row],[Start time]])</f>
        <v>0.70833333333333337</v>
      </c>
      <c r="Q10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03" spans="1:17" x14ac:dyDescent="0.35">
      <c r="A103" s="32"/>
      <c r="B103" s="32">
        <f t="shared" si="1"/>
        <v>96</v>
      </c>
      <c r="C103" s="32" t="str">
        <f>IFERROR(VLOOKUP(Tabel1[[#This Row],[Model]],Tableau2[[Model]:[Parking Number]],2,FALSE)," ")</f>
        <v>FEL1</v>
      </c>
      <c r="D103" s="35">
        <v>45524</v>
      </c>
      <c r="E103" s="32" t="str">
        <f>IF(Tabel1[[#This Row],[Model]]="", "",INDEX(Tableau2[Equipment Type],MATCH(Tabel1[[#This Row],[Model]],Tableau2[Model],0)))</f>
        <v>Loader</v>
      </c>
      <c r="F103" s="4" t="s">
        <v>46</v>
      </c>
      <c r="G103" s="4" t="str">
        <f>IF(Tabel1[[#This Row],[Model]]="", "",INDEX(Tableau2[Equipment],MATCH(Tabel1[[#This Row],[Model]],Tableau2[Model],0)))</f>
        <v>Cat966H.1</v>
      </c>
      <c r="H103" s="4" t="s">
        <v>66</v>
      </c>
      <c r="I103" s="10" t="s">
        <v>162</v>
      </c>
      <c r="J103" s="4">
        <v>5198487</v>
      </c>
      <c r="K103" s="9">
        <v>0.29166666666666669</v>
      </c>
      <c r="L103" s="9">
        <v>4.1666666666666664E-2</v>
      </c>
      <c r="M103" s="9">
        <v>0.79166666666666663</v>
      </c>
      <c r="N10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103" s="30">
        <f>HOUR(Tabel1[[#This Row],[Total Hours]])+MINUTE(Tabel1[[#This Row],[Total Hours]])/60+SECOND(Tabel1[[#This Row],[Total Hours]])/3600</f>
        <v>11</v>
      </c>
      <c r="P103" s="6">
        <f>Tabel1[[#This Row],[End Time]]+(Tabel1[[#This Row],[End Time]]&lt;Tabel1[[#This Row],[Start time]])</f>
        <v>0.79166666666666663</v>
      </c>
      <c r="Q10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04" spans="1:17" x14ac:dyDescent="0.35">
      <c r="A104" s="32"/>
      <c r="B104" s="32">
        <f t="shared" si="1"/>
        <v>97</v>
      </c>
      <c r="C104" s="32" t="str">
        <f>IFERROR(VLOOKUP(Tabel1[[#This Row],[Model]],Tableau2[[Model]:[Parking Number]],2,FALSE)," ")</f>
        <v>FEL1</v>
      </c>
      <c r="D104" s="35">
        <v>45524</v>
      </c>
      <c r="E104" s="32" t="str">
        <f>IF(Tabel1[[#This Row],[Model]]="", "",INDEX(Tableau2[Equipment Type],MATCH(Tabel1[[#This Row],[Model]],Tableau2[Model],0)))</f>
        <v>Loader</v>
      </c>
      <c r="F104" s="4" t="s">
        <v>46</v>
      </c>
      <c r="G104" s="4" t="str">
        <f>IF(Tabel1[[#This Row],[Model]]="", "",INDEX(Tableau2[Equipment],MATCH(Tabel1[[#This Row],[Model]],Tableau2[Model],0)))</f>
        <v>Cat966H.1</v>
      </c>
      <c r="H104" s="4" t="s">
        <v>66</v>
      </c>
      <c r="I104" s="10" t="s">
        <v>162</v>
      </c>
      <c r="J104" s="4">
        <v>5198487</v>
      </c>
      <c r="K104" s="9">
        <v>0.79166666666666663</v>
      </c>
      <c r="L104" s="9">
        <v>0</v>
      </c>
      <c r="M104" s="9">
        <v>0.20833333333333334</v>
      </c>
      <c r="N10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23.416666666666664</v>
      </c>
      <c r="O104" s="30">
        <f>HOUR(Tabel1[[#This Row],[Total Hours]])+MINUTE(Tabel1[[#This Row],[Total Hours]])/60+SECOND(Tabel1[[#This Row],[Total Hours]])/3600</f>
        <v>10</v>
      </c>
      <c r="P104" s="6">
        <f>Tabel1[[#This Row],[End Time]]+(Tabel1[[#This Row],[End Time]]&lt;Tabel1[[#This Row],[Start time]])</f>
        <v>1.2083333333333333</v>
      </c>
      <c r="Q10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05" spans="1:17" x14ac:dyDescent="0.35">
      <c r="A105" s="32"/>
      <c r="B105" s="32">
        <f t="shared" si="1"/>
        <v>98</v>
      </c>
      <c r="C105" s="32" t="str">
        <f>IFERROR(VLOOKUP(Tabel1[[#This Row],[Model]],Tableau2[[Model]:[Parking Number]],2,FALSE)," ")</f>
        <v>TT17</v>
      </c>
      <c r="D105" s="35">
        <v>45524</v>
      </c>
      <c r="E105" s="32" t="str">
        <f>IF(Tabel1[[#This Row],[Model]]="", "",INDEX(Tableau2[Equipment Type],MATCH(Tabel1[[#This Row],[Model]],Tableau2[Model],0)))</f>
        <v>Tipper Truck</v>
      </c>
      <c r="F105" s="4" t="s">
        <v>51</v>
      </c>
      <c r="G105" s="4" t="str">
        <f>IF(Tabel1[[#This Row],[Model]]="", "",INDEX(Tableau2[Equipment],MATCH(Tabel1[[#This Row],[Model]],Tableau2[Model],0)))</f>
        <v>Tipper Truck 20m3 / F17</v>
      </c>
      <c r="H105" s="4" t="s">
        <v>66</v>
      </c>
      <c r="I105" s="10" t="s">
        <v>162</v>
      </c>
      <c r="J105" s="4">
        <v>5198487</v>
      </c>
      <c r="K105" s="9">
        <v>0.29166666666666669</v>
      </c>
      <c r="L105" s="9">
        <v>4.1666666666666664E-2</v>
      </c>
      <c r="M105" s="9">
        <v>0.79166666666666663</v>
      </c>
      <c r="N10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105" s="30">
        <f>HOUR(Tabel1[[#This Row],[Total Hours]])+MINUTE(Tabel1[[#This Row],[Total Hours]])/60+SECOND(Tabel1[[#This Row],[Total Hours]])/3600</f>
        <v>11</v>
      </c>
      <c r="P105" s="6">
        <f>Tabel1[[#This Row],[End Time]]+(Tabel1[[#This Row],[End Time]]&lt;Tabel1[[#This Row],[Start time]])</f>
        <v>0.79166666666666663</v>
      </c>
      <c r="Q10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06" spans="1:17" x14ac:dyDescent="0.35">
      <c r="A106" s="32"/>
      <c r="B106" s="32">
        <f t="shared" si="1"/>
        <v>99</v>
      </c>
      <c r="C106" s="32" t="str">
        <f>IFERROR(VLOOKUP(Tabel1[[#This Row],[Model]],Tableau2[[Model]:[Parking Number]],2,FALSE)," ")</f>
        <v>WT8</v>
      </c>
      <c r="D106" s="35">
        <v>45524</v>
      </c>
      <c r="E106" s="32" t="str">
        <f>IF(Tabel1[[#This Row],[Model]]="", "",INDEX(Tableau2[Equipment Type],MATCH(Tabel1[[#This Row],[Model]],Tableau2[Model],0)))</f>
        <v>Water Truck</v>
      </c>
      <c r="F106" s="4" t="s">
        <v>52</v>
      </c>
      <c r="G106" s="4" t="str">
        <f>IF(Tabel1[[#This Row],[Model]]="", "",INDEX(Tableau2[Equipment],MATCH(Tabel1[[#This Row],[Model]],Tableau2[Model],0)))</f>
        <v>Water Truck 20T / WT08</v>
      </c>
      <c r="H106" s="4" t="s">
        <v>163</v>
      </c>
      <c r="I106" s="10" t="s">
        <v>164</v>
      </c>
      <c r="J106" s="4">
        <v>5253778</v>
      </c>
      <c r="K106" s="9">
        <v>0.29166666666666669</v>
      </c>
      <c r="L106" s="9">
        <v>8.3333333333333329E-2</v>
      </c>
      <c r="M106" s="9">
        <v>0.70833333333333337</v>
      </c>
      <c r="N10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06" s="30">
        <f>HOUR(Tabel1[[#This Row],[Total Hours]])+MINUTE(Tabel1[[#This Row],[Total Hours]])/60+SECOND(Tabel1[[#This Row],[Total Hours]])/3600</f>
        <v>8</v>
      </c>
      <c r="P106" s="6">
        <f>Tabel1[[#This Row],[End Time]]+(Tabel1[[#This Row],[End Time]]&lt;Tabel1[[#This Row],[Start time]])</f>
        <v>0.70833333333333337</v>
      </c>
      <c r="Q10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07" spans="1:17" x14ac:dyDescent="0.35">
      <c r="A107" s="32"/>
      <c r="B107" s="32">
        <f t="shared" si="1"/>
        <v>100</v>
      </c>
      <c r="C107" s="32" t="str">
        <f>IFERROR(VLOOKUP(Tabel1[[#This Row],[Model]],Tableau2[[Model]:[Parking Number]],2,FALSE)," ")</f>
        <v>FEL2</v>
      </c>
      <c r="D107" s="35">
        <v>45524</v>
      </c>
      <c r="E107" s="32" t="str">
        <f>IF(Tabel1[[#This Row],[Model]]="", "",INDEX(Tableau2[Equipment Type],MATCH(Tabel1[[#This Row],[Model]],Tableau2[Model],0)))</f>
        <v>Loader</v>
      </c>
      <c r="F107" s="4" t="s">
        <v>42</v>
      </c>
      <c r="G107" s="4" t="str">
        <f>IF(Tabel1[[#This Row],[Model]]="", "",INDEX(Tableau2[Equipment],MATCH(Tabel1[[#This Row],[Model]],Tableau2[Model],0)))</f>
        <v>Cat966H.2</v>
      </c>
      <c r="H107" s="4" t="s">
        <v>173</v>
      </c>
      <c r="I107" s="10" t="s">
        <v>174</v>
      </c>
      <c r="J107" s="4">
        <v>5246410</v>
      </c>
      <c r="K107" s="9">
        <v>0.33333333333333331</v>
      </c>
      <c r="L107" s="9">
        <v>0</v>
      </c>
      <c r="M107" s="9">
        <v>0.5</v>
      </c>
      <c r="N10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0.16666666666666669</v>
      </c>
      <c r="O107" s="30">
        <f>HOUR(Tabel1[[#This Row],[Total Hours]])+MINUTE(Tabel1[[#This Row],[Total Hours]])/60+SECOND(Tabel1[[#This Row],[Total Hours]])/3600</f>
        <v>4</v>
      </c>
      <c r="P107" s="6">
        <f>Tabel1[[#This Row],[End Time]]+(Tabel1[[#This Row],[End Time]]&lt;Tabel1[[#This Row],[Start time]])</f>
        <v>0.5</v>
      </c>
      <c r="Q10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08" spans="1:17" x14ac:dyDescent="0.35">
      <c r="A108" s="32"/>
      <c r="B108" s="32">
        <f t="shared" si="1"/>
        <v>101</v>
      </c>
      <c r="C108" s="32" t="str">
        <f>IFERROR(VLOOKUP(Tabel1[[#This Row],[Model]],Tableau2[[Model]:[Parking Number]],2,FALSE)," ")</f>
        <v>FEL2</v>
      </c>
      <c r="D108" s="35">
        <v>45524</v>
      </c>
      <c r="E108" s="32" t="str">
        <f>IF(Tabel1[[#This Row],[Model]]="", "",INDEX(Tableau2[Equipment Type],MATCH(Tabel1[[#This Row],[Model]],Tableau2[Model],0)))</f>
        <v>Loader</v>
      </c>
      <c r="F108" s="4" t="s">
        <v>42</v>
      </c>
      <c r="G108" s="4" t="str">
        <f>IF(Tabel1[[#This Row],[Model]]="", "",INDEX(Tableau2[Equipment],MATCH(Tabel1[[#This Row],[Model]],Tableau2[Model],0)))</f>
        <v>Cat966H.2</v>
      </c>
      <c r="H108" s="4" t="s">
        <v>173</v>
      </c>
      <c r="I108" s="10" t="s">
        <v>174</v>
      </c>
      <c r="J108" s="4">
        <v>5246410</v>
      </c>
      <c r="K108" s="9">
        <v>0.58333333333333337</v>
      </c>
      <c r="L108" s="9">
        <v>0</v>
      </c>
      <c r="M108" s="9">
        <v>0.66666666666666663</v>
      </c>
      <c r="N10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8.3333333333333259E-2</v>
      </c>
      <c r="O108" s="30">
        <f>HOUR(Tabel1[[#This Row],[Total Hours]])+MINUTE(Tabel1[[#This Row],[Total Hours]])/60+SECOND(Tabel1[[#This Row],[Total Hours]])/3600</f>
        <v>2</v>
      </c>
      <c r="P108" s="6">
        <f>Tabel1[[#This Row],[End Time]]+(Tabel1[[#This Row],[End Time]]&lt;Tabel1[[#This Row],[Start time]])</f>
        <v>0.66666666666666663</v>
      </c>
      <c r="Q10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09" spans="1:17" x14ac:dyDescent="0.35">
      <c r="A109" s="32"/>
      <c r="B109" s="32">
        <f t="shared" si="1"/>
        <v>102</v>
      </c>
      <c r="C109" s="32" t="str">
        <f>IFERROR(VLOOKUP(Tabel1[[#This Row],[Model]],Tableau2[[Model]:[Parking Number]],2,FALSE)," ")</f>
        <v>TT19</v>
      </c>
      <c r="D109" s="35">
        <v>45524</v>
      </c>
      <c r="E109" s="32" t="str">
        <f>IF(Tabel1[[#This Row],[Model]]="", "",INDEX(Tableau2[Equipment Type],MATCH(Tabel1[[#This Row],[Model]],Tableau2[Model],0)))</f>
        <v>Tipper Truck</v>
      </c>
      <c r="F109" s="4" t="s">
        <v>54</v>
      </c>
      <c r="G109" s="4" t="str">
        <f>IF(Tabel1[[#This Row],[Model]]="", "",INDEX(Tableau2[Equipment],MATCH(Tabel1[[#This Row],[Model]],Tableau2[Model],0)))</f>
        <v>Tipper Truck 20m3 / F19</v>
      </c>
      <c r="H109" s="4" t="s">
        <v>173</v>
      </c>
      <c r="I109" s="10" t="s">
        <v>174</v>
      </c>
      <c r="J109" s="4">
        <v>5246410</v>
      </c>
      <c r="K109" s="9">
        <v>0.58333333333333337</v>
      </c>
      <c r="L109" s="9">
        <v>0</v>
      </c>
      <c r="M109" s="9">
        <v>0.66666666666666663</v>
      </c>
      <c r="N10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8.3333333333333259E-2</v>
      </c>
      <c r="O109" s="30">
        <f>HOUR(Tabel1[[#This Row],[Total Hours]])+MINUTE(Tabel1[[#This Row],[Total Hours]])/60+SECOND(Tabel1[[#This Row],[Total Hours]])/3600</f>
        <v>2</v>
      </c>
      <c r="P109" s="6">
        <f>Tabel1[[#This Row],[End Time]]+(Tabel1[[#This Row],[End Time]]&lt;Tabel1[[#This Row],[Start time]])</f>
        <v>0.66666666666666663</v>
      </c>
      <c r="Q10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10" spans="1:17" x14ac:dyDescent="0.35">
      <c r="A110" s="32"/>
      <c r="B110" s="32">
        <f t="shared" si="1"/>
        <v>103</v>
      </c>
      <c r="C110" s="32" t="str">
        <f>IFERROR(VLOOKUP(Tabel1[[#This Row],[Model]],Tableau2[[Model]:[Parking Number]],2,FALSE)," ")</f>
        <v>TT32</v>
      </c>
      <c r="D110" s="35">
        <v>45524</v>
      </c>
      <c r="E110" s="32" t="str">
        <f>IF(Tabel1[[#This Row],[Model]]="", "",INDEX(Tableau2[Equipment Type],MATCH(Tabel1[[#This Row],[Model]],Tableau2[Model],0)))</f>
        <v>Tipper Truck</v>
      </c>
      <c r="F110" s="4" t="s">
        <v>53</v>
      </c>
      <c r="G110" s="4" t="str">
        <f>IF(Tabel1[[#This Row],[Model]]="", "",INDEX(Tableau2[Equipment],MATCH(Tabel1[[#This Row],[Model]],Tableau2[Model],0)))</f>
        <v>Tipper Truck 20m3 / F32</v>
      </c>
      <c r="H110" s="4" t="s">
        <v>173</v>
      </c>
      <c r="I110" s="10" t="s">
        <v>174</v>
      </c>
      <c r="J110" s="4">
        <v>5246410</v>
      </c>
      <c r="K110" s="9">
        <v>0.33333333333333331</v>
      </c>
      <c r="L110" s="9">
        <v>4.1666666666666664E-2</v>
      </c>
      <c r="M110" s="9">
        <v>0.66666666666666663</v>
      </c>
      <c r="N11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0.29166666666666663</v>
      </c>
      <c r="O110" s="30">
        <f>HOUR(Tabel1[[#This Row],[Total Hours]])+MINUTE(Tabel1[[#This Row],[Total Hours]])/60+SECOND(Tabel1[[#This Row],[Total Hours]])/3600</f>
        <v>7</v>
      </c>
      <c r="P110" s="6">
        <f>Tabel1[[#This Row],[End Time]]+(Tabel1[[#This Row],[End Time]]&lt;Tabel1[[#This Row],[Start time]])</f>
        <v>0.66666666666666663</v>
      </c>
      <c r="Q11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11" spans="1:17" x14ac:dyDescent="0.35">
      <c r="A111" s="32"/>
      <c r="B111" s="32">
        <f t="shared" si="1"/>
        <v>104</v>
      </c>
      <c r="C111" s="32" t="str">
        <f>IFERROR(VLOOKUP(Tabel1[[#This Row],[Model]],Tableau2[[Model]:[Parking Number]],2,FALSE)," ")</f>
        <v>TT87</v>
      </c>
      <c r="D111" s="35">
        <v>45524</v>
      </c>
      <c r="E111" s="32" t="str">
        <f>IF(Tabel1[[#This Row],[Model]]="", "",INDEX(Tableau2[Equipment Type],MATCH(Tabel1[[#This Row],[Model]],Tableau2[Model],0)))</f>
        <v>Tipper Truck</v>
      </c>
      <c r="F111" s="4" t="s">
        <v>79</v>
      </c>
      <c r="G111" s="4" t="str">
        <f>IF(Tabel1[[#This Row],[Model]]="", "",INDEX(Tableau2[Equipment],MATCH(Tabel1[[#This Row],[Model]],Tableau2[Model],0)))</f>
        <v>Tipper Truck 20m3 / F87</v>
      </c>
      <c r="H111" s="4" t="s">
        <v>173</v>
      </c>
      <c r="I111" s="10" t="s">
        <v>174</v>
      </c>
      <c r="J111" s="4">
        <v>5246410</v>
      </c>
      <c r="K111" s="9">
        <v>0.58333333333333337</v>
      </c>
      <c r="L111" s="9">
        <v>0</v>
      </c>
      <c r="M111" s="9">
        <v>0.66666666666666663</v>
      </c>
      <c r="N11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8.3333333333333259E-2</v>
      </c>
      <c r="O111" s="30">
        <f>HOUR(Tabel1[[#This Row],[Total Hours]])+MINUTE(Tabel1[[#This Row],[Total Hours]])/60+SECOND(Tabel1[[#This Row],[Total Hours]])/3600</f>
        <v>2</v>
      </c>
      <c r="P111" s="6">
        <f>Tabel1[[#This Row],[End Time]]+(Tabel1[[#This Row],[End Time]]&lt;Tabel1[[#This Row],[Start time]])</f>
        <v>0.66666666666666663</v>
      </c>
      <c r="Q11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12" spans="1:17" x14ac:dyDescent="0.35">
      <c r="A112" s="32"/>
      <c r="B112" s="32">
        <f t="shared" si="1"/>
        <v>105</v>
      </c>
      <c r="C112" s="32" t="str">
        <f>IFERROR(VLOOKUP(Tabel1[[#This Row],[Model]],Tableau2[[Model]:[Parking Number]],2,FALSE)," ")</f>
        <v>BL1</v>
      </c>
      <c r="D112" s="35">
        <v>45524</v>
      </c>
      <c r="E112" s="32" t="str">
        <f>IF(Tabel1[[#This Row],[Model]]="", "",INDEX(Tableau2[Equipment Type],MATCH(Tabel1[[#This Row],[Model]],Tableau2[Model],0)))</f>
        <v>Backhoe Loader</v>
      </c>
      <c r="F112" s="4" t="s">
        <v>76</v>
      </c>
      <c r="G112" s="4" t="str">
        <f>IF(Tabel1[[#This Row],[Model]]="", "",INDEX(Tableau2[Equipment],MATCH(Tabel1[[#This Row],[Model]],Tableau2[Model],0)))</f>
        <v>CAT432D</v>
      </c>
      <c r="H112" s="4" t="s">
        <v>173</v>
      </c>
      <c r="I112" s="10" t="s">
        <v>174</v>
      </c>
      <c r="J112" s="4">
        <v>5246410</v>
      </c>
      <c r="K112" s="9">
        <v>0.33333333333333331</v>
      </c>
      <c r="L112" s="9">
        <v>4.1666666666666664E-2</v>
      </c>
      <c r="M112" s="9">
        <v>0.70833333333333337</v>
      </c>
      <c r="N11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12" s="30">
        <f>HOUR(Tabel1[[#This Row],[Total Hours]])+MINUTE(Tabel1[[#This Row],[Total Hours]])/60+SECOND(Tabel1[[#This Row],[Total Hours]])/3600</f>
        <v>8</v>
      </c>
      <c r="P112" s="6">
        <f>Tabel1[[#This Row],[End Time]]+(Tabel1[[#This Row],[End Time]]&lt;Tabel1[[#This Row],[Start time]])</f>
        <v>0.70833333333333337</v>
      </c>
      <c r="Q11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13" spans="1:17" x14ac:dyDescent="0.35">
      <c r="A113" s="32"/>
      <c r="B113" s="32">
        <f t="shared" si="1"/>
        <v>106</v>
      </c>
      <c r="C113" s="32" t="str">
        <f>IFERROR(VLOOKUP(Tabel1[[#This Row],[Model]],Tableau2[[Model]:[Parking Number]],2,FALSE)," ")</f>
        <v>EX6</v>
      </c>
      <c r="D113" s="35">
        <v>45524</v>
      </c>
      <c r="E113" s="32" t="str">
        <f>IF(Tabel1[[#This Row],[Model]]="", "",INDEX(Tableau2[Equipment Type],MATCH(Tabel1[[#This Row],[Model]],Tableau2[Model],0)))</f>
        <v>Excavator</v>
      </c>
      <c r="F113" s="4" t="s">
        <v>45</v>
      </c>
      <c r="G113" s="4" t="str">
        <f>IF(Tabel1[[#This Row],[Model]]="", "",INDEX(Tableau2[Equipment],MATCH(Tabel1[[#This Row],[Model]],Tableau2[Model],0)))</f>
        <v>CAT329E</v>
      </c>
      <c r="H113" s="4" t="s">
        <v>176</v>
      </c>
      <c r="I113" s="10" t="s">
        <v>186</v>
      </c>
      <c r="J113" s="4">
        <v>5249725</v>
      </c>
      <c r="K113" s="9">
        <v>0.33333333333333331</v>
      </c>
      <c r="L113" s="9">
        <v>4.1666666666666664E-2</v>
      </c>
      <c r="M113" s="9">
        <v>0.70833333333333337</v>
      </c>
      <c r="N11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13" s="30">
        <f>HOUR(Tabel1[[#This Row],[Total Hours]])+MINUTE(Tabel1[[#This Row],[Total Hours]])/60+SECOND(Tabel1[[#This Row],[Total Hours]])/3600</f>
        <v>8</v>
      </c>
      <c r="P113" s="6">
        <f>Tabel1[[#This Row],[End Time]]+(Tabel1[[#This Row],[End Time]]&lt;Tabel1[[#This Row],[Start time]])</f>
        <v>0.70833333333333337</v>
      </c>
      <c r="Q11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14" spans="1:17" x14ac:dyDescent="0.35">
      <c r="A114" s="32"/>
      <c r="B114" s="32">
        <f t="shared" si="1"/>
        <v>107</v>
      </c>
      <c r="C114" s="32" t="str">
        <f>IFERROR(VLOOKUP(Tabel1[[#This Row],[Model]],Tableau2[[Model]:[Parking Number]],2,FALSE)," ")</f>
        <v>LB1</v>
      </c>
      <c r="D114" s="35">
        <v>45524</v>
      </c>
      <c r="E114" s="32" t="str">
        <f>IF(Tabel1[[#This Row],[Model]]="", "",INDEX(Tableau2[Equipment Type],MATCH(Tabel1[[#This Row],[Model]],Tableau2[Model],0)))</f>
        <v>Lowbed</v>
      </c>
      <c r="F114" s="4" t="s">
        <v>71</v>
      </c>
      <c r="G114" s="4" t="str">
        <f>IF(Tabel1[[#This Row],[Model]]="", "",INDEX(Tableau2[Equipment],MATCH(Tabel1[[#This Row],[Model]],Tableau2[Model],0)))</f>
        <v>LB ACTROS 60T</v>
      </c>
      <c r="H114" s="4" t="s">
        <v>176</v>
      </c>
      <c r="I114" s="10" t="s">
        <v>186</v>
      </c>
      <c r="J114" s="4">
        <v>5249725</v>
      </c>
      <c r="K114" s="9">
        <v>0.29166666666666669</v>
      </c>
      <c r="L114" s="9">
        <v>0</v>
      </c>
      <c r="M114" s="9">
        <v>0.33333333333333331</v>
      </c>
      <c r="N11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4.166666666666663E-2</v>
      </c>
      <c r="O114" s="30">
        <f>HOUR(Tabel1[[#This Row],[Total Hours]])+MINUTE(Tabel1[[#This Row],[Total Hours]])/60+SECOND(Tabel1[[#This Row],[Total Hours]])/3600</f>
        <v>1</v>
      </c>
      <c r="P114" s="6">
        <f>Tabel1[[#This Row],[End Time]]+(Tabel1[[#This Row],[End Time]]&lt;Tabel1[[#This Row],[Start time]])</f>
        <v>0.33333333333333331</v>
      </c>
      <c r="Q11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15" spans="1:17" x14ac:dyDescent="0.35">
      <c r="A115" s="32"/>
      <c r="B115" s="32">
        <f t="shared" si="1"/>
        <v>108</v>
      </c>
      <c r="C115" s="32" t="str">
        <f>IFERROR(VLOOKUP(Tabel1[[#This Row],[Model]],Tableau2[[Model]:[Parking Number]],2,FALSE)," ")</f>
        <v>WT1</v>
      </c>
      <c r="D115" s="35">
        <v>45525</v>
      </c>
      <c r="E115" s="32" t="str">
        <f>IF(Tabel1[[#This Row],[Model]]="", "",INDEX(Tableau2[Equipment Type],MATCH(Tabel1[[#This Row],[Model]],Tableau2[Model],0)))</f>
        <v>Water Truck</v>
      </c>
      <c r="F115" s="4" t="s">
        <v>47</v>
      </c>
      <c r="G115" s="4" t="str">
        <f>IF(Tabel1[[#This Row],[Model]]="", "",INDEX(Tableau2[Equipment],MATCH(Tabel1[[#This Row],[Model]],Tableau2[Model],0)))</f>
        <v>Water Truck 20T / 1924.1</v>
      </c>
      <c r="H115" s="4" t="s">
        <v>56</v>
      </c>
      <c r="I115" s="10" t="s">
        <v>57</v>
      </c>
      <c r="J115" s="4">
        <v>5246135</v>
      </c>
      <c r="K115" s="9">
        <v>0.33333333333333331</v>
      </c>
      <c r="L115" s="9">
        <v>4.1666666666666664E-2</v>
      </c>
      <c r="M115" s="9">
        <v>0.70833333333333337</v>
      </c>
      <c r="N11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15" s="30">
        <f>HOUR(Tabel1[[#This Row],[Total Hours]])+MINUTE(Tabel1[[#This Row],[Total Hours]])/60+SECOND(Tabel1[[#This Row],[Total Hours]])/3600</f>
        <v>8</v>
      </c>
      <c r="P115" s="6">
        <f>Tabel1[[#This Row],[End Time]]+(Tabel1[[#This Row],[End Time]]&lt;Tabel1[[#This Row],[Start time]])</f>
        <v>0.70833333333333337</v>
      </c>
      <c r="Q11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16" spans="1:17" x14ac:dyDescent="0.35">
      <c r="A116" s="32"/>
      <c r="B116" s="32">
        <f t="shared" si="1"/>
        <v>109</v>
      </c>
      <c r="C116" s="32" t="str">
        <f>IFERROR(VLOOKUP(Tabel1[[#This Row],[Model]],Tableau2[[Model]:[Parking Number]],2,FALSE)," ")</f>
        <v>WT2</v>
      </c>
      <c r="D116" s="35">
        <v>45525</v>
      </c>
      <c r="E116" s="32" t="str">
        <f>IF(Tabel1[[#This Row],[Model]]="", "",INDEX(Tableau2[Equipment Type],MATCH(Tabel1[[#This Row],[Model]],Tableau2[Model],0)))</f>
        <v>Water Truck</v>
      </c>
      <c r="F116" s="4" t="s">
        <v>48</v>
      </c>
      <c r="G116" s="4" t="str">
        <f>IF(Tabel1[[#This Row],[Model]]="", "",INDEX(Tableau2[Equipment],MATCH(Tabel1[[#This Row],[Model]],Tableau2[Model],0)))</f>
        <v>Water Truck 20T / 1924.2</v>
      </c>
      <c r="H116" s="4" t="s">
        <v>56</v>
      </c>
      <c r="I116" s="10" t="s">
        <v>57</v>
      </c>
      <c r="J116" s="4">
        <v>5246135</v>
      </c>
      <c r="K116" s="9">
        <v>0.33333333333333331</v>
      </c>
      <c r="L116" s="9">
        <v>4.1666666666666664E-2</v>
      </c>
      <c r="M116" s="9">
        <v>0.70833333333333337</v>
      </c>
      <c r="N11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16" s="30">
        <f>HOUR(Tabel1[[#This Row],[Total Hours]])+MINUTE(Tabel1[[#This Row],[Total Hours]])/60+SECOND(Tabel1[[#This Row],[Total Hours]])/3600</f>
        <v>8</v>
      </c>
      <c r="P116" s="6">
        <f>Tabel1[[#This Row],[End Time]]+(Tabel1[[#This Row],[End Time]]&lt;Tabel1[[#This Row],[Start time]])</f>
        <v>0.70833333333333337</v>
      </c>
      <c r="Q11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17" spans="1:17" x14ac:dyDescent="0.35">
      <c r="A117" s="32"/>
      <c r="B117" s="32">
        <f t="shared" si="1"/>
        <v>110</v>
      </c>
      <c r="C117" s="32" t="str">
        <f>IFERROR(VLOOKUP(Tabel1[[#This Row],[Model]],Tableau2[[Model]:[Parking Number]],2,FALSE)," ")</f>
        <v>WT3</v>
      </c>
      <c r="D117" s="35">
        <v>45525</v>
      </c>
      <c r="E117" s="32" t="str">
        <f>IF(Tabel1[[#This Row],[Model]]="", "",INDEX(Tableau2[Equipment Type],MATCH(Tabel1[[#This Row],[Model]],Tableau2[Model],0)))</f>
        <v>Water Truck</v>
      </c>
      <c r="F117" s="4" t="s">
        <v>49</v>
      </c>
      <c r="G117" s="4" t="str">
        <f>IF(Tabel1[[#This Row],[Model]]="", "",INDEX(Tableau2[Equipment],MATCH(Tabel1[[#This Row],[Model]],Tableau2[Model],0)))</f>
        <v>Water Truck 20T / 1924.3</v>
      </c>
      <c r="H117" s="4" t="s">
        <v>56</v>
      </c>
      <c r="I117" s="10" t="s">
        <v>57</v>
      </c>
      <c r="J117" s="4">
        <v>5246135</v>
      </c>
      <c r="K117" s="9">
        <v>0.33333333333333331</v>
      </c>
      <c r="L117" s="9">
        <v>4.1666666666666664E-2</v>
      </c>
      <c r="M117" s="9">
        <v>0.70833333333333337</v>
      </c>
      <c r="N11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17" s="30">
        <f>HOUR(Tabel1[[#This Row],[Total Hours]])+MINUTE(Tabel1[[#This Row],[Total Hours]])/60+SECOND(Tabel1[[#This Row],[Total Hours]])/3600</f>
        <v>8</v>
      </c>
      <c r="P117" s="6">
        <f>Tabel1[[#This Row],[End Time]]+(Tabel1[[#This Row],[End Time]]&lt;Tabel1[[#This Row],[Start time]])</f>
        <v>0.70833333333333337</v>
      </c>
      <c r="Q11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18" spans="1:17" x14ac:dyDescent="0.35">
      <c r="A118" s="32"/>
      <c r="B118" s="32">
        <f t="shared" si="1"/>
        <v>111</v>
      </c>
      <c r="C118" s="32" t="str">
        <f>IFERROR(VLOOKUP(Tabel1[[#This Row],[Model]],Tableau2[[Model]:[Parking Number]],2,FALSE)," ")</f>
        <v>WT9</v>
      </c>
      <c r="D118" s="35">
        <v>45525</v>
      </c>
      <c r="E118" s="32" t="str">
        <f>IF(Tabel1[[#This Row],[Model]]="", "",INDEX(Tableau2[Equipment Type],MATCH(Tabel1[[#This Row],[Model]],Tableau2[Model],0)))</f>
        <v>Water Truck</v>
      </c>
      <c r="F118" s="4" t="s">
        <v>50</v>
      </c>
      <c r="G118" s="4" t="str">
        <f>IF(Tabel1[[#This Row],[Model]]="", "",INDEX(Tableau2[Equipment],MATCH(Tabel1[[#This Row],[Model]],Tableau2[Model],0)))</f>
        <v>Water Truck 20T / WT09</v>
      </c>
      <c r="H118" s="4" t="s">
        <v>56</v>
      </c>
      <c r="I118" s="10" t="s">
        <v>57</v>
      </c>
      <c r="J118" s="4">
        <v>5246135</v>
      </c>
      <c r="K118" s="9">
        <v>0.33333333333333331</v>
      </c>
      <c r="L118" s="9">
        <v>4.1666666666666664E-2</v>
      </c>
      <c r="M118" s="9">
        <v>0.70833333333333337</v>
      </c>
      <c r="N11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18" s="30">
        <f>HOUR(Tabel1[[#This Row],[Total Hours]])+MINUTE(Tabel1[[#This Row],[Total Hours]])/60+SECOND(Tabel1[[#This Row],[Total Hours]])/3600</f>
        <v>8</v>
      </c>
      <c r="P118" s="6">
        <f>Tabel1[[#This Row],[End Time]]+(Tabel1[[#This Row],[End Time]]&lt;Tabel1[[#This Row],[Start time]])</f>
        <v>0.70833333333333337</v>
      </c>
      <c r="Q11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19" spans="1:17" x14ac:dyDescent="0.35">
      <c r="A119" s="32"/>
      <c r="B119" s="32">
        <f t="shared" si="1"/>
        <v>112</v>
      </c>
      <c r="C119" s="32" t="str">
        <f>IFERROR(VLOOKUP(Tabel1[[#This Row],[Model]],Tableau2[[Model]:[Parking Number]],2,FALSE)," ")</f>
        <v>GR1</v>
      </c>
      <c r="D119" s="35">
        <v>45525</v>
      </c>
      <c r="E119" s="32" t="str">
        <f>IF(Tabel1[[#This Row],[Model]]="", "",INDEX(Tableau2[Equipment Type],MATCH(Tabel1[[#This Row],[Model]],Tableau2[Model],0)))</f>
        <v>Grader</v>
      </c>
      <c r="F119" s="4" t="s">
        <v>63</v>
      </c>
      <c r="G119" s="4" t="str">
        <f>IF(Tabel1[[#This Row],[Model]]="", "",INDEX(Tableau2[Equipment],MATCH(Tabel1[[#This Row],[Model]],Tableau2[Model],0)))</f>
        <v>CAT12K.1</v>
      </c>
      <c r="H119" s="4" t="s">
        <v>56</v>
      </c>
      <c r="I119" s="10" t="s">
        <v>57</v>
      </c>
      <c r="J119" s="4">
        <v>5246135</v>
      </c>
      <c r="K119" s="9">
        <v>0.33333333333333331</v>
      </c>
      <c r="L119" s="9">
        <v>4.1666666666666664E-2</v>
      </c>
      <c r="M119" s="9">
        <v>0.70833333333333337</v>
      </c>
      <c r="N11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19" s="30">
        <f>HOUR(Tabel1[[#This Row],[Total Hours]])+MINUTE(Tabel1[[#This Row],[Total Hours]])/60+SECOND(Tabel1[[#This Row],[Total Hours]])/3600</f>
        <v>8</v>
      </c>
      <c r="P119" s="6">
        <f>Tabel1[[#This Row],[End Time]]+(Tabel1[[#This Row],[End Time]]&lt;Tabel1[[#This Row],[Start time]])</f>
        <v>0.70833333333333337</v>
      </c>
      <c r="Q11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20" spans="1:17" x14ac:dyDescent="0.35">
      <c r="A120" s="32"/>
      <c r="B120" s="32">
        <f t="shared" si="1"/>
        <v>113</v>
      </c>
      <c r="C120" s="32" t="str">
        <f>IFERROR(VLOOKUP(Tabel1[[#This Row],[Model]],Tableau2[[Model]:[Parking Number]],2,FALSE)," ")</f>
        <v>GR2</v>
      </c>
      <c r="D120" s="35">
        <v>45525</v>
      </c>
      <c r="E120" s="32" t="str">
        <f>IF(Tabel1[[#This Row],[Model]]="", "",INDEX(Tableau2[Equipment Type],MATCH(Tabel1[[#This Row],[Model]],Tableau2[Model],0)))</f>
        <v>Grader</v>
      </c>
      <c r="F120" s="4" t="s">
        <v>39</v>
      </c>
      <c r="G120" s="4" t="str">
        <f>IF(Tabel1[[#This Row],[Model]]="", "",INDEX(Tableau2[Equipment],MATCH(Tabel1[[#This Row],[Model]],Tableau2[Model],0)))</f>
        <v>CAT12K.2</v>
      </c>
      <c r="H120" s="4" t="s">
        <v>56</v>
      </c>
      <c r="I120" s="10" t="s">
        <v>57</v>
      </c>
      <c r="J120" s="4">
        <v>5246135</v>
      </c>
      <c r="K120" s="9">
        <v>0.33333333333333331</v>
      </c>
      <c r="L120" s="9">
        <v>4.1666666666666664E-2</v>
      </c>
      <c r="M120" s="9">
        <v>0.70833333333333337</v>
      </c>
      <c r="N12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20" s="30">
        <f>HOUR(Tabel1[[#This Row],[Total Hours]])+MINUTE(Tabel1[[#This Row],[Total Hours]])/60+SECOND(Tabel1[[#This Row],[Total Hours]])/3600</f>
        <v>8</v>
      </c>
      <c r="P120" s="6">
        <f>Tabel1[[#This Row],[End Time]]+(Tabel1[[#This Row],[End Time]]&lt;Tabel1[[#This Row],[Start time]])</f>
        <v>0.70833333333333337</v>
      </c>
      <c r="Q12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21" spans="1:17" x14ac:dyDescent="0.35">
      <c r="A121" s="32"/>
      <c r="B121" s="32">
        <f t="shared" si="1"/>
        <v>114</v>
      </c>
      <c r="C121" s="32" t="str">
        <f>IFERROR(VLOOKUP(Tabel1[[#This Row],[Model]],Tableau2[[Model]:[Parking Number]],2,FALSE)," ")</f>
        <v>FEL4</v>
      </c>
      <c r="D121" s="35">
        <v>45525</v>
      </c>
      <c r="E121" s="32" t="str">
        <f>IF(Tabel1[[#This Row],[Model]]="", "",INDEX(Tableau2[Equipment Type],MATCH(Tabel1[[#This Row],[Model]],Tableau2[Model],0)))</f>
        <v>Loader</v>
      </c>
      <c r="F121" s="4" t="s">
        <v>40</v>
      </c>
      <c r="G121" s="4" t="str">
        <f>IF(Tabel1[[#This Row],[Model]]="", "",INDEX(Tableau2[Equipment],MATCH(Tabel1[[#This Row],[Model]],Tableau2[Model],0)))</f>
        <v>Cat972G.2</v>
      </c>
      <c r="H121" s="4" t="s">
        <v>56</v>
      </c>
      <c r="I121" s="10" t="s">
        <v>57</v>
      </c>
      <c r="J121" s="4">
        <v>5246135</v>
      </c>
      <c r="K121" s="9">
        <v>0.33333333333333331</v>
      </c>
      <c r="L121" s="9">
        <v>4.1666666666666664E-2</v>
      </c>
      <c r="M121" s="9">
        <v>0.70833333333333337</v>
      </c>
      <c r="N12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21" s="30">
        <f>HOUR(Tabel1[[#This Row],[Total Hours]])+MINUTE(Tabel1[[#This Row],[Total Hours]])/60+SECOND(Tabel1[[#This Row],[Total Hours]])/3600</f>
        <v>8</v>
      </c>
      <c r="P121" s="6">
        <f>Tabel1[[#This Row],[End Time]]+(Tabel1[[#This Row],[End Time]]&lt;Tabel1[[#This Row],[Start time]])</f>
        <v>0.70833333333333337</v>
      </c>
      <c r="Q12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22" spans="1:17" x14ac:dyDescent="0.35">
      <c r="A122" s="32"/>
      <c r="B122" s="32">
        <f t="shared" si="1"/>
        <v>115</v>
      </c>
      <c r="C122" s="32" t="str">
        <f>IFERROR(VLOOKUP(Tabel1[[#This Row],[Model]],Tableau2[[Model]:[Parking Number]],2,FALSE)," ")</f>
        <v>TD4</v>
      </c>
      <c r="D122" s="35">
        <v>45525</v>
      </c>
      <c r="E122" s="32" t="str">
        <f>IF(Tabel1[[#This Row],[Model]]="", "",INDEX(Tableau2[Equipment Type],MATCH(Tabel1[[#This Row],[Model]],Tableau2[Model],0)))</f>
        <v>Bulldozer</v>
      </c>
      <c r="F122" s="4" t="s">
        <v>41</v>
      </c>
      <c r="G122" s="4" t="str">
        <f>IF(Tabel1[[#This Row],[Model]]="", "",INDEX(Tableau2[Equipment],MATCH(Tabel1[[#This Row],[Model]],Tableau2[Model],0)))</f>
        <v>CATD8R.3</v>
      </c>
      <c r="H122" s="4" t="s">
        <v>56</v>
      </c>
      <c r="I122" s="10" t="s">
        <v>161</v>
      </c>
      <c r="J122" s="4">
        <v>5092509</v>
      </c>
      <c r="K122" s="9">
        <v>0.33333333333333331</v>
      </c>
      <c r="L122" s="9">
        <v>4.1666666666666664E-2</v>
      </c>
      <c r="M122" s="9">
        <v>0.70833333333333337</v>
      </c>
      <c r="N12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22" s="30">
        <f>HOUR(Tabel1[[#This Row],[Total Hours]])+MINUTE(Tabel1[[#This Row],[Total Hours]])/60+SECOND(Tabel1[[#This Row],[Total Hours]])/3600</f>
        <v>8</v>
      </c>
      <c r="P122" s="6">
        <f>Tabel1[[#This Row],[End Time]]+(Tabel1[[#This Row],[End Time]]&lt;Tabel1[[#This Row],[Start time]])</f>
        <v>0.70833333333333337</v>
      </c>
      <c r="Q12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23" spans="1:17" x14ac:dyDescent="0.35">
      <c r="A123" s="32"/>
      <c r="B123" s="32">
        <f t="shared" si="1"/>
        <v>116</v>
      </c>
      <c r="C123" s="32" t="str">
        <f>IFERROR(VLOOKUP(Tabel1[[#This Row],[Model]],Tableau2[[Model]:[Parking Number]],2,FALSE)," ")</f>
        <v>WT8</v>
      </c>
      <c r="D123" s="35">
        <v>45525</v>
      </c>
      <c r="E123" s="32" t="str">
        <f>IF(Tabel1[[#This Row],[Model]]="", "",INDEX(Tableau2[Equipment Type],MATCH(Tabel1[[#This Row],[Model]],Tableau2[Model],0)))</f>
        <v>Water Truck</v>
      </c>
      <c r="F123" s="4" t="s">
        <v>52</v>
      </c>
      <c r="G123" s="4" t="str">
        <f>IF(Tabel1[[#This Row],[Model]]="", "",INDEX(Tableau2[Equipment],MATCH(Tabel1[[#This Row],[Model]],Tableau2[Model],0)))</f>
        <v>Water Truck 20T / WT08</v>
      </c>
      <c r="H123" s="4" t="s">
        <v>163</v>
      </c>
      <c r="I123" s="10" t="s">
        <v>164</v>
      </c>
      <c r="J123" s="4">
        <v>5253778</v>
      </c>
      <c r="K123" s="9">
        <v>0.29166666666666669</v>
      </c>
      <c r="L123" s="9">
        <v>4.1666666666666664E-2</v>
      </c>
      <c r="M123" s="9">
        <v>0.70833333333333337</v>
      </c>
      <c r="N12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0.375</v>
      </c>
      <c r="O123" s="30">
        <f>HOUR(Tabel1[[#This Row],[Total Hours]])+MINUTE(Tabel1[[#This Row],[Total Hours]])/60+SECOND(Tabel1[[#This Row],[Total Hours]])/3600</f>
        <v>9</v>
      </c>
      <c r="P123" s="6">
        <f>Tabel1[[#This Row],[End Time]]+(Tabel1[[#This Row],[End Time]]&lt;Tabel1[[#This Row],[Start time]])</f>
        <v>0.70833333333333337</v>
      </c>
      <c r="Q12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24" spans="1:17" x14ac:dyDescent="0.35">
      <c r="A124" s="32"/>
      <c r="B124" s="32">
        <f t="shared" si="1"/>
        <v>117</v>
      </c>
      <c r="C124" s="32" t="str">
        <f>IFERROR(VLOOKUP(Tabel1[[#This Row],[Model]],Tableau2[[Model]:[Parking Number]],2,FALSE)," ")</f>
        <v>FEL1</v>
      </c>
      <c r="D124" s="35">
        <v>45525</v>
      </c>
      <c r="E124" s="32" t="str">
        <f>IF(Tabel1[[#This Row],[Model]]="", "",INDEX(Tableau2[Equipment Type],MATCH(Tabel1[[#This Row],[Model]],Tableau2[Model],0)))</f>
        <v>Loader</v>
      </c>
      <c r="F124" s="4" t="s">
        <v>46</v>
      </c>
      <c r="G124" s="4" t="str">
        <f>IF(Tabel1[[#This Row],[Model]]="", "",INDEX(Tableau2[Equipment],MATCH(Tabel1[[#This Row],[Model]],Tableau2[Model],0)))</f>
        <v>Cat966H.1</v>
      </c>
      <c r="H124" s="4" t="s">
        <v>66</v>
      </c>
      <c r="I124" s="10" t="s">
        <v>162</v>
      </c>
      <c r="J124" s="4">
        <v>5198487</v>
      </c>
      <c r="K124" s="9">
        <v>0.29166666666666669</v>
      </c>
      <c r="L124" s="9">
        <v>4.1666666666666664E-2</v>
      </c>
      <c r="M124" s="9">
        <v>0.79166666666666663</v>
      </c>
      <c r="N12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124" s="30">
        <f>HOUR(Tabel1[[#This Row],[Total Hours]])+MINUTE(Tabel1[[#This Row],[Total Hours]])/60+SECOND(Tabel1[[#This Row],[Total Hours]])/3600</f>
        <v>11</v>
      </c>
      <c r="P124" s="6">
        <f>Tabel1[[#This Row],[End Time]]+(Tabel1[[#This Row],[End Time]]&lt;Tabel1[[#This Row],[Start time]])</f>
        <v>0.79166666666666663</v>
      </c>
      <c r="Q12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25" spans="1:17" x14ac:dyDescent="0.35">
      <c r="A125" s="32"/>
      <c r="B125" s="32">
        <f t="shared" si="1"/>
        <v>118</v>
      </c>
      <c r="C125" s="32" t="str">
        <f>IFERROR(VLOOKUP(Tabel1[[#This Row],[Model]],Tableau2[[Model]:[Parking Number]],2,FALSE)," ")</f>
        <v>FEL1</v>
      </c>
      <c r="D125" s="35">
        <v>45525</v>
      </c>
      <c r="E125" s="32" t="str">
        <f>IF(Tabel1[[#This Row],[Model]]="", "",INDEX(Tableau2[Equipment Type],MATCH(Tabel1[[#This Row],[Model]],Tableau2[Model],0)))</f>
        <v>Loader</v>
      </c>
      <c r="F125" s="4" t="s">
        <v>46</v>
      </c>
      <c r="G125" s="4" t="str">
        <f>IF(Tabel1[[#This Row],[Model]]="", "",INDEX(Tableau2[Equipment],MATCH(Tabel1[[#This Row],[Model]],Tableau2[Model],0)))</f>
        <v>Cat966H.1</v>
      </c>
      <c r="H125" s="4" t="s">
        <v>66</v>
      </c>
      <c r="I125" s="10" t="s">
        <v>162</v>
      </c>
      <c r="J125" s="4">
        <v>5198487</v>
      </c>
      <c r="K125" s="9">
        <v>0.79166666666666663</v>
      </c>
      <c r="L125" s="9">
        <v>0</v>
      </c>
      <c r="M125" s="9">
        <v>0.20833333333333334</v>
      </c>
      <c r="N12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23.416666666666664</v>
      </c>
      <c r="O125" s="30">
        <f>HOUR(Tabel1[[#This Row],[Total Hours]])+MINUTE(Tabel1[[#This Row],[Total Hours]])/60+SECOND(Tabel1[[#This Row],[Total Hours]])/3600</f>
        <v>10</v>
      </c>
      <c r="P125" s="6">
        <f>Tabel1[[#This Row],[End Time]]+(Tabel1[[#This Row],[End Time]]&lt;Tabel1[[#This Row],[Start time]])</f>
        <v>1.2083333333333333</v>
      </c>
      <c r="Q12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26" spans="1:17" x14ac:dyDescent="0.35">
      <c r="A126" s="32"/>
      <c r="B126" s="32">
        <f t="shared" si="1"/>
        <v>119</v>
      </c>
      <c r="C126" s="32" t="str">
        <f>IFERROR(VLOOKUP(Tabel1[[#This Row],[Model]],Tableau2[[Model]:[Parking Number]],2,FALSE)," ")</f>
        <v>TT17</v>
      </c>
      <c r="D126" s="35">
        <v>45525</v>
      </c>
      <c r="E126" s="32" t="str">
        <f>IF(Tabel1[[#This Row],[Model]]="", "",INDEX(Tableau2[Equipment Type],MATCH(Tabel1[[#This Row],[Model]],Tableau2[Model],0)))</f>
        <v>Tipper Truck</v>
      </c>
      <c r="F126" s="4" t="s">
        <v>51</v>
      </c>
      <c r="G126" s="4" t="str">
        <f>IF(Tabel1[[#This Row],[Model]]="", "",INDEX(Tableau2[Equipment],MATCH(Tabel1[[#This Row],[Model]],Tableau2[Model],0)))</f>
        <v>Tipper Truck 20m3 / F17</v>
      </c>
      <c r="H126" s="4" t="s">
        <v>66</v>
      </c>
      <c r="I126" s="10" t="s">
        <v>162</v>
      </c>
      <c r="J126" s="4">
        <v>5198487</v>
      </c>
      <c r="K126" s="9">
        <v>0.29166666666666669</v>
      </c>
      <c r="L126" s="9">
        <v>4.1666666666666664E-2</v>
      </c>
      <c r="M126" s="9">
        <v>0.79166666666666663</v>
      </c>
      <c r="N12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126" s="30">
        <f>HOUR(Tabel1[[#This Row],[Total Hours]])+MINUTE(Tabel1[[#This Row],[Total Hours]])/60+SECOND(Tabel1[[#This Row],[Total Hours]])/3600</f>
        <v>11</v>
      </c>
      <c r="P126" s="6">
        <f>Tabel1[[#This Row],[End Time]]+(Tabel1[[#This Row],[End Time]]&lt;Tabel1[[#This Row],[Start time]])</f>
        <v>0.79166666666666663</v>
      </c>
      <c r="Q12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27" spans="1:17" x14ac:dyDescent="0.35">
      <c r="A127" s="32"/>
      <c r="B127" s="32">
        <f t="shared" si="1"/>
        <v>120</v>
      </c>
      <c r="C127" s="32" t="str">
        <f>IFERROR(VLOOKUP(Tabel1[[#This Row],[Model]],Tableau2[[Model]:[Parking Number]],2,FALSE)," ")</f>
        <v>EX6</v>
      </c>
      <c r="D127" s="35">
        <v>45525</v>
      </c>
      <c r="E127" s="32" t="str">
        <f>IF(Tabel1[[#This Row],[Model]]="", "",INDEX(Tableau2[Equipment Type],MATCH(Tabel1[[#This Row],[Model]],Tableau2[Model],0)))</f>
        <v>Excavator</v>
      </c>
      <c r="F127" s="4" t="s">
        <v>188</v>
      </c>
      <c r="G127" s="4" t="str">
        <f>IF(Tabel1[[#This Row],[Model]]="", "",INDEX(Tableau2[Equipment],MATCH(Tabel1[[#This Row],[Model]],Tableau2[Model],0)))</f>
        <v>CAT329E</v>
      </c>
      <c r="H127" s="4" t="s">
        <v>176</v>
      </c>
      <c r="I127" s="10" t="s">
        <v>186</v>
      </c>
      <c r="J127" s="4">
        <v>5249725</v>
      </c>
      <c r="K127" s="9">
        <v>0.33333333333333331</v>
      </c>
      <c r="L127" s="9">
        <v>4.1666666666666664E-2</v>
      </c>
      <c r="M127" s="9">
        <v>0.70833333333333337</v>
      </c>
      <c r="N12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27" s="30">
        <f>HOUR(Tabel1[[#This Row],[Total Hours]])+MINUTE(Tabel1[[#This Row],[Total Hours]])/60+SECOND(Tabel1[[#This Row],[Total Hours]])/3600</f>
        <v>8</v>
      </c>
      <c r="P127" s="6">
        <f>Tabel1[[#This Row],[End Time]]+(Tabel1[[#This Row],[End Time]]&lt;Tabel1[[#This Row],[Start time]])</f>
        <v>0.70833333333333337</v>
      </c>
      <c r="Q12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28" spans="1:17" x14ac:dyDescent="0.35">
      <c r="A128" s="32"/>
      <c r="B128" s="32">
        <f t="shared" si="1"/>
        <v>121</v>
      </c>
      <c r="C128" s="32" t="str">
        <f>IFERROR(VLOOKUP(Tabel1[[#This Row],[Model]],Tableau2[[Model]:[Parking Number]],2,FALSE)," ")</f>
        <v>EX2</v>
      </c>
      <c r="D128" s="35">
        <v>45525</v>
      </c>
      <c r="E128" s="32" t="str">
        <f>IF(Tabel1[[#This Row],[Model]]="", "",INDEX(Tableau2[Equipment Type],MATCH(Tabel1[[#This Row],[Model]],Tableau2[Model],0)))</f>
        <v>Excavator</v>
      </c>
      <c r="F128" s="4" t="s">
        <v>159</v>
      </c>
      <c r="G128" s="4" t="str">
        <f>IF(Tabel1[[#This Row],[Model]]="", "",INDEX(Tableau2[Equipment],MATCH(Tabel1[[#This Row],[Model]],Tableau2[Model],0)))</f>
        <v>CAT320E.2</v>
      </c>
      <c r="H128" s="4" t="s">
        <v>189</v>
      </c>
      <c r="I128" s="10" t="s">
        <v>190</v>
      </c>
      <c r="J128" s="4">
        <v>5246134</v>
      </c>
      <c r="K128" s="9">
        <v>0.375</v>
      </c>
      <c r="L128" s="9">
        <v>4.1666666666666664E-2</v>
      </c>
      <c r="M128" s="9">
        <v>0.70833333333333337</v>
      </c>
      <c r="N12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0.29166666666666669</v>
      </c>
      <c r="O128" s="30">
        <f>HOUR(Tabel1[[#This Row],[Total Hours]])+MINUTE(Tabel1[[#This Row],[Total Hours]])/60+SECOND(Tabel1[[#This Row],[Total Hours]])/3600</f>
        <v>7</v>
      </c>
      <c r="P128" s="6">
        <f>Tabel1[[#This Row],[End Time]]+(Tabel1[[#This Row],[End Time]]&lt;Tabel1[[#This Row],[Start time]])</f>
        <v>0.70833333333333337</v>
      </c>
      <c r="Q12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29" spans="1:17" x14ac:dyDescent="0.35">
      <c r="A129" s="32"/>
      <c r="B129" s="32">
        <f t="shared" si="1"/>
        <v>122</v>
      </c>
      <c r="C129" s="32" t="str">
        <f>IFERROR(VLOOKUP(Tabel1[[#This Row],[Model]],Tableau2[[Model]:[Parking Number]],2,FALSE)," ")</f>
        <v>LB1</v>
      </c>
      <c r="D129" s="35">
        <v>45525</v>
      </c>
      <c r="E129" s="32" t="str">
        <f>IF(Tabel1[[#This Row],[Model]]="", "",INDEX(Tableau2[Equipment Type],MATCH(Tabel1[[#This Row],[Model]],Tableau2[Model],0)))</f>
        <v>Lowbed</v>
      </c>
      <c r="F129" s="4" t="s">
        <v>71</v>
      </c>
      <c r="G129" s="4" t="str">
        <f>IF(Tabel1[[#This Row],[Model]]="", "",INDEX(Tableau2[Equipment],MATCH(Tabel1[[#This Row],[Model]],Tableau2[Model],0)))</f>
        <v>LB ACTROS 60T</v>
      </c>
      <c r="H129" s="4" t="s">
        <v>189</v>
      </c>
      <c r="I129" s="10" t="s">
        <v>190</v>
      </c>
      <c r="J129" s="4">
        <v>5246134</v>
      </c>
      <c r="K129" s="9">
        <v>0.33333333333333331</v>
      </c>
      <c r="L129" s="9">
        <v>4.1666666666666664E-2</v>
      </c>
      <c r="M129" s="9">
        <v>0.75</v>
      </c>
      <c r="N12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0.375</v>
      </c>
      <c r="O129" s="30">
        <f>HOUR(Tabel1[[#This Row],[Total Hours]])+MINUTE(Tabel1[[#This Row],[Total Hours]])/60+SECOND(Tabel1[[#This Row],[Total Hours]])/3600</f>
        <v>9</v>
      </c>
      <c r="P129" s="6">
        <f>Tabel1[[#This Row],[End Time]]+(Tabel1[[#This Row],[End Time]]&lt;Tabel1[[#This Row],[Start time]])</f>
        <v>0.75</v>
      </c>
      <c r="Q12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30" spans="1:17" x14ac:dyDescent="0.35">
      <c r="A130" s="32"/>
      <c r="B130" s="32">
        <f t="shared" si="1"/>
        <v>123</v>
      </c>
      <c r="C130" s="32" t="str">
        <f>IFERROR(VLOOKUP(Tabel1[[#This Row],[Model]],Tableau2[[Model]:[Parking Number]],2,FALSE)," ")</f>
        <v>FEL2</v>
      </c>
      <c r="D130" s="35">
        <v>45525</v>
      </c>
      <c r="E130" s="32" t="str">
        <f>IF(Tabel1[[#This Row],[Model]]="", "",INDEX(Tableau2[Equipment Type],MATCH(Tabel1[[#This Row],[Model]],Tableau2[Model],0)))</f>
        <v>Loader</v>
      </c>
      <c r="F130" s="4" t="s">
        <v>42</v>
      </c>
      <c r="G130" s="4" t="str">
        <f>IF(Tabel1[[#This Row],[Model]]="", "",INDEX(Tableau2[Equipment],MATCH(Tabel1[[#This Row],[Model]],Tableau2[Model],0)))</f>
        <v>Cat966H.2</v>
      </c>
      <c r="H130" s="4" t="s">
        <v>189</v>
      </c>
      <c r="I130" s="10" t="s">
        <v>190</v>
      </c>
      <c r="J130" s="4">
        <v>5246134</v>
      </c>
      <c r="K130" s="9">
        <v>0.625</v>
      </c>
      <c r="L130" s="9">
        <v>0</v>
      </c>
      <c r="M130" s="9">
        <v>0.75</v>
      </c>
      <c r="N13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0.125</v>
      </c>
      <c r="O130" s="30">
        <f>HOUR(Tabel1[[#This Row],[Total Hours]])+MINUTE(Tabel1[[#This Row],[Total Hours]])/60+SECOND(Tabel1[[#This Row],[Total Hours]])/3600</f>
        <v>3</v>
      </c>
      <c r="P130" s="6">
        <f>Tabel1[[#This Row],[End Time]]+(Tabel1[[#This Row],[End Time]]&lt;Tabel1[[#This Row],[Start time]])</f>
        <v>0.75</v>
      </c>
      <c r="Q13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31" spans="1:17" x14ac:dyDescent="0.35">
      <c r="A131" s="32"/>
      <c r="B131" s="32">
        <f t="shared" si="1"/>
        <v>124</v>
      </c>
      <c r="C131" s="32" t="str">
        <f>IFERROR(VLOOKUP(Tabel1[[#This Row],[Model]],Tableau2[[Model]:[Parking Number]],2,FALSE)," ")</f>
        <v>TT19</v>
      </c>
      <c r="D131" s="35">
        <v>45525</v>
      </c>
      <c r="E131" s="32" t="str">
        <f>IF(Tabel1[[#This Row],[Model]]="", "",INDEX(Tableau2[Equipment Type],MATCH(Tabel1[[#This Row],[Model]],Tableau2[Model],0)))</f>
        <v>Tipper Truck</v>
      </c>
      <c r="F131" s="4" t="s">
        <v>54</v>
      </c>
      <c r="G131" s="4" t="str">
        <f>IF(Tabel1[[#This Row],[Model]]="", "",INDEX(Tableau2[Equipment],MATCH(Tabel1[[#This Row],[Model]],Tableau2[Model],0)))</f>
        <v>Tipper Truck 20m3 / F19</v>
      </c>
      <c r="H131" s="4" t="s">
        <v>189</v>
      </c>
      <c r="I131" s="10" t="s">
        <v>190</v>
      </c>
      <c r="J131" s="4">
        <v>5246134</v>
      </c>
      <c r="K131" s="9">
        <v>0.58333333333333337</v>
      </c>
      <c r="L131" s="9">
        <v>0</v>
      </c>
      <c r="M131" s="9">
        <v>0.66666666666666663</v>
      </c>
      <c r="N13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8.3333333333333259E-2</v>
      </c>
      <c r="O131" s="30">
        <f>HOUR(Tabel1[[#This Row],[Total Hours]])+MINUTE(Tabel1[[#This Row],[Total Hours]])/60+SECOND(Tabel1[[#This Row],[Total Hours]])/3600</f>
        <v>2</v>
      </c>
      <c r="P131" s="6">
        <f>Tabel1[[#This Row],[End Time]]+(Tabel1[[#This Row],[End Time]]&lt;Tabel1[[#This Row],[Start time]])</f>
        <v>0.66666666666666663</v>
      </c>
      <c r="Q13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32" spans="1:17" x14ac:dyDescent="0.35">
      <c r="A132" s="32"/>
      <c r="B132" s="32">
        <f t="shared" si="1"/>
        <v>125</v>
      </c>
      <c r="C132" s="32" t="str">
        <f>IFERROR(VLOOKUP(Tabel1[[#This Row],[Model]],Tableau2[[Model]:[Parking Number]],2,FALSE)," ")</f>
        <v>FEL2</v>
      </c>
      <c r="D132" s="35">
        <v>45525</v>
      </c>
      <c r="E132" s="32" t="str">
        <f>IF(Tabel1[[#This Row],[Model]]="", "",INDEX(Tableau2[Equipment Type],MATCH(Tabel1[[#This Row],[Model]],Tableau2[Model],0)))</f>
        <v>Loader</v>
      </c>
      <c r="F132" s="4" t="s">
        <v>42</v>
      </c>
      <c r="G132" s="4" t="str">
        <f>IF(Tabel1[[#This Row],[Model]]="", "",INDEX(Tableau2[Equipment],MATCH(Tabel1[[#This Row],[Model]],Tableau2[Model],0)))</f>
        <v>Cat966H.2</v>
      </c>
      <c r="H132" s="4" t="s">
        <v>191</v>
      </c>
      <c r="I132" s="10" t="s">
        <v>192</v>
      </c>
      <c r="J132" s="4">
        <v>5086336</v>
      </c>
      <c r="K132" s="9">
        <v>0.45833333333333331</v>
      </c>
      <c r="L132" s="9">
        <v>4.1666666666666664E-2</v>
      </c>
      <c r="M132" s="9">
        <v>0.625</v>
      </c>
      <c r="N13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0.12500000000000003</v>
      </c>
      <c r="O132" s="30">
        <f>HOUR(Tabel1[[#This Row],[Total Hours]])+MINUTE(Tabel1[[#This Row],[Total Hours]])/60+SECOND(Tabel1[[#This Row],[Total Hours]])/3600</f>
        <v>3</v>
      </c>
      <c r="P132" s="6">
        <f>Tabel1[[#This Row],[End Time]]+(Tabel1[[#This Row],[End Time]]&lt;Tabel1[[#This Row],[Start time]])</f>
        <v>0.625</v>
      </c>
      <c r="Q13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33" spans="1:17" x14ac:dyDescent="0.35">
      <c r="A133" s="32"/>
      <c r="B133" s="32">
        <f t="shared" si="1"/>
        <v>126</v>
      </c>
      <c r="C133" s="32" t="str">
        <f>IFERROR(VLOOKUP(Tabel1[[#This Row],[Model]],Tableau2[[Model]:[Parking Number]],2,FALSE)," ")</f>
        <v>TT87</v>
      </c>
      <c r="D133" s="35">
        <v>45525</v>
      </c>
      <c r="E133" s="32" t="str">
        <f>IF(Tabel1[[#This Row],[Model]]="", "",INDEX(Tableau2[Equipment Type],MATCH(Tabel1[[#This Row],[Model]],Tableau2[Model],0)))</f>
        <v>Tipper Truck</v>
      </c>
      <c r="F133" s="4" t="s">
        <v>79</v>
      </c>
      <c r="G133" s="4" t="str">
        <f>IF(Tabel1[[#This Row],[Model]]="", "",INDEX(Tableau2[Equipment],MATCH(Tabel1[[#This Row],[Model]],Tableau2[Model],0)))</f>
        <v>Tipper Truck 20m3 / F87</v>
      </c>
      <c r="H133" s="4" t="s">
        <v>191</v>
      </c>
      <c r="I133" s="10" t="s">
        <v>192</v>
      </c>
      <c r="J133" s="4">
        <v>5086336</v>
      </c>
      <c r="K133" s="9">
        <v>0.58333333333333337</v>
      </c>
      <c r="L133" s="9">
        <v>0</v>
      </c>
      <c r="M133" s="9">
        <v>0.625</v>
      </c>
      <c r="N13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4.166666666666663E-2</v>
      </c>
      <c r="O133" s="30">
        <f>HOUR(Tabel1[[#This Row],[Total Hours]])+MINUTE(Tabel1[[#This Row],[Total Hours]])/60+SECOND(Tabel1[[#This Row],[Total Hours]])/3600</f>
        <v>1</v>
      </c>
      <c r="P133" s="6">
        <f>Tabel1[[#This Row],[End Time]]+(Tabel1[[#This Row],[End Time]]&lt;Tabel1[[#This Row],[Start time]])</f>
        <v>0.625</v>
      </c>
      <c r="Q13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34" spans="1:17" x14ac:dyDescent="0.35">
      <c r="A134" s="32"/>
      <c r="B134" s="32">
        <f t="shared" si="1"/>
        <v>127</v>
      </c>
      <c r="C134" s="32" t="str">
        <f>IFERROR(VLOOKUP(Tabel1[[#This Row],[Model]],Tableau2[[Model]:[Parking Number]],2,FALSE)," ")</f>
        <v>WT1</v>
      </c>
      <c r="D134" s="35">
        <v>45526</v>
      </c>
      <c r="E134" s="32" t="str">
        <f>IF(Tabel1[[#This Row],[Model]]="", "",INDEX(Tableau2[Equipment Type],MATCH(Tabel1[[#This Row],[Model]],Tableau2[Model],0)))</f>
        <v>Water Truck</v>
      </c>
      <c r="F134" s="4" t="s">
        <v>47</v>
      </c>
      <c r="G134" s="4" t="str">
        <f>IF(Tabel1[[#This Row],[Model]]="", "",INDEX(Tableau2[Equipment],MATCH(Tabel1[[#This Row],[Model]],Tableau2[Model],0)))</f>
        <v>Water Truck 20T / 1924.1</v>
      </c>
      <c r="H134" s="4" t="s">
        <v>56</v>
      </c>
      <c r="I134" s="10" t="s">
        <v>57</v>
      </c>
      <c r="J134" s="4">
        <v>5246135</v>
      </c>
      <c r="K134" s="9">
        <v>0.33333333333333331</v>
      </c>
      <c r="L134" s="9">
        <v>4.1666666666666664E-2</v>
      </c>
      <c r="M134" s="9">
        <v>0.70833333333333337</v>
      </c>
      <c r="N13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34" s="30">
        <f>HOUR(Tabel1[[#This Row],[Total Hours]])+MINUTE(Tabel1[[#This Row],[Total Hours]])/60+SECOND(Tabel1[[#This Row],[Total Hours]])/3600</f>
        <v>8</v>
      </c>
      <c r="P134" s="6">
        <f>Tabel1[[#This Row],[End Time]]+(Tabel1[[#This Row],[End Time]]&lt;Tabel1[[#This Row],[Start time]])</f>
        <v>0.70833333333333337</v>
      </c>
      <c r="Q13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35" spans="1:17" x14ac:dyDescent="0.35">
      <c r="A135" s="32"/>
      <c r="B135" s="32">
        <f t="shared" si="1"/>
        <v>128</v>
      </c>
      <c r="C135" s="32" t="str">
        <f>IFERROR(VLOOKUP(Tabel1[[#This Row],[Model]],Tableau2[[Model]:[Parking Number]],2,FALSE)," ")</f>
        <v>WT2</v>
      </c>
      <c r="D135" s="35">
        <v>45526</v>
      </c>
      <c r="E135" s="32" t="str">
        <f>IF(Tabel1[[#This Row],[Model]]="", "",INDEX(Tableau2[Equipment Type],MATCH(Tabel1[[#This Row],[Model]],Tableau2[Model],0)))</f>
        <v>Water Truck</v>
      </c>
      <c r="F135" s="4" t="s">
        <v>48</v>
      </c>
      <c r="G135" s="4" t="str">
        <f>IF(Tabel1[[#This Row],[Model]]="", "",INDEX(Tableau2[Equipment],MATCH(Tabel1[[#This Row],[Model]],Tableau2[Model],0)))</f>
        <v>Water Truck 20T / 1924.2</v>
      </c>
      <c r="H135" s="4" t="s">
        <v>56</v>
      </c>
      <c r="I135" s="10" t="s">
        <v>57</v>
      </c>
      <c r="J135" s="4">
        <v>5246135</v>
      </c>
      <c r="K135" s="9">
        <v>0.33333333333333331</v>
      </c>
      <c r="L135" s="9">
        <v>4.1666666666666664E-2</v>
      </c>
      <c r="M135" s="9">
        <v>0.70833333333333337</v>
      </c>
      <c r="N13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35" s="30">
        <f>HOUR(Tabel1[[#This Row],[Total Hours]])+MINUTE(Tabel1[[#This Row],[Total Hours]])/60+SECOND(Tabel1[[#This Row],[Total Hours]])/3600</f>
        <v>8</v>
      </c>
      <c r="P135" s="6">
        <f>Tabel1[[#This Row],[End Time]]+(Tabel1[[#This Row],[End Time]]&lt;Tabel1[[#This Row],[Start time]])</f>
        <v>0.70833333333333337</v>
      </c>
      <c r="Q13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36" spans="1:17" x14ac:dyDescent="0.35">
      <c r="A136" s="32"/>
      <c r="B136" s="32">
        <f t="shared" si="1"/>
        <v>129</v>
      </c>
      <c r="C136" s="32" t="str">
        <f>IFERROR(VLOOKUP(Tabel1[[#This Row],[Model]],Tableau2[[Model]:[Parking Number]],2,FALSE)," ")</f>
        <v>WT3</v>
      </c>
      <c r="D136" s="35">
        <v>45526</v>
      </c>
      <c r="E136" s="32" t="str">
        <f>IF(Tabel1[[#This Row],[Model]]="", "",INDEX(Tableau2[Equipment Type],MATCH(Tabel1[[#This Row],[Model]],Tableau2[Model],0)))</f>
        <v>Water Truck</v>
      </c>
      <c r="F136" s="4" t="s">
        <v>49</v>
      </c>
      <c r="G136" s="4" t="str">
        <f>IF(Tabel1[[#This Row],[Model]]="", "",INDEX(Tableau2[Equipment],MATCH(Tabel1[[#This Row],[Model]],Tableau2[Model],0)))</f>
        <v>Water Truck 20T / 1924.3</v>
      </c>
      <c r="H136" s="4" t="s">
        <v>56</v>
      </c>
      <c r="I136" s="10" t="s">
        <v>57</v>
      </c>
      <c r="J136" s="4">
        <v>5246135</v>
      </c>
      <c r="K136" s="9">
        <v>0.33333333333333331</v>
      </c>
      <c r="L136" s="9">
        <v>4.1666666666666664E-2</v>
      </c>
      <c r="M136" s="9">
        <v>0.70833333333333337</v>
      </c>
      <c r="N13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36" s="30">
        <f>HOUR(Tabel1[[#This Row],[Total Hours]])+MINUTE(Tabel1[[#This Row],[Total Hours]])/60+SECOND(Tabel1[[#This Row],[Total Hours]])/3600</f>
        <v>8</v>
      </c>
      <c r="P136" s="6">
        <f>Tabel1[[#This Row],[End Time]]+(Tabel1[[#This Row],[End Time]]&lt;Tabel1[[#This Row],[Start time]])</f>
        <v>0.70833333333333337</v>
      </c>
      <c r="Q13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37" spans="1:17" x14ac:dyDescent="0.35">
      <c r="A137" s="32"/>
      <c r="B137" s="32">
        <f t="shared" ref="B137:B200" si="2">B136+1</f>
        <v>130</v>
      </c>
      <c r="C137" s="32" t="str">
        <f>IFERROR(VLOOKUP(Tabel1[[#This Row],[Model]],Tableau2[[Model]:[Parking Number]],2,FALSE)," ")</f>
        <v>WT9</v>
      </c>
      <c r="D137" s="35">
        <v>45526</v>
      </c>
      <c r="E137" s="32" t="str">
        <f>IF(Tabel1[[#This Row],[Model]]="", "",INDEX(Tableau2[Equipment Type],MATCH(Tabel1[[#This Row],[Model]],Tableau2[Model],0)))</f>
        <v>Water Truck</v>
      </c>
      <c r="F137" s="4" t="s">
        <v>50</v>
      </c>
      <c r="G137" s="4" t="str">
        <f>IF(Tabel1[[#This Row],[Model]]="", "",INDEX(Tableau2[Equipment],MATCH(Tabel1[[#This Row],[Model]],Tableau2[Model],0)))</f>
        <v>Water Truck 20T / WT09</v>
      </c>
      <c r="H137" s="4" t="s">
        <v>56</v>
      </c>
      <c r="I137" s="10" t="s">
        <v>57</v>
      </c>
      <c r="J137" s="4">
        <v>5246135</v>
      </c>
      <c r="K137" s="9">
        <v>0.33333333333333331</v>
      </c>
      <c r="L137" s="9">
        <v>4.1666666666666664E-2</v>
      </c>
      <c r="M137" s="9">
        <v>0.70833333333333337</v>
      </c>
      <c r="N13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37" s="30">
        <f>HOUR(Tabel1[[#This Row],[Total Hours]])+MINUTE(Tabel1[[#This Row],[Total Hours]])/60+SECOND(Tabel1[[#This Row],[Total Hours]])/3600</f>
        <v>8</v>
      </c>
      <c r="P137" s="6">
        <f>Tabel1[[#This Row],[End Time]]+(Tabel1[[#This Row],[End Time]]&lt;Tabel1[[#This Row],[Start time]])</f>
        <v>0.70833333333333337</v>
      </c>
      <c r="Q13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38" spans="1:17" x14ac:dyDescent="0.35">
      <c r="A138" s="32"/>
      <c r="B138" s="32">
        <f t="shared" si="2"/>
        <v>131</v>
      </c>
      <c r="C138" s="32" t="str">
        <f>IFERROR(VLOOKUP(Tabel1[[#This Row],[Model]],Tableau2[[Model]:[Parking Number]],2,FALSE)," ")</f>
        <v>GR1</v>
      </c>
      <c r="D138" s="35">
        <v>45526</v>
      </c>
      <c r="E138" s="32" t="str">
        <f>IF(Tabel1[[#This Row],[Model]]="", "",INDEX(Tableau2[Equipment Type],MATCH(Tabel1[[#This Row],[Model]],Tableau2[Model],0)))</f>
        <v>Grader</v>
      </c>
      <c r="F138" s="4" t="s">
        <v>63</v>
      </c>
      <c r="G138" s="4" t="str">
        <f>IF(Tabel1[[#This Row],[Model]]="", "",INDEX(Tableau2[Equipment],MATCH(Tabel1[[#This Row],[Model]],Tableau2[Model],0)))</f>
        <v>CAT12K.1</v>
      </c>
      <c r="H138" s="4" t="s">
        <v>56</v>
      </c>
      <c r="I138" s="10" t="s">
        <v>57</v>
      </c>
      <c r="J138" s="4">
        <v>5246135</v>
      </c>
      <c r="K138" s="9">
        <v>0.33333333333333331</v>
      </c>
      <c r="L138" s="9">
        <v>4.1666666666666664E-2</v>
      </c>
      <c r="M138" s="9">
        <v>0.70833333333333337</v>
      </c>
      <c r="N13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38" s="30">
        <f>HOUR(Tabel1[[#This Row],[Total Hours]])+MINUTE(Tabel1[[#This Row],[Total Hours]])/60+SECOND(Tabel1[[#This Row],[Total Hours]])/3600</f>
        <v>8</v>
      </c>
      <c r="P138" s="6">
        <f>Tabel1[[#This Row],[End Time]]+(Tabel1[[#This Row],[End Time]]&lt;Tabel1[[#This Row],[Start time]])</f>
        <v>0.70833333333333337</v>
      </c>
      <c r="Q13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39" spans="1:17" x14ac:dyDescent="0.35">
      <c r="A139" s="32"/>
      <c r="B139" s="32">
        <f t="shared" si="2"/>
        <v>132</v>
      </c>
      <c r="C139" s="32" t="str">
        <f>IFERROR(VLOOKUP(Tabel1[[#This Row],[Model]],Tableau2[[Model]:[Parking Number]],2,FALSE)," ")</f>
        <v>GR2</v>
      </c>
      <c r="D139" s="35">
        <v>45526</v>
      </c>
      <c r="E139" s="32" t="str">
        <f>IF(Tabel1[[#This Row],[Model]]="", "",INDEX(Tableau2[Equipment Type],MATCH(Tabel1[[#This Row],[Model]],Tableau2[Model],0)))</f>
        <v>Grader</v>
      </c>
      <c r="F139" s="4" t="s">
        <v>39</v>
      </c>
      <c r="G139" s="4" t="str">
        <f>IF(Tabel1[[#This Row],[Model]]="", "",INDEX(Tableau2[Equipment],MATCH(Tabel1[[#This Row],[Model]],Tableau2[Model],0)))</f>
        <v>CAT12K.2</v>
      </c>
      <c r="H139" s="4" t="s">
        <v>56</v>
      </c>
      <c r="I139" s="10" t="s">
        <v>57</v>
      </c>
      <c r="J139" s="4">
        <v>5246135</v>
      </c>
      <c r="K139" s="9">
        <v>0.33333333333333331</v>
      </c>
      <c r="L139" s="9">
        <v>0</v>
      </c>
      <c r="M139" s="9">
        <v>0.45833333333333331</v>
      </c>
      <c r="N13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0.125</v>
      </c>
      <c r="O139" s="30">
        <f>HOUR(Tabel1[[#This Row],[Total Hours]])+MINUTE(Tabel1[[#This Row],[Total Hours]])/60+SECOND(Tabel1[[#This Row],[Total Hours]])/3600</f>
        <v>3</v>
      </c>
      <c r="P139" s="6">
        <f>Tabel1[[#This Row],[End Time]]+(Tabel1[[#This Row],[End Time]]&lt;Tabel1[[#This Row],[Start time]])</f>
        <v>0.45833333333333331</v>
      </c>
      <c r="Q13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40" spans="1:17" x14ac:dyDescent="0.35">
      <c r="A140" s="32"/>
      <c r="B140" s="32">
        <f t="shared" si="2"/>
        <v>133</v>
      </c>
      <c r="C140" s="32" t="str">
        <f>IFERROR(VLOOKUP(Tabel1[[#This Row],[Model]],Tableau2[[Model]:[Parking Number]],2,FALSE)," ")</f>
        <v>FEL4</v>
      </c>
      <c r="D140" s="35">
        <v>45526</v>
      </c>
      <c r="E140" s="32" t="str">
        <f>IF(Tabel1[[#This Row],[Model]]="", "",INDEX(Tableau2[Equipment Type],MATCH(Tabel1[[#This Row],[Model]],Tableau2[Model],0)))</f>
        <v>Loader</v>
      </c>
      <c r="F140" s="4" t="s">
        <v>40</v>
      </c>
      <c r="G140" s="4" t="str">
        <f>IF(Tabel1[[#This Row],[Model]]="", "",INDEX(Tableau2[Equipment],MATCH(Tabel1[[#This Row],[Model]],Tableau2[Model],0)))</f>
        <v>Cat972G.2</v>
      </c>
      <c r="H140" s="4" t="s">
        <v>56</v>
      </c>
      <c r="I140" s="10" t="s">
        <v>57</v>
      </c>
      <c r="J140" s="4">
        <v>5246135</v>
      </c>
      <c r="K140" s="9">
        <v>0.33333333333333331</v>
      </c>
      <c r="L140" s="9">
        <v>4.1666666666666664E-2</v>
      </c>
      <c r="M140" s="9">
        <v>0.70833333333333337</v>
      </c>
      <c r="N14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40" s="30">
        <f>HOUR(Tabel1[[#This Row],[Total Hours]])+MINUTE(Tabel1[[#This Row],[Total Hours]])/60+SECOND(Tabel1[[#This Row],[Total Hours]])/3600</f>
        <v>8</v>
      </c>
      <c r="P140" s="6">
        <f>Tabel1[[#This Row],[End Time]]+(Tabel1[[#This Row],[End Time]]&lt;Tabel1[[#This Row],[Start time]])</f>
        <v>0.70833333333333337</v>
      </c>
      <c r="Q14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41" spans="1:17" x14ac:dyDescent="0.35">
      <c r="A141" s="32"/>
      <c r="B141" s="32">
        <f t="shared" si="2"/>
        <v>134</v>
      </c>
      <c r="C141" s="32" t="str">
        <f>IFERROR(VLOOKUP(Tabel1[[#This Row],[Model]],Tableau2[[Model]:[Parking Number]],2,FALSE)," ")</f>
        <v>TD4</v>
      </c>
      <c r="D141" s="35">
        <v>45526</v>
      </c>
      <c r="E141" s="32" t="str">
        <f>IF(Tabel1[[#This Row],[Model]]="", "",INDEX(Tableau2[Equipment Type],MATCH(Tabel1[[#This Row],[Model]],Tableau2[Model],0)))</f>
        <v>Bulldozer</v>
      </c>
      <c r="F141" s="4" t="s">
        <v>41</v>
      </c>
      <c r="G141" s="4" t="str">
        <f>IF(Tabel1[[#This Row],[Model]]="", "",INDEX(Tableau2[Equipment],MATCH(Tabel1[[#This Row],[Model]],Tableau2[Model],0)))</f>
        <v>CATD8R.3</v>
      </c>
      <c r="H141" s="4" t="s">
        <v>56</v>
      </c>
      <c r="I141" s="10" t="s">
        <v>161</v>
      </c>
      <c r="J141" s="4">
        <v>5092509</v>
      </c>
      <c r="K141" s="9">
        <v>0.33333333333333331</v>
      </c>
      <c r="L141" s="9">
        <v>4.1666666666666664E-2</v>
      </c>
      <c r="M141" s="9">
        <v>0.70833333333333337</v>
      </c>
      <c r="N14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41" s="30">
        <f>HOUR(Tabel1[[#This Row],[Total Hours]])+MINUTE(Tabel1[[#This Row],[Total Hours]])/60+SECOND(Tabel1[[#This Row],[Total Hours]])/3600</f>
        <v>8</v>
      </c>
      <c r="P141" s="6">
        <f>Tabel1[[#This Row],[End Time]]+(Tabel1[[#This Row],[End Time]]&lt;Tabel1[[#This Row],[Start time]])</f>
        <v>0.70833333333333337</v>
      </c>
      <c r="Q14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42" spans="1:17" x14ac:dyDescent="0.35">
      <c r="A142" s="32"/>
      <c r="B142" s="32">
        <f t="shared" si="2"/>
        <v>135</v>
      </c>
      <c r="C142" s="32" t="str">
        <f>IFERROR(VLOOKUP(Tabel1[[#This Row],[Model]],Tableau2[[Model]:[Parking Number]],2,FALSE)," ")</f>
        <v>WT8</v>
      </c>
      <c r="D142" s="35">
        <v>45526</v>
      </c>
      <c r="E142" s="32" t="str">
        <f>IF(Tabel1[[#This Row],[Model]]="", "",INDEX(Tableau2[Equipment Type],MATCH(Tabel1[[#This Row],[Model]],Tableau2[Model],0)))</f>
        <v>Water Truck</v>
      </c>
      <c r="F142" s="4" t="s">
        <v>52</v>
      </c>
      <c r="G142" s="4" t="str">
        <f>IF(Tabel1[[#This Row],[Model]]="", "",INDEX(Tableau2[Equipment],MATCH(Tabel1[[#This Row],[Model]],Tableau2[Model],0)))</f>
        <v>Water Truck 20T / WT08</v>
      </c>
      <c r="H142" s="4" t="s">
        <v>163</v>
      </c>
      <c r="I142" s="10" t="s">
        <v>164</v>
      </c>
      <c r="J142" s="4">
        <v>5253778</v>
      </c>
      <c r="K142" s="9">
        <v>0.29166666666666669</v>
      </c>
      <c r="L142" s="9">
        <v>4.1666666666666664E-2</v>
      </c>
      <c r="M142" s="9">
        <v>0.70833333333333337</v>
      </c>
      <c r="N14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0.375</v>
      </c>
      <c r="O142" s="30">
        <f>HOUR(Tabel1[[#This Row],[Total Hours]])+MINUTE(Tabel1[[#This Row],[Total Hours]])/60+SECOND(Tabel1[[#This Row],[Total Hours]])/3600</f>
        <v>9</v>
      </c>
      <c r="P142" s="6">
        <f>Tabel1[[#This Row],[End Time]]+(Tabel1[[#This Row],[End Time]]&lt;Tabel1[[#This Row],[Start time]])</f>
        <v>0.70833333333333337</v>
      </c>
      <c r="Q14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43" spans="1:17" x14ac:dyDescent="0.35">
      <c r="A143" s="32"/>
      <c r="B143" s="32">
        <f t="shared" si="2"/>
        <v>136</v>
      </c>
      <c r="C143" s="32" t="str">
        <f>IFERROR(VLOOKUP(Tabel1[[#This Row],[Model]],Tableau2[[Model]:[Parking Number]],2,FALSE)," ")</f>
        <v>FEL1</v>
      </c>
      <c r="D143" s="35">
        <v>45526</v>
      </c>
      <c r="E143" s="32" t="str">
        <f>IF(Tabel1[[#This Row],[Model]]="", "",INDEX(Tableau2[Equipment Type],MATCH(Tabel1[[#This Row],[Model]],Tableau2[Model],0)))</f>
        <v>Loader</v>
      </c>
      <c r="F143" s="4" t="s">
        <v>46</v>
      </c>
      <c r="G143" s="4" t="str">
        <f>IF(Tabel1[[#This Row],[Model]]="", "",INDEX(Tableau2[Equipment],MATCH(Tabel1[[#This Row],[Model]],Tableau2[Model],0)))</f>
        <v>Cat966H.1</v>
      </c>
      <c r="H143" s="4" t="s">
        <v>66</v>
      </c>
      <c r="I143" s="10" t="s">
        <v>162</v>
      </c>
      <c r="J143" s="4">
        <v>5198487</v>
      </c>
      <c r="K143" s="9">
        <v>0.29166666666666669</v>
      </c>
      <c r="L143" s="9">
        <v>4.1666666666666664E-2</v>
      </c>
      <c r="M143" s="9">
        <v>0.79166666666666663</v>
      </c>
      <c r="N14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143" s="30">
        <f>HOUR(Tabel1[[#This Row],[Total Hours]])+MINUTE(Tabel1[[#This Row],[Total Hours]])/60+SECOND(Tabel1[[#This Row],[Total Hours]])/3600</f>
        <v>11</v>
      </c>
      <c r="P143" s="6">
        <f>Tabel1[[#This Row],[End Time]]+(Tabel1[[#This Row],[End Time]]&lt;Tabel1[[#This Row],[Start time]])</f>
        <v>0.79166666666666663</v>
      </c>
      <c r="Q14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44" spans="1:17" x14ac:dyDescent="0.35">
      <c r="A144" s="32"/>
      <c r="B144" s="32">
        <f t="shared" si="2"/>
        <v>137</v>
      </c>
      <c r="C144" s="32" t="str">
        <f>IFERROR(VLOOKUP(Tabel1[[#This Row],[Model]],Tableau2[[Model]:[Parking Number]],2,FALSE)," ")</f>
        <v>FEL1</v>
      </c>
      <c r="D144" s="35">
        <v>45526</v>
      </c>
      <c r="E144" s="32" t="str">
        <f>IF(Tabel1[[#This Row],[Model]]="", "",INDEX(Tableau2[Equipment Type],MATCH(Tabel1[[#This Row],[Model]],Tableau2[Model],0)))</f>
        <v>Loader</v>
      </c>
      <c r="F144" s="4" t="s">
        <v>46</v>
      </c>
      <c r="G144" s="4" t="str">
        <f>IF(Tabel1[[#This Row],[Model]]="", "",INDEX(Tableau2[Equipment],MATCH(Tabel1[[#This Row],[Model]],Tableau2[Model],0)))</f>
        <v>Cat966H.1</v>
      </c>
      <c r="H144" s="4" t="s">
        <v>66</v>
      </c>
      <c r="I144" s="10" t="s">
        <v>162</v>
      </c>
      <c r="J144" s="4">
        <v>5198487</v>
      </c>
      <c r="K144" s="9">
        <v>0.79166666666666663</v>
      </c>
      <c r="L144" s="9">
        <v>0</v>
      </c>
      <c r="M144" s="9">
        <v>0.20833333333333334</v>
      </c>
      <c r="N14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23.416666666666664</v>
      </c>
      <c r="O144" s="30">
        <f>HOUR(Tabel1[[#This Row],[Total Hours]])+MINUTE(Tabel1[[#This Row],[Total Hours]])/60+SECOND(Tabel1[[#This Row],[Total Hours]])/3600</f>
        <v>10</v>
      </c>
      <c r="P144" s="6">
        <f>Tabel1[[#This Row],[End Time]]+(Tabel1[[#This Row],[End Time]]&lt;Tabel1[[#This Row],[Start time]])</f>
        <v>1.2083333333333333</v>
      </c>
      <c r="Q14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45" spans="1:17" x14ac:dyDescent="0.35">
      <c r="A145" s="32"/>
      <c r="B145" s="32">
        <f t="shared" si="2"/>
        <v>138</v>
      </c>
      <c r="C145" s="32" t="str">
        <f>IFERROR(VLOOKUP(Tabel1[[#This Row],[Model]],Tableau2[[Model]:[Parking Number]],2,FALSE)," ")</f>
        <v>TT17</v>
      </c>
      <c r="D145" s="35">
        <v>45526</v>
      </c>
      <c r="E145" s="32" t="str">
        <f>IF(Tabel1[[#This Row],[Model]]="", "",INDEX(Tableau2[Equipment Type],MATCH(Tabel1[[#This Row],[Model]],Tableau2[Model],0)))</f>
        <v>Tipper Truck</v>
      </c>
      <c r="F145" s="4" t="s">
        <v>51</v>
      </c>
      <c r="G145" s="4" t="str">
        <f>IF(Tabel1[[#This Row],[Model]]="", "",INDEX(Tableau2[Equipment],MATCH(Tabel1[[#This Row],[Model]],Tableau2[Model],0)))</f>
        <v>Tipper Truck 20m3 / F17</v>
      </c>
      <c r="H145" s="4" t="s">
        <v>66</v>
      </c>
      <c r="I145" s="10" t="s">
        <v>162</v>
      </c>
      <c r="J145" s="4">
        <v>5198487</v>
      </c>
      <c r="K145" s="9">
        <v>0.29166666666666669</v>
      </c>
      <c r="L145" s="9">
        <v>4.1666666666666664E-2</v>
      </c>
      <c r="M145" s="9">
        <v>0.79166666666666663</v>
      </c>
      <c r="N14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145" s="30">
        <f>HOUR(Tabel1[[#This Row],[Total Hours]])+MINUTE(Tabel1[[#This Row],[Total Hours]])/60+SECOND(Tabel1[[#This Row],[Total Hours]])/3600</f>
        <v>11</v>
      </c>
      <c r="P145" s="6">
        <f>Tabel1[[#This Row],[End Time]]+(Tabel1[[#This Row],[End Time]]&lt;Tabel1[[#This Row],[Start time]])</f>
        <v>0.79166666666666663</v>
      </c>
      <c r="Q14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46" spans="1:17" x14ac:dyDescent="0.35">
      <c r="A146" s="32"/>
      <c r="B146" s="32">
        <f t="shared" si="2"/>
        <v>139</v>
      </c>
      <c r="C146" s="32" t="str">
        <f>IFERROR(VLOOKUP(Tabel1[[#This Row],[Model]],Tableau2[[Model]:[Parking Number]],2,FALSE)," ")</f>
        <v>FEL2</v>
      </c>
      <c r="D146" s="35">
        <v>45526</v>
      </c>
      <c r="E146" s="32" t="str">
        <f>IF(Tabel1[[#This Row],[Model]]="", "",INDEX(Tableau2[Equipment Type],MATCH(Tabel1[[#This Row],[Model]],Tableau2[Model],0)))</f>
        <v>Loader</v>
      </c>
      <c r="F146" s="4" t="s">
        <v>42</v>
      </c>
      <c r="G146" s="4" t="str">
        <f>IF(Tabel1[[#This Row],[Model]]="", "",INDEX(Tableau2[Equipment],MATCH(Tabel1[[#This Row],[Model]],Tableau2[Model],0)))</f>
        <v>Cat966H.2</v>
      </c>
      <c r="H146" s="4" t="s">
        <v>173</v>
      </c>
      <c r="I146" s="10" t="s">
        <v>174</v>
      </c>
      <c r="J146" s="4">
        <v>5246410</v>
      </c>
      <c r="K146" s="9">
        <v>0.41666666666666669</v>
      </c>
      <c r="L146" s="9">
        <v>0</v>
      </c>
      <c r="M146" s="9">
        <v>0.5</v>
      </c>
      <c r="N14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8.3333333333333315E-2</v>
      </c>
      <c r="O146" s="30">
        <f>HOUR(Tabel1[[#This Row],[Total Hours]])+MINUTE(Tabel1[[#This Row],[Total Hours]])/60+SECOND(Tabel1[[#This Row],[Total Hours]])/3600</f>
        <v>2</v>
      </c>
      <c r="P146" s="6">
        <f>Tabel1[[#This Row],[End Time]]+(Tabel1[[#This Row],[End Time]]&lt;Tabel1[[#This Row],[Start time]])</f>
        <v>0.5</v>
      </c>
      <c r="Q14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47" spans="1:17" x14ac:dyDescent="0.35">
      <c r="A147" s="32"/>
      <c r="B147" s="32">
        <f t="shared" si="2"/>
        <v>140</v>
      </c>
      <c r="C147" s="32" t="str">
        <f>IFERROR(VLOOKUP(Tabel1[[#This Row],[Model]],Tableau2[[Model]:[Parking Number]],2,FALSE)," ")</f>
        <v>TT19</v>
      </c>
      <c r="D147" s="35">
        <v>45526</v>
      </c>
      <c r="E147" s="32" t="str">
        <f>IF(Tabel1[[#This Row],[Model]]="", "",INDEX(Tableau2[Equipment Type],MATCH(Tabel1[[#This Row],[Model]],Tableau2[Model],0)))</f>
        <v>Tipper Truck</v>
      </c>
      <c r="F147" s="4" t="s">
        <v>54</v>
      </c>
      <c r="G147" s="4" t="str">
        <f>IF(Tabel1[[#This Row],[Model]]="", "",INDEX(Tableau2[Equipment],MATCH(Tabel1[[#This Row],[Model]],Tableau2[Model],0)))</f>
        <v>Tipper Truck 20m3 / F19</v>
      </c>
      <c r="H147" s="4" t="s">
        <v>173</v>
      </c>
      <c r="I147" s="10" t="s">
        <v>174</v>
      </c>
      <c r="J147" s="4">
        <v>5246410</v>
      </c>
      <c r="K147" s="9">
        <v>0.41666666666666669</v>
      </c>
      <c r="L147" s="9">
        <v>0</v>
      </c>
      <c r="M147" s="9">
        <v>0.5</v>
      </c>
      <c r="N14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8.3333333333333315E-2</v>
      </c>
      <c r="O147" s="30">
        <f>HOUR(Tabel1[[#This Row],[Total Hours]])+MINUTE(Tabel1[[#This Row],[Total Hours]])/60+SECOND(Tabel1[[#This Row],[Total Hours]])/3600</f>
        <v>2</v>
      </c>
      <c r="P147" s="6">
        <f>Tabel1[[#This Row],[End Time]]+(Tabel1[[#This Row],[End Time]]&lt;Tabel1[[#This Row],[Start time]])</f>
        <v>0.5</v>
      </c>
      <c r="Q14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48" spans="1:17" x14ac:dyDescent="0.35">
      <c r="A148" s="32"/>
      <c r="B148" s="32">
        <f t="shared" si="2"/>
        <v>141</v>
      </c>
      <c r="C148" s="32" t="str">
        <f>IFERROR(VLOOKUP(Tabel1[[#This Row],[Model]],Tableau2[[Model]:[Parking Number]],2,FALSE)," ")</f>
        <v>TT87</v>
      </c>
      <c r="D148" s="35">
        <v>45526</v>
      </c>
      <c r="E148" s="32" t="str">
        <f>IF(Tabel1[[#This Row],[Model]]="", "",INDEX(Tableau2[Equipment Type],MATCH(Tabel1[[#This Row],[Model]],Tableau2[Model],0)))</f>
        <v>Tipper Truck</v>
      </c>
      <c r="F148" s="4" t="s">
        <v>79</v>
      </c>
      <c r="G148" s="4" t="str">
        <f>IF(Tabel1[[#This Row],[Model]]="", "",INDEX(Tableau2[Equipment],MATCH(Tabel1[[#This Row],[Model]],Tableau2[Model],0)))</f>
        <v>Tipper Truck 20m3 / F87</v>
      </c>
      <c r="H148" s="4" t="s">
        <v>173</v>
      </c>
      <c r="I148" s="10" t="s">
        <v>174</v>
      </c>
      <c r="J148" s="4">
        <v>5246410</v>
      </c>
      <c r="K148" s="9">
        <v>0.41666666666666669</v>
      </c>
      <c r="L148" s="9">
        <v>0</v>
      </c>
      <c r="M148" s="9">
        <v>0.5</v>
      </c>
      <c r="N14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8.3333333333333315E-2</v>
      </c>
      <c r="O148" s="30">
        <f>HOUR(Tabel1[[#This Row],[Total Hours]])+MINUTE(Tabel1[[#This Row],[Total Hours]])/60+SECOND(Tabel1[[#This Row],[Total Hours]])/3600</f>
        <v>2</v>
      </c>
      <c r="P148" s="6">
        <f>Tabel1[[#This Row],[End Time]]+(Tabel1[[#This Row],[End Time]]&lt;Tabel1[[#This Row],[Start time]])</f>
        <v>0.5</v>
      </c>
      <c r="Q14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49" spans="1:17" x14ac:dyDescent="0.35">
      <c r="A149" s="32"/>
      <c r="B149" s="32">
        <f t="shared" si="2"/>
        <v>142</v>
      </c>
      <c r="C149" s="32" t="str">
        <f>IFERROR(VLOOKUP(Tabel1[[#This Row],[Model]],Tableau2[[Model]:[Parking Number]],2,FALSE)," ")</f>
        <v>FEL2</v>
      </c>
      <c r="D149" s="35">
        <v>45526</v>
      </c>
      <c r="E149" s="32" t="str">
        <f>IF(Tabel1[[#This Row],[Model]]="", "",INDEX(Tableau2[Equipment Type],MATCH(Tabel1[[#This Row],[Model]],Tableau2[Model],0)))</f>
        <v>Loader</v>
      </c>
      <c r="F149" s="4" t="s">
        <v>42</v>
      </c>
      <c r="G149" s="4" t="str">
        <f>IF(Tabel1[[#This Row],[Model]]="", "",INDEX(Tableau2[Equipment],MATCH(Tabel1[[#This Row],[Model]],Tableau2[Model],0)))</f>
        <v>Cat966H.2</v>
      </c>
      <c r="H149" s="4" t="s">
        <v>193</v>
      </c>
      <c r="I149" s="10" t="s">
        <v>194</v>
      </c>
      <c r="J149" s="4">
        <v>5257354</v>
      </c>
      <c r="K149" s="9">
        <v>0.58333333333333337</v>
      </c>
      <c r="L149" s="9">
        <v>0</v>
      </c>
      <c r="M149" s="9">
        <v>0.75</v>
      </c>
      <c r="N14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0.16666666666666663</v>
      </c>
      <c r="O149" s="30">
        <f>HOUR(Tabel1[[#This Row],[Total Hours]])+MINUTE(Tabel1[[#This Row],[Total Hours]])/60+SECOND(Tabel1[[#This Row],[Total Hours]])/3600</f>
        <v>4</v>
      </c>
      <c r="P149" s="6">
        <f>Tabel1[[#This Row],[End Time]]+(Tabel1[[#This Row],[End Time]]&lt;Tabel1[[#This Row],[Start time]])</f>
        <v>0.75</v>
      </c>
      <c r="Q14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50" spans="1:17" x14ac:dyDescent="0.35">
      <c r="A150" s="32"/>
      <c r="B150" s="32">
        <f t="shared" si="2"/>
        <v>143</v>
      </c>
      <c r="C150" s="32" t="str">
        <f>IFERROR(VLOOKUP(Tabel1[[#This Row],[Model]],Tableau2[[Model]:[Parking Number]],2,FALSE)," ")</f>
        <v>GR2</v>
      </c>
      <c r="D150" s="35">
        <v>45526</v>
      </c>
      <c r="E150" s="32" t="str">
        <f>IF(Tabel1[[#This Row],[Model]]="", "",INDEX(Tableau2[Equipment Type],MATCH(Tabel1[[#This Row],[Model]],Tableau2[Model],0)))</f>
        <v>Grader</v>
      </c>
      <c r="F150" s="4" t="s">
        <v>39</v>
      </c>
      <c r="G150" s="4" t="str">
        <f>IF(Tabel1[[#This Row],[Model]]="", "",INDEX(Tableau2[Equipment],MATCH(Tabel1[[#This Row],[Model]],Tableau2[Model],0)))</f>
        <v>CAT12K.2</v>
      </c>
      <c r="H150" s="4" t="s">
        <v>189</v>
      </c>
      <c r="I150" s="10" t="s">
        <v>195</v>
      </c>
      <c r="J150" s="4">
        <v>5257366</v>
      </c>
      <c r="K150" s="9">
        <v>0.5</v>
      </c>
      <c r="L150" s="9">
        <v>4.1666666666666664E-2</v>
      </c>
      <c r="M150" s="9">
        <v>0.91666666666666663</v>
      </c>
      <c r="N15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0.37499999999999994</v>
      </c>
      <c r="O150" s="30">
        <f>HOUR(Tabel1[[#This Row],[Total Hours]])+MINUTE(Tabel1[[#This Row],[Total Hours]])/60+SECOND(Tabel1[[#This Row],[Total Hours]])/3600</f>
        <v>9</v>
      </c>
      <c r="P150" s="6">
        <f>Tabel1[[#This Row],[End Time]]+(Tabel1[[#This Row],[End Time]]&lt;Tabel1[[#This Row],[Start time]])</f>
        <v>0.91666666666666663</v>
      </c>
      <c r="Q15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51" spans="1:17" x14ac:dyDescent="0.35">
      <c r="A151" s="32"/>
      <c r="B151" s="32">
        <f t="shared" si="2"/>
        <v>144</v>
      </c>
      <c r="C151" s="32" t="str">
        <f>IFERROR(VLOOKUP(Tabel1[[#This Row],[Model]],Tableau2[[Model]:[Parking Number]],2,FALSE)," ")</f>
        <v>TT32</v>
      </c>
      <c r="D151" s="35">
        <v>45526</v>
      </c>
      <c r="E151" s="32" t="str">
        <f>IF(Tabel1[[#This Row],[Model]]="", "",INDEX(Tableau2[Equipment Type],MATCH(Tabel1[[#This Row],[Model]],Tableau2[Model],0)))</f>
        <v>Tipper Truck</v>
      </c>
      <c r="F151" s="4" t="s">
        <v>53</v>
      </c>
      <c r="G151" s="4" t="str">
        <f>IF(Tabel1[[#This Row],[Model]]="", "",INDEX(Tableau2[Equipment],MATCH(Tabel1[[#This Row],[Model]],Tableau2[Model],0)))</f>
        <v>Tipper Truck 20m3 / F32</v>
      </c>
      <c r="H151" s="4" t="s">
        <v>189</v>
      </c>
      <c r="I151" s="10" t="s">
        <v>195</v>
      </c>
      <c r="J151" s="4">
        <v>5257366</v>
      </c>
      <c r="K151" s="9">
        <v>0.5</v>
      </c>
      <c r="L151" s="9">
        <v>4.1666666666666664E-2</v>
      </c>
      <c r="M151" s="9">
        <v>0.83333333333333337</v>
      </c>
      <c r="N15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0.29166666666666669</v>
      </c>
      <c r="O151" s="30">
        <f>HOUR(Tabel1[[#This Row],[Total Hours]])+MINUTE(Tabel1[[#This Row],[Total Hours]])/60+SECOND(Tabel1[[#This Row],[Total Hours]])/3600</f>
        <v>7</v>
      </c>
      <c r="P151" s="6">
        <f>Tabel1[[#This Row],[End Time]]+(Tabel1[[#This Row],[End Time]]&lt;Tabel1[[#This Row],[Start time]])</f>
        <v>0.83333333333333337</v>
      </c>
      <c r="Q15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52" spans="1:17" x14ac:dyDescent="0.35">
      <c r="A152" s="32"/>
      <c r="B152" s="32">
        <f t="shared" si="2"/>
        <v>145</v>
      </c>
      <c r="C152" s="32" t="str">
        <f>IFERROR(VLOOKUP(Tabel1[[#This Row],[Model]],Tableau2[[Model]:[Parking Number]],2,FALSE)," ")</f>
        <v>TT30</v>
      </c>
      <c r="D152" s="35">
        <v>45526</v>
      </c>
      <c r="E152" s="32" t="str">
        <f>IF(Tabel1[[#This Row],[Model]]="", "",INDEX(Tableau2[Equipment Type],MATCH(Tabel1[[#This Row],[Model]],Tableau2[Model],0)))</f>
        <v>Tipper Truck</v>
      </c>
      <c r="F152" s="4" t="s">
        <v>83</v>
      </c>
      <c r="G152" s="4" t="str">
        <f>IF(Tabel1[[#This Row],[Model]]="", "",INDEX(Tableau2[Equipment],MATCH(Tabel1[[#This Row],[Model]],Tableau2[Model],0)))</f>
        <v>Tipper Truck 20m3 / F30</v>
      </c>
      <c r="H152" s="4" t="s">
        <v>189</v>
      </c>
      <c r="I152" s="10" t="s">
        <v>195</v>
      </c>
      <c r="J152" s="4">
        <v>5257366</v>
      </c>
      <c r="K152" s="9">
        <v>0.5</v>
      </c>
      <c r="L152" s="9">
        <v>4.1666666666666664E-2</v>
      </c>
      <c r="M152" s="9">
        <v>0.83333333333333337</v>
      </c>
      <c r="N15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0.29166666666666669</v>
      </c>
      <c r="O152" s="30">
        <f>HOUR(Tabel1[[#This Row],[Total Hours]])+MINUTE(Tabel1[[#This Row],[Total Hours]])/60+SECOND(Tabel1[[#This Row],[Total Hours]])/3600</f>
        <v>7</v>
      </c>
      <c r="P152" s="6">
        <f>Tabel1[[#This Row],[End Time]]+(Tabel1[[#This Row],[End Time]]&lt;Tabel1[[#This Row],[Start time]])</f>
        <v>0.83333333333333337</v>
      </c>
      <c r="Q15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53" spans="1:17" x14ac:dyDescent="0.35">
      <c r="A153" s="32"/>
      <c r="B153" s="32">
        <f t="shared" si="2"/>
        <v>146</v>
      </c>
      <c r="C153" s="32" t="str">
        <f>IFERROR(VLOOKUP(Tabel1[[#This Row],[Model]],Tableau2[[Model]:[Parking Number]],2,FALSE)," ")</f>
        <v>TT87</v>
      </c>
      <c r="D153" s="35">
        <v>45526</v>
      </c>
      <c r="E153" s="32" t="str">
        <f>IF(Tabel1[[#This Row],[Model]]="", "",INDEX(Tableau2[Equipment Type],MATCH(Tabel1[[#This Row],[Model]],Tableau2[Model],0)))</f>
        <v>Tipper Truck</v>
      </c>
      <c r="F153" s="4" t="s">
        <v>79</v>
      </c>
      <c r="G153" s="4" t="str">
        <f>IF(Tabel1[[#This Row],[Model]]="", "",INDEX(Tableau2[Equipment],MATCH(Tabel1[[#This Row],[Model]],Tableau2[Model],0)))</f>
        <v>Tipper Truck 20m3 / F87</v>
      </c>
      <c r="H153" s="4" t="s">
        <v>189</v>
      </c>
      <c r="I153" s="10" t="s">
        <v>195</v>
      </c>
      <c r="J153" s="4">
        <v>5257366</v>
      </c>
      <c r="K153" s="9">
        <v>0.5</v>
      </c>
      <c r="L153" s="9">
        <v>4.1666666666666664E-2</v>
      </c>
      <c r="M153" s="9">
        <v>0.83333333333333337</v>
      </c>
      <c r="N15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0.29166666666666669</v>
      </c>
      <c r="O153" s="30">
        <f>HOUR(Tabel1[[#This Row],[Total Hours]])+MINUTE(Tabel1[[#This Row],[Total Hours]])/60+SECOND(Tabel1[[#This Row],[Total Hours]])/3600</f>
        <v>7</v>
      </c>
      <c r="P153" s="6">
        <f>Tabel1[[#This Row],[End Time]]+(Tabel1[[#This Row],[End Time]]&lt;Tabel1[[#This Row],[Start time]])</f>
        <v>0.83333333333333337</v>
      </c>
      <c r="Q15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54" spans="1:17" x14ac:dyDescent="0.35">
      <c r="A154" s="32"/>
      <c r="B154" s="32">
        <f t="shared" si="2"/>
        <v>147</v>
      </c>
      <c r="C154" s="32" t="str">
        <f>IFERROR(VLOOKUP(Tabel1[[#This Row],[Model]],Tableau2[[Model]:[Parking Number]],2,FALSE)," ")</f>
        <v>CP1</v>
      </c>
      <c r="D154" s="35">
        <v>45526</v>
      </c>
      <c r="E154" s="32" t="str">
        <f>IF(Tabel1[[#This Row],[Model]]="", "",INDEX(Tableau2[Equipment Type],MATCH(Tabel1[[#This Row],[Model]],Tableau2[Model],0)))</f>
        <v>Compactor</v>
      </c>
      <c r="F154" s="4" t="s">
        <v>132</v>
      </c>
      <c r="G154" s="4" t="str">
        <f>IF(Tabel1[[#This Row],[Model]]="", "",INDEX(Tableau2[Equipment],MATCH(Tabel1[[#This Row],[Model]],Tableau2[Model],0)))</f>
        <v xml:space="preserve"> CATCS-563E</v>
      </c>
      <c r="H154" s="4" t="s">
        <v>189</v>
      </c>
      <c r="I154" s="10" t="s">
        <v>195</v>
      </c>
      <c r="J154" s="4">
        <v>5257366</v>
      </c>
      <c r="K154" s="9">
        <v>0.66666666666666663</v>
      </c>
      <c r="L154" s="9">
        <v>0</v>
      </c>
      <c r="M154" s="9">
        <v>0.75</v>
      </c>
      <c r="N15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8.333333333333337E-2</v>
      </c>
      <c r="O154" s="30">
        <f>HOUR(Tabel1[[#This Row],[Total Hours]])+MINUTE(Tabel1[[#This Row],[Total Hours]])/60+SECOND(Tabel1[[#This Row],[Total Hours]])/3600</f>
        <v>2</v>
      </c>
      <c r="P154" s="6">
        <f>Tabel1[[#This Row],[End Time]]+(Tabel1[[#This Row],[End Time]]&lt;Tabel1[[#This Row],[Start time]])</f>
        <v>0.75</v>
      </c>
      <c r="Q15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55" spans="1:17" x14ac:dyDescent="0.35">
      <c r="A155" s="32"/>
      <c r="B155" s="32">
        <f t="shared" si="2"/>
        <v>148</v>
      </c>
      <c r="C155" s="32" t="str">
        <f>IFERROR(VLOOKUP(Tabel1[[#This Row],[Model]],Tableau2[[Model]:[Parking Number]],2,FALSE)," ")</f>
        <v>BL1</v>
      </c>
      <c r="D155" s="35">
        <v>45526</v>
      </c>
      <c r="E155" s="32" t="str">
        <f>IF(Tabel1[[#This Row],[Model]]="", "",INDEX(Tableau2[Equipment Type],MATCH(Tabel1[[#This Row],[Model]],Tableau2[Model],0)))</f>
        <v>Backhoe Loader</v>
      </c>
      <c r="F155" s="4" t="s">
        <v>76</v>
      </c>
      <c r="G155" s="4" t="str">
        <f>IF(Tabel1[[#This Row],[Model]]="", "",INDEX(Tableau2[Equipment],MATCH(Tabel1[[#This Row],[Model]],Tableau2[Model],0)))</f>
        <v>CAT432D</v>
      </c>
      <c r="H155" s="4" t="s">
        <v>189</v>
      </c>
      <c r="I155" s="10" t="s">
        <v>195</v>
      </c>
      <c r="J155" s="4">
        <v>5257366</v>
      </c>
      <c r="K155" s="9">
        <v>0.33333333333333331</v>
      </c>
      <c r="L155" s="9">
        <v>4.1666666666666664E-2</v>
      </c>
      <c r="M155" s="9">
        <v>0.66666666666666663</v>
      </c>
      <c r="N15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0.29166666666666663</v>
      </c>
      <c r="O155" s="30">
        <f>HOUR(Tabel1[[#This Row],[Total Hours]])+MINUTE(Tabel1[[#This Row],[Total Hours]])/60+SECOND(Tabel1[[#This Row],[Total Hours]])/3600</f>
        <v>7</v>
      </c>
      <c r="P155" s="6">
        <f>Tabel1[[#This Row],[End Time]]+(Tabel1[[#This Row],[End Time]]&lt;Tabel1[[#This Row],[Start time]])</f>
        <v>0.66666666666666663</v>
      </c>
      <c r="Q15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56" spans="1:17" x14ac:dyDescent="0.35">
      <c r="A156" s="32"/>
      <c r="B156" s="32">
        <f t="shared" si="2"/>
        <v>149</v>
      </c>
      <c r="C156" s="32" t="str">
        <f>IFERROR(VLOOKUP(Tabel1[[#This Row],[Model]],Tableau2[[Model]:[Parking Number]],2,FALSE)," ")</f>
        <v>WT1</v>
      </c>
      <c r="D156" s="35">
        <v>45527</v>
      </c>
      <c r="E156" s="32" t="str">
        <f>IF(Tabel1[[#This Row],[Model]]="", "",INDEX(Tableau2[Equipment Type],MATCH(Tabel1[[#This Row],[Model]],Tableau2[Model],0)))</f>
        <v>Water Truck</v>
      </c>
      <c r="F156" s="4" t="s">
        <v>47</v>
      </c>
      <c r="G156" s="4" t="str">
        <f>IF(Tabel1[[#This Row],[Model]]="", "",INDEX(Tableau2[Equipment],MATCH(Tabel1[[#This Row],[Model]],Tableau2[Model],0)))</f>
        <v>Water Truck 20T / 1924.1</v>
      </c>
      <c r="H156" s="4" t="s">
        <v>56</v>
      </c>
      <c r="I156" s="10" t="s">
        <v>57</v>
      </c>
      <c r="J156" s="4">
        <v>5246135</v>
      </c>
      <c r="K156" s="9">
        <v>0.33333333333333331</v>
      </c>
      <c r="L156" s="9">
        <v>0</v>
      </c>
      <c r="M156" s="9">
        <v>0.54166666666666663</v>
      </c>
      <c r="N15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0.20833333333333331</v>
      </c>
      <c r="O156" s="30">
        <f>HOUR(Tabel1[[#This Row],[Total Hours]])+MINUTE(Tabel1[[#This Row],[Total Hours]])/60+SECOND(Tabel1[[#This Row],[Total Hours]])/3600</f>
        <v>5</v>
      </c>
      <c r="P156" s="6">
        <f>Tabel1[[#This Row],[End Time]]+(Tabel1[[#This Row],[End Time]]&lt;Tabel1[[#This Row],[Start time]])</f>
        <v>0.54166666666666663</v>
      </c>
      <c r="Q15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57" spans="1:17" x14ac:dyDescent="0.35">
      <c r="A157" s="32"/>
      <c r="B157" s="32">
        <f t="shared" si="2"/>
        <v>150</v>
      </c>
      <c r="C157" s="32" t="str">
        <f>IFERROR(VLOOKUP(Tabel1[[#This Row],[Model]],Tableau2[[Model]:[Parking Number]],2,FALSE)," ")</f>
        <v>WT2</v>
      </c>
      <c r="D157" s="35">
        <v>45527</v>
      </c>
      <c r="E157" s="32" t="str">
        <f>IF(Tabel1[[#This Row],[Model]]="", "",INDEX(Tableau2[Equipment Type],MATCH(Tabel1[[#This Row],[Model]],Tableau2[Model],0)))</f>
        <v>Water Truck</v>
      </c>
      <c r="F157" s="4" t="s">
        <v>48</v>
      </c>
      <c r="G157" s="4" t="str">
        <f>IF(Tabel1[[#This Row],[Model]]="", "",INDEX(Tableau2[Equipment],MATCH(Tabel1[[#This Row],[Model]],Tableau2[Model],0)))</f>
        <v>Water Truck 20T / 1924.2</v>
      </c>
      <c r="H157" s="4" t="s">
        <v>56</v>
      </c>
      <c r="I157" s="10" t="s">
        <v>57</v>
      </c>
      <c r="J157" s="4">
        <v>5246135</v>
      </c>
      <c r="K157" s="9">
        <v>0.33333333333333331</v>
      </c>
      <c r="L157" s="9">
        <v>0</v>
      </c>
      <c r="M157" s="9">
        <v>0.54166666666666663</v>
      </c>
      <c r="N15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0.20833333333333331</v>
      </c>
      <c r="O157" s="30">
        <f>HOUR(Tabel1[[#This Row],[Total Hours]])+MINUTE(Tabel1[[#This Row],[Total Hours]])/60+SECOND(Tabel1[[#This Row],[Total Hours]])/3600</f>
        <v>5</v>
      </c>
      <c r="P157" s="6">
        <f>Tabel1[[#This Row],[End Time]]+(Tabel1[[#This Row],[End Time]]&lt;Tabel1[[#This Row],[Start time]])</f>
        <v>0.54166666666666663</v>
      </c>
      <c r="Q15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58" spans="1:17" x14ac:dyDescent="0.35">
      <c r="A158" s="32"/>
      <c r="B158" s="32">
        <f t="shared" si="2"/>
        <v>151</v>
      </c>
      <c r="C158" s="32" t="str">
        <f>IFERROR(VLOOKUP(Tabel1[[#This Row],[Model]],Tableau2[[Model]:[Parking Number]],2,FALSE)," ")</f>
        <v>WT3</v>
      </c>
      <c r="D158" s="35">
        <v>45527</v>
      </c>
      <c r="E158" s="32" t="str">
        <f>IF(Tabel1[[#This Row],[Model]]="", "",INDEX(Tableau2[Equipment Type],MATCH(Tabel1[[#This Row],[Model]],Tableau2[Model],0)))</f>
        <v>Water Truck</v>
      </c>
      <c r="F158" s="4" t="s">
        <v>49</v>
      </c>
      <c r="G158" s="4" t="str">
        <f>IF(Tabel1[[#This Row],[Model]]="", "",INDEX(Tableau2[Equipment],MATCH(Tabel1[[#This Row],[Model]],Tableau2[Model],0)))</f>
        <v>Water Truck 20T / 1924.3</v>
      </c>
      <c r="H158" s="4" t="s">
        <v>56</v>
      </c>
      <c r="I158" s="10" t="s">
        <v>57</v>
      </c>
      <c r="J158" s="4">
        <v>5246135</v>
      </c>
      <c r="K158" s="9">
        <v>0.33333333333333331</v>
      </c>
      <c r="L158" s="9">
        <v>0</v>
      </c>
      <c r="M158" s="9">
        <v>0.54166666666666663</v>
      </c>
      <c r="N15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0.20833333333333331</v>
      </c>
      <c r="O158" s="30">
        <f>HOUR(Tabel1[[#This Row],[Total Hours]])+MINUTE(Tabel1[[#This Row],[Total Hours]])/60+SECOND(Tabel1[[#This Row],[Total Hours]])/3600</f>
        <v>5</v>
      </c>
      <c r="P158" s="6">
        <f>Tabel1[[#This Row],[End Time]]+(Tabel1[[#This Row],[End Time]]&lt;Tabel1[[#This Row],[Start time]])</f>
        <v>0.54166666666666663</v>
      </c>
      <c r="Q15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59" spans="1:17" x14ac:dyDescent="0.35">
      <c r="A159" s="32"/>
      <c r="B159" s="32">
        <f t="shared" si="2"/>
        <v>152</v>
      </c>
      <c r="C159" s="32" t="str">
        <f>IFERROR(VLOOKUP(Tabel1[[#This Row],[Model]],Tableau2[[Model]:[Parking Number]],2,FALSE)," ")</f>
        <v>WT9</v>
      </c>
      <c r="D159" s="35">
        <v>45527</v>
      </c>
      <c r="E159" s="32" t="str">
        <f>IF(Tabel1[[#This Row],[Model]]="", "",INDEX(Tableau2[Equipment Type],MATCH(Tabel1[[#This Row],[Model]],Tableau2[Model],0)))</f>
        <v>Water Truck</v>
      </c>
      <c r="F159" s="4" t="s">
        <v>50</v>
      </c>
      <c r="G159" s="4" t="str">
        <f>IF(Tabel1[[#This Row],[Model]]="", "",INDEX(Tableau2[Equipment],MATCH(Tabel1[[#This Row],[Model]],Tableau2[Model],0)))</f>
        <v>Water Truck 20T / WT09</v>
      </c>
      <c r="H159" s="4" t="s">
        <v>56</v>
      </c>
      <c r="I159" s="10" t="s">
        <v>57</v>
      </c>
      <c r="J159" s="4">
        <v>5246135</v>
      </c>
      <c r="K159" s="9">
        <v>0.33333333333333331</v>
      </c>
      <c r="L159" s="9">
        <v>0</v>
      </c>
      <c r="M159" s="9">
        <v>0.54166666666666663</v>
      </c>
      <c r="N15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0.20833333333333331</v>
      </c>
      <c r="O159" s="30">
        <f>HOUR(Tabel1[[#This Row],[Total Hours]])+MINUTE(Tabel1[[#This Row],[Total Hours]])/60+SECOND(Tabel1[[#This Row],[Total Hours]])/3600</f>
        <v>5</v>
      </c>
      <c r="P159" s="6">
        <f>Tabel1[[#This Row],[End Time]]+(Tabel1[[#This Row],[End Time]]&lt;Tabel1[[#This Row],[Start time]])</f>
        <v>0.54166666666666663</v>
      </c>
      <c r="Q15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60" spans="1:17" x14ac:dyDescent="0.35">
      <c r="A160" s="32"/>
      <c r="B160" s="32">
        <f t="shared" si="2"/>
        <v>153</v>
      </c>
      <c r="C160" s="32" t="str">
        <f>IFERROR(VLOOKUP(Tabel1[[#This Row],[Model]],Tableau2[[Model]:[Parking Number]],2,FALSE)," ")</f>
        <v>GR1</v>
      </c>
      <c r="D160" s="35">
        <v>45527</v>
      </c>
      <c r="E160" s="32" t="str">
        <f>IF(Tabel1[[#This Row],[Model]]="", "",INDEX(Tableau2[Equipment Type],MATCH(Tabel1[[#This Row],[Model]],Tableau2[Model],0)))</f>
        <v>Grader</v>
      </c>
      <c r="F160" s="4" t="s">
        <v>63</v>
      </c>
      <c r="G160" s="4" t="str">
        <f>IF(Tabel1[[#This Row],[Model]]="", "",INDEX(Tableau2[Equipment],MATCH(Tabel1[[#This Row],[Model]],Tableau2[Model],0)))</f>
        <v>CAT12K.1</v>
      </c>
      <c r="H160" s="4" t="s">
        <v>56</v>
      </c>
      <c r="I160" s="10" t="s">
        <v>57</v>
      </c>
      <c r="J160" s="4">
        <v>5246135</v>
      </c>
      <c r="K160" s="9">
        <v>0.33333333333333331</v>
      </c>
      <c r="L160" s="9">
        <v>0</v>
      </c>
      <c r="M160" s="9">
        <v>0.54166666666666663</v>
      </c>
      <c r="N16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0.20833333333333331</v>
      </c>
      <c r="O160" s="30">
        <f>HOUR(Tabel1[[#This Row],[Total Hours]])+MINUTE(Tabel1[[#This Row],[Total Hours]])/60+SECOND(Tabel1[[#This Row],[Total Hours]])/3600</f>
        <v>5</v>
      </c>
      <c r="P160" s="6">
        <f>Tabel1[[#This Row],[End Time]]+(Tabel1[[#This Row],[End Time]]&lt;Tabel1[[#This Row],[Start time]])</f>
        <v>0.54166666666666663</v>
      </c>
      <c r="Q16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61" spans="1:17" x14ac:dyDescent="0.35">
      <c r="A161" s="32"/>
      <c r="B161" s="32">
        <f t="shared" si="2"/>
        <v>154</v>
      </c>
      <c r="C161" s="32" t="str">
        <f>IFERROR(VLOOKUP(Tabel1[[#This Row],[Model]],Tableau2[[Model]:[Parking Number]],2,FALSE)," ")</f>
        <v>FEL4</v>
      </c>
      <c r="D161" s="35">
        <v>45527</v>
      </c>
      <c r="E161" s="32" t="str">
        <f>IF(Tabel1[[#This Row],[Model]]="", "",INDEX(Tableau2[Equipment Type],MATCH(Tabel1[[#This Row],[Model]],Tableau2[Model],0)))</f>
        <v>Loader</v>
      </c>
      <c r="F161" s="4" t="s">
        <v>40</v>
      </c>
      <c r="G161" s="4" t="str">
        <f>IF(Tabel1[[#This Row],[Model]]="", "",INDEX(Tableau2[Equipment],MATCH(Tabel1[[#This Row],[Model]],Tableau2[Model],0)))</f>
        <v>Cat972G.2</v>
      </c>
      <c r="H161" s="4" t="s">
        <v>56</v>
      </c>
      <c r="I161" s="10" t="s">
        <v>57</v>
      </c>
      <c r="J161" s="4">
        <v>5246135</v>
      </c>
      <c r="K161" s="9">
        <v>0.33333333333333331</v>
      </c>
      <c r="L161" s="9">
        <v>0</v>
      </c>
      <c r="M161" s="9">
        <v>0.54166666666666663</v>
      </c>
      <c r="N16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0.20833333333333331</v>
      </c>
      <c r="O161" s="30">
        <f>HOUR(Tabel1[[#This Row],[Total Hours]])+MINUTE(Tabel1[[#This Row],[Total Hours]])/60+SECOND(Tabel1[[#This Row],[Total Hours]])/3600</f>
        <v>5</v>
      </c>
      <c r="P161" s="6">
        <f>Tabel1[[#This Row],[End Time]]+(Tabel1[[#This Row],[End Time]]&lt;Tabel1[[#This Row],[Start time]])</f>
        <v>0.54166666666666663</v>
      </c>
      <c r="Q16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62" spans="1:17" x14ac:dyDescent="0.35">
      <c r="A162" s="32"/>
      <c r="B162" s="32">
        <f t="shared" si="2"/>
        <v>155</v>
      </c>
      <c r="C162" s="32" t="str">
        <f>IFERROR(VLOOKUP(Tabel1[[#This Row],[Model]],Tableau2[[Model]:[Parking Number]],2,FALSE)," ")</f>
        <v>TD4</v>
      </c>
      <c r="D162" s="35">
        <v>45527</v>
      </c>
      <c r="E162" s="32" t="str">
        <f>IF(Tabel1[[#This Row],[Model]]="", "",INDEX(Tableau2[Equipment Type],MATCH(Tabel1[[#This Row],[Model]],Tableau2[Model],0)))</f>
        <v>Bulldozer</v>
      </c>
      <c r="F162" s="4" t="s">
        <v>41</v>
      </c>
      <c r="G162" s="4" t="str">
        <f>IF(Tabel1[[#This Row],[Model]]="", "",INDEX(Tableau2[Equipment],MATCH(Tabel1[[#This Row],[Model]],Tableau2[Model],0)))</f>
        <v>CATD8R.3</v>
      </c>
      <c r="H162" s="4" t="s">
        <v>56</v>
      </c>
      <c r="I162" s="10" t="s">
        <v>161</v>
      </c>
      <c r="J162" s="4">
        <v>5092509</v>
      </c>
      <c r="K162" s="9">
        <v>0.33333333333333331</v>
      </c>
      <c r="L162" s="9">
        <v>0</v>
      </c>
      <c r="M162" s="9">
        <v>0.54166666666666663</v>
      </c>
      <c r="N16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0.20833333333333331</v>
      </c>
      <c r="O162" s="30">
        <f>HOUR(Tabel1[[#This Row],[Total Hours]])+MINUTE(Tabel1[[#This Row],[Total Hours]])/60+SECOND(Tabel1[[#This Row],[Total Hours]])/3600</f>
        <v>5</v>
      </c>
      <c r="P162" s="6">
        <f>Tabel1[[#This Row],[End Time]]+(Tabel1[[#This Row],[End Time]]&lt;Tabel1[[#This Row],[Start time]])</f>
        <v>0.54166666666666663</v>
      </c>
      <c r="Q16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63" spans="1:17" x14ac:dyDescent="0.35">
      <c r="A163" s="32"/>
      <c r="B163" s="32">
        <f t="shared" si="2"/>
        <v>156</v>
      </c>
      <c r="C163" s="32" t="str">
        <f>IFERROR(VLOOKUP(Tabel1[[#This Row],[Model]],Tableau2[[Model]:[Parking Number]],2,FALSE)," ")</f>
        <v>WT8</v>
      </c>
      <c r="D163" s="35">
        <v>45527</v>
      </c>
      <c r="E163" s="32" t="str">
        <f>IF(Tabel1[[#This Row],[Model]]="", "",INDEX(Tableau2[Equipment Type],MATCH(Tabel1[[#This Row],[Model]],Tableau2[Model],0)))</f>
        <v>Water Truck</v>
      </c>
      <c r="F163" s="4" t="s">
        <v>52</v>
      </c>
      <c r="G163" s="4" t="str">
        <f>IF(Tabel1[[#This Row],[Model]]="", "",INDEX(Tableau2[Equipment],MATCH(Tabel1[[#This Row],[Model]],Tableau2[Model],0)))</f>
        <v>Water Truck 20T / WT08</v>
      </c>
      <c r="H163" s="4" t="s">
        <v>163</v>
      </c>
      <c r="I163" s="10" t="s">
        <v>164</v>
      </c>
      <c r="J163" s="4">
        <v>5253778</v>
      </c>
      <c r="K163" s="9">
        <v>0.29166666666666669</v>
      </c>
      <c r="L163" s="9">
        <v>8.3333333333333329E-2</v>
      </c>
      <c r="M163" s="9">
        <v>0.75</v>
      </c>
      <c r="N16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0.375</v>
      </c>
      <c r="O163" s="30">
        <f>HOUR(Tabel1[[#This Row],[Total Hours]])+MINUTE(Tabel1[[#This Row],[Total Hours]])/60+SECOND(Tabel1[[#This Row],[Total Hours]])/3600</f>
        <v>9</v>
      </c>
      <c r="P163" s="6">
        <f>Tabel1[[#This Row],[End Time]]+(Tabel1[[#This Row],[End Time]]&lt;Tabel1[[#This Row],[Start time]])</f>
        <v>0.75</v>
      </c>
      <c r="Q16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64" spans="1:17" x14ac:dyDescent="0.35">
      <c r="A164" s="32"/>
      <c r="B164" s="32">
        <f t="shared" si="2"/>
        <v>157</v>
      </c>
      <c r="C164" s="32" t="str">
        <f>IFERROR(VLOOKUP(Tabel1[[#This Row],[Model]],Tableau2[[Model]:[Parking Number]],2,FALSE)," ")</f>
        <v>FEL1</v>
      </c>
      <c r="D164" s="35">
        <v>45527</v>
      </c>
      <c r="E164" s="32" t="str">
        <f>IF(Tabel1[[#This Row],[Model]]="", "",INDEX(Tableau2[Equipment Type],MATCH(Tabel1[[#This Row],[Model]],Tableau2[Model],0)))</f>
        <v>Loader</v>
      </c>
      <c r="F164" s="4" t="s">
        <v>46</v>
      </c>
      <c r="G164" s="4" t="str">
        <f>IF(Tabel1[[#This Row],[Model]]="", "",INDEX(Tableau2[Equipment],MATCH(Tabel1[[#This Row],[Model]],Tableau2[Model],0)))</f>
        <v>Cat966H.1</v>
      </c>
      <c r="H164" s="4" t="s">
        <v>66</v>
      </c>
      <c r="I164" s="10" t="s">
        <v>162</v>
      </c>
      <c r="J164" s="4">
        <v>5198487</v>
      </c>
      <c r="K164" s="9">
        <v>0.29166666666666669</v>
      </c>
      <c r="L164" s="9">
        <v>4.1666666666666664E-2</v>
      </c>
      <c r="M164" s="9">
        <v>0.79166666666666663</v>
      </c>
      <c r="N16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164" s="30">
        <f>HOUR(Tabel1[[#This Row],[Total Hours]])+MINUTE(Tabel1[[#This Row],[Total Hours]])/60+SECOND(Tabel1[[#This Row],[Total Hours]])/3600</f>
        <v>11</v>
      </c>
      <c r="P164" s="6">
        <f>Tabel1[[#This Row],[End Time]]+(Tabel1[[#This Row],[End Time]]&lt;Tabel1[[#This Row],[Start time]])</f>
        <v>0.79166666666666663</v>
      </c>
      <c r="Q16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65" spans="1:17" x14ac:dyDescent="0.35">
      <c r="A165" s="32"/>
      <c r="B165" s="32">
        <f t="shared" si="2"/>
        <v>158</v>
      </c>
      <c r="C165" s="32" t="str">
        <f>IFERROR(VLOOKUP(Tabel1[[#This Row],[Model]],Tableau2[[Model]:[Parking Number]],2,FALSE)," ")</f>
        <v>FEL1</v>
      </c>
      <c r="D165" s="35">
        <v>45527</v>
      </c>
      <c r="E165" s="32" t="str">
        <f>IF(Tabel1[[#This Row],[Model]]="", "",INDEX(Tableau2[Equipment Type],MATCH(Tabel1[[#This Row],[Model]],Tableau2[Model],0)))</f>
        <v>Loader</v>
      </c>
      <c r="F165" s="4" t="s">
        <v>46</v>
      </c>
      <c r="G165" s="4" t="str">
        <f>IF(Tabel1[[#This Row],[Model]]="", "",INDEX(Tableau2[Equipment],MATCH(Tabel1[[#This Row],[Model]],Tableau2[Model],0)))</f>
        <v>Cat966H.1</v>
      </c>
      <c r="H165" s="4" t="s">
        <v>66</v>
      </c>
      <c r="I165" s="10" t="s">
        <v>162</v>
      </c>
      <c r="J165" s="4">
        <v>5198487</v>
      </c>
      <c r="K165" s="9">
        <v>0.79166666666666663</v>
      </c>
      <c r="L165" s="9">
        <v>0</v>
      </c>
      <c r="M165" s="9">
        <v>0.20833333333333334</v>
      </c>
      <c r="N16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23.416666666666664</v>
      </c>
      <c r="O165" s="30">
        <f>HOUR(Tabel1[[#This Row],[Total Hours]])+MINUTE(Tabel1[[#This Row],[Total Hours]])/60+SECOND(Tabel1[[#This Row],[Total Hours]])/3600</f>
        <v>10</v>
      </c>
      <c r="P165" s="6">
        <f>Tabel1[[#This Row],[End Time]]+(Tabel1[[#This Row],[End Time]]&lt;Tabel1[[#This Row],[Start time]])</f>
        <v>1.2083333333333333</v>
      </c>
      <c r="Q16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66" spans="1:17" x14ac:dyDescent="0.35">
      <c r="A166" s="32"/>
      <c r="B166" s="32">
        <f t="shared" si="2"/>
        <v>159</v>
      </c>
      <c r="C166" s="32" t="str">
        <f>IFERROR(VLOOKUP(Tabel1[[#This Row],[Model]],Tableau2[[Model]:[Parking Number]],2,FALSE)," ")</f>
        <v>TT17</v>
      </c>
      <c r="D166" s="35">
        <v>45527</v>
      </c>
      <c r="E166" s="32" t="str">
        <f>IF(Tabel1[[#This Row],[Model]]="", "",INDEX(Tableau2[Equipment Type],MATCH(Tabel1[[#This Row],[Model]],Tableau2[Model],0)))</f>
        <v>Tipper Truck</v>
      </c>
      <c r="F166" s="4" t="s">
        <v>51</v>
      </c>
      <c r="G166" s="4" t="str">
        <f>IF(Tabel1[[#This Row],[Model]]="", "",INDEX(Tableau2[Equipment],MATCH(Tabel1[[#This Row],[Model]],Tableau2[Model],0)))</f>
        <v>Tipper Truck 20m3 / F17</v>
      </c>
      <c r="H166" s="4" t="s">
        <v>66</v>
      </c>
      <c r="I166" s="10" t="s">
        <v>162</v>
      </c>
      <c r="J166" s="4">
        <v>5198487</v>
      </c>
      <c r="K166" s="9">
        <v>0.29166666666666669</v>
      </c>
      <c r="L166" s="9">
        <v>4.1666666666666664E-2</v>
      </c>
      <c r="M166" s="9">
        <v>0.79166666666666663</v>
      </c>
      <c r="N16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166" s="30">
        <f>HOUR(Tabel1[[#This Row],[Total Hours]])+MINUTE(Tabel1[[#This Row],[Total Hours]])/60+SECOND(Tabel1[[#This Row],[Total Hours]])/3600</f>
        <v>11</v>
      </c>
      <c r="P166" s="6">
        <f>Tabel1[[#This Row],[End Time]]+(Tabel1[[#This Row],[End Time]]&lt;Tabel1[[#This Row],[Start time]])</f>
        <v>0.79166666666666663</v>
      </c>
      <c r="Q16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67" spans="1:17" x14ac:dyDescent="0.35">
      <c r="A167" s="32"/>
      <c r="B167" s="32">
        <f t="shared" si="2"/>
        <v>160</v>
      </c>
      <c r="C167" s="32" t="str">
        <f>IFERROR(VLOOKUP(Tabel1[[#This Row],[Model]],Tableau2[[Model]:[Parking Number]],2,FALSE)," ")</f>
        <v>LB1</v>
      </c>
      <c r="D167" s="35">
        <v>45527</v>
      </c>
      <c r="E167" s="32" t="str">
        <f>IF(Tabel1[[#This Row],[Model]]="", "",INDEX(Tableau2[Equipment Type],MATCH(Tabel1[[#This Row],[Model]],Tableau2[Model],0)))</f>
        <v>Lowbed</v>
      </c>
      <c r="F167" s="4" t="s">
        <v>71</v>
      </c>
      <c r="G167" s="4" t="str">
        <f>IF(Tabel1[[#This Row],[Model]]="", "",INDEX(Tableau2[Equipment],MATCH(Tabel1[[#This Row],[Model]],Tableau2[Model],0)))</f>
        <v>LB ACTROS 60T</v>
      </c>
      <c r="H167" s="4" t="s">
        <v>196</v>
      </c>
      <c r="I167" s="10" t="s">
        <v>197</v>
      </c>
      <c r="J167" s="4">
        <v>5257918</v>
      </c>
      <c r="K167" s="9">
        <v>0.45833333333333331</v>
      </c>
      <c r="L167" s="9">
        <v>0</v>
      </c>
      <c r="M167" s="9">
        <v>0.75</v>
      </c>
      <c r="N16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0.29166666666666669</v>
      </c>
      <c r="O167" s="30">
        <f>HOUR(Tabel1[[#This Row],[Total Hours]])+MINUTE(Tabel1[[#This Row],[Total Hours]])/60+SECOND(Tabel1[[#This Row],[Total Hours]])/3600</f>
        <v>7</v>
      </c>
      <c r="P167" s="6">
        <f>Tabel1[[#This Row],[End Time]]+(Tabel1[[#This Row],[End Time]]&lt;Tabel1[[#This Row],[Start time]])</f>
        <v>0.75</v>
      </c>
      <c r="Q16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68" spans="1:17" x14ac:dyDescent="0.35">
      <c r="A168" s="32"/>
      <c r="B168" s="32">
        <f t="shared" si="2"/>
        <v>161</v>
      </c>
      <c r="C168" s="32" t="str">
        <f>IFERROR(VLOOKUP(Tabel1[[#This Row],[Model]],Tableau2[[Model]:[Parking Number]],2,FALSE)," ")</f>
        <v>EX3</v>
      </c>
      <c r="D168" s="35">
        <v>45527</v>
      </c>
      <c r="E168" s="32" t="str">
        <f>IF(Tabel1[[#This Row],[Model]]="", "",INDEX(Tableau2[Equipment Type],MATCH(Tabel1[[#This Row],[Model]],Tableau2[Model],0)))</f>
        <v>Excavator</v>
      </c>
      <c r="F168" s="4" t="s">
        <v>86</v>
      </c>
      <c r="G168" s="4" t="str">
        <f>IF(Tabel1[[#This Row],[Model]]="", "",INDEX(Tableau2[Equipment],MATCH(Tabel1[[#This Row],[Model]],Tableau2[Model],0)))</f>
        <v>CAT323D.1</v>
      </c>
      <c r="H168" s="4" t="s">
        <v>196</v>
      </c>
      <c r="I168" s="10" t="s">
        <v>197</v>
      </c>
      <c r="J168" s="4">
        <v>5257918</v>
      </c>
      <c r="K168" s="9">
        <v>0.5</v>
      </c>
      <c r="L168" s="9">
        <v>0</v>
      </c>
      <c r="M168" s="9">
        <v>0.70833333333333337</v>
      </c>
      <c r="N16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0.20833333333333337</v>
      </c>
      <c r="O168" s="30">
        <f>HOUR(Tabel1[[#This Row],[Total Hours]])+MINUTE(Tabel1[[#This Row],[Total Hours]])/60+SECOND(Tabel1[[#This Row],[Total Hours]])/3600</f>
        <v>5</v>
      </c>
      <c r="P168" s="6">
        <f>Tabel1[[#This Row],[End Time]]+(Tabel1[[#This Row],[End Time]]&lt;Tabel1[[#This Row],[Start time]])</f>
        <v>0.70833333333333337</v>
      </c>
      <c r="Q16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69" spans="1:17" x14ac:dyDescent="0.35">
      <c r="A169" s="32"/>
      <c r="B169" s="32">
        <f t="shared" si="2"/>
        <v>162</v>
      </c>
      <c r="C169" s="32" t="str">
        <f>IFERROR(VLOOKUP(Tabel1[[#This Row],[Model]],Tableau2[[Model]:[Parking Number]],2,FALSE)," ")</f>
        <v>EX6</v>
      </c>
      <c r="D169" s="35">
        <v>45527</v>
      </c>
      <c r="E169" s="32" t="str">
        <f>IF(Tabel1[[#This Row],[Model]]="", "",INDEX(Tableau2[Equipment Type],MATCH(Tabel1[[#This Row],[Model]],Tableau2[Model],0)))</f>
        <v>Excavator</v>
      </c>
      <c r="F169" s="4" t="s">
        <v>188</v>
      </c>
      <c r="G169" s="4" t="str">
        <f>IF(Tabel1[[#This Row],[Model]]="", "",INDEX(Tableau2[Equipment],MATCH(Tabel1[[#This Row],[Model]],Tableau2[Model],0)))</f>
        <v>CAT329E</v>
      </c>
      <c r="H169" s="4" t="s">
        <v>176</v>
      </c>
      <c r="I169" s="10" t="s">
        <v>186</v>
      </c>
      <c r="J169" s="4">
        <v>5249725</v>
      </c>
      <c r="K169" s="9">
        <v>0.41666666666666669</v>
      </c>
      <c r="L169" s="9">
        <v>0</v>
      </c>
      <c r="M169" s="9">
        <v>0.58333333333333337</v>
      </c>
      <c r="N16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0.16666666666666669</v>
      </c>
      <c r="O169" s="30">
        <f>HOUR(Tabel1[[#This Row],[Total Hours]])+MINUTE(Tabel1[[#This Row],[Total Hours]])/60+SECOND(Tabel1[[#This Row],[Total Hours]])/3600</f>
        <v>4</v>
      </c>
      <c r="P169" s="6">
        <f>Tabel1[[#This Row],[End Time]]+(Tabel1[[#This Row],[End Time]]&lt;Tabel1[[#This Row],[Start time]])</f>
        <v>0.58333333333333337</v>
      </c>
      <c r="Q16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70" spans="1:17" x14ac:dyDescent="0.35">
      <c r="A170" s="32"/>
      <c r="B170" s="32">
        <f t="shared" si="2"/>
        <v>163</v>
      </c>
      <c r="C170" s="32" t="str">
        <f>IFERROR(VLOOKUP(Tabel1[[#This Row],[Model]],Tableau2[[Model]:[Parking Number]],2,FALSE)," ")</f>
        <v>GR2</v>
      </c>
      <c r="D170" s="35">
        <v>45527</v>
      </c>
      <c r="E170" s="32" t="str">
        <f>IF(Tabel1[[#This Row],[Model]]="", "",INDEX(Tableau2[Equipment Type],MATCH(Tabel1[[#This Row],[Model]],Tableau2[Model],0)))</f>
        <v>Grader</v>
      </c>
      <c r="F170" s="4" t="s">
        <v>39</v>
      </c>
      <c r="G170" s="4" t="str">
        <f>IF(Tabel1[[#This Row],[Model]]="", "",INDEX(Tableau2[Equipment],MATCH(Tabel1[[#This Row],[Model]],Tableau2[Model],0)))</f>
        <v>CAT12K.2</v>
      </c>
      <c r="H170" s="4" t="s">
        <v>189</v>
      </c>
      <c r="I170" s="10" t="s">
        <v>195</v>
      </c>
      <c r="J170" s="4">
        <v>5257366</v>
      </c>
      <c r="K170" s="9">
        <v>0.41666666666666669</v>
      </c>
      <c r="L170" s="9">
        <v>0</v>
      </c>
      <c r="M170" s="9">
        <v>0.58333333333333337</v>
      </c>
      <c r="N17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0.16666666666666669</v>
      </c>
      <c r="O170" s="30">
        <f>HOUR(Tabel1[[#This Row],[Total Hours]])+MINUTE(Tabel1[[#This Row],[Total Hours]])/60+SECOND(Tabel1[[#This Row],[Total Hours]])/3600</f>
        <v>4</v>
      </c>
      <c r="P170" s="6">
        <f>Tabel1[[#This Row],[End Time]]+(Tabel1[[#This Row],[End Time]]&lt;Tabel1[[#This Row],[Start time]])</f>
        <v>0.58333333333333337</v>
      </c>
      <c r="Q17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71" spans="1:17" x14ac:dyDescent="0.35">
      <c r="A171" s="32"/>
      <c r="B171" s="32">
        <f t="shared" si="2"/>
        <v>164</v>
      </c>
      <c r="C171" s="32" t="str">
        <f>IFERROR(VLOOKUP(Tabel1[[#This Row],[Model]],Tableau2[[Model]:[Parking Number]],2,FALSE)," ")</f>
        <v>TT32</v>
      </c>
      <c r="D171" s="35">
        <v>45527</v>
      </c>
      <c r="E171" s="32" t="str">
        <f>IF(Tabel1[[#This Row],[Model]]="", "",INDEX(Tableau2[Equipment Type],MATCH(Tabel1[[#This Row],[Model]],Tableau2[Model],0)))</f>
        <v>Tipper Truck</v>
      </c>
      <c r="F171" s="4" t="s">
        <v>53</v>
      </c>
      <c r="G171" s="4" t="str">
        <f>IF(Tabel1[[#This Row],[Model]]="", "",INDEX(Tableau2[Equipment],MATCH(Tabel1[[#This Row],[Model]],Tableau2[Model],0)))</f>
        <v>Tipper Truck 20m3 / F32</v>
      </c>
      <c r="H171" s="4" t="s">
        <v>189</v>
      </c>
      <c r="I171" s="10" t="s">
        <v>195</v>
      </c>
      <c r="J171" s="4">
        <v>5257366</v>
      </c>
      <c r="K171" s="9">
        <v>0.29166666666666669</v>
      </c>
      <c r="L171" s="9">
        <v>0</v>
      </c>
      <c r="M171" s="9">
        <v>0.54166666666666663</v>
      </c>
      <c r="N17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0.24999999999999994</v>
      </c>
      <c r="O171" s="30">
        <f>HOUR(Tabel1[[#This Row],[Total Hours]])+MINUTE(Tabel1[[#This Row],[Total Hours]])/60+SECOND(Tabel1[[#This Row],[Total Hours]])/3600</f>
        <v>6</v>
      </c>
      <c r="P171" s="6">
        <f>Tabel1[[#This Row],[End Time]]+(Tabel1[[#This Row],[End Time]]&lt;Tabel1[[#This Row],[Start time]])</f>
        <v>0.54166666666666663</v>
      </c>
      <c r="Q17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72" spans="1:17" x14ac:dyDescent="0.35">
      <c r="A172" s="32"/>
      <c r="B172" s="32">
        <f t="shared" si="2"/>
        <v>165</v>
      </c>
      <c r="C172" s="32" t="str">
        <f>IFERROR(VLOOKUP(Tabel1[[#This Row],[Model]],Tableau2[[Model]:[Parking Number]],2,FALSE)," ")</f>
        <v>TT30</v>
      </c>
      <c r="D172" s="35">
        <v>45527</v>
      </c>
      <c r="E172" s="32" t="str">
        <f>IF(Tabel1[[#This Row],[Model]]="", "",INDEX(Tableau2[Equipment Type],MATCH(Tabel1[[#This Row],[Model]],Tableau2[Model],0)))</f>
        <v>Tipper Truck</v>
      </c>
      <c r="F172" s="4" t="s">
        <v>83</v>
      </c>
      <c r="G172" s="4" t="str">
        <f>IF(Tabel1[[#This Row],[Model]]="", "",INDEX(Tableau2[Equipment],MATCH(Tabel1[[#This Row],[Model]],Tableau2[Model],0)))</f>
        <v>Tipper Truck 20m3 / F30</v>
      </c>
      <c r="H172" s="4" t="s">
        <v>189</v>
      </c>
      <c r="I172" s="10" t="s">
        <v>195</v>
      </c>
      <c r="J172" s="4">
        <v>5257366</v>
      </c>
      <c r="K172" s="9">
        <v>0.29166666666666669</v>
      </c>
      <c r="L172" s="9">
        <v>0</v>
      </c>
      <c r="M172" s="9">
        <v>0.54166666666666663</v>
      </c>
      <c r="N17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0.24999999999999994</v>
      </c>
      <c r="O172" s="30">
        <f>HOUR(Tabel1[[#This Row],[Total Hours]])+MINUTE(Tabel1[[#This Row],[Total Hours]])/60+SECOND(Tabel1[[#This Row],[Total Hours]])/3600</f>
        <v>6</v>
      </c>
      <c r="P172" s="6">
        <f>Tabel1[[#This Row],[End Time]]+(Tabel1[[#This Row],[End Time]]&lt;Tabel1[[#This Row],[Start time]])</f>
        <v>0.54166666666666663</v>
      </c>
      <c r="Q17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73" spans="1:17" x14ac:dyDescent="0.35">
      <c r="A173" s="32"/>
      <c r="B173" s="32">
        <f t="shared" si="2"/>
        <v>166</v>
      </c>
      <c r="C173" s="32" t="str">
        <f>IFERROR(VLOOKUP(Tabel1[[#This Row],[Model]],Tableau2[[Model]:[Parking Number]],2,FALSE)," ")</f>
        <v>TT87</v>
      </c>
      <c r="D173" s="35">
        <v>45527</v>
      </c>
      <c r="E173" s="32" t="str">
        <f>IF(Tabel1[[#This Row],[Model]]="", "",INDEX(Tableau2[Equipment Type],MATCH(Tabel1[[#This Row],[Model]],Tableau2[Model],0)))</f>
        <v>Tipper Truck</v>
      </c>
      <c r="F173" s="4" t="s">
        <v>79</v>
      </c>
      <c r="G173" s="4" t="str">
        <f>IF(Tabel1[[#This Row],[Model]]="", "",INDEX(Tableau2[Equipment],MATCH(Tabel1[[#This Row],[Model]],Tableau2[Model],0)))</f>
        <v>Tipper Truck 20m3 / F87</v>
      </c>
      <c r="H173" s="4" t="s">
        <v>189</v>
      </c>
      <c r="I173" s="10" t="s">
        <v>195</v>
      </c>
      <c r="J173" s="4">
        <v>5257366</v>
      </c>
      <c r="K173" s="9">
        <v>0.29166666666666669</v>
      </c>
      <c r="L173" s="9">
        <v>0</v>
      </c>
      <c r="M173" s="9">
        <v>0.54166666666666663</v>
      </c>
      <c r="N17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0.24999999999999994</v>
      </c>
      <c r="O173" s="30">
        <f>HOUR(Tabel1[[#This Row],[Total Hours]])+MINUTE(Tabel1[[#This Row],[Total Hours]])/60+SECOND(Tabel1[[#This Row],[Total Hours]])/3600</f>
        <v>6</v>
      </c>
      <c r="P173" s="6">
        <f>Tabel1[[#This Row],[End Time]]+(Tabel1[[#This Row],[End Time]]&lt;Tabel1[[#This Row],[Start time]])</f>
        <v>0.54166666666666663</v>
      </c>
      <c r="Q17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74" spans="1:17" x14ac:dyDescent="0.35">
      <c r="A174" s="32"/>
      <c r="B174" s="32">
        <f t="shared" si="2"/>
        <v>167</v>
      </c>
      <c r="C174" s="32" t="str">
        <f>IFERROR(VLOOKUP(Tabel1[[#This Row],[Model]],Tableau2[[Model]:[Parking Number]],2,FALSE)," ")</f>
        <v>BL1</v>
      </c>
      <c r="D174" s="35">
        <v>45527</v>
      </c>
      <c r="E174" s="32" t="str">
        <f>IF(Tabel1[[#This Row],[Model]]="", "",INDEX(Tableau2[Equipment Type],MATCH(Tabel1[[#This Row],[Model]],Tableau2[Model],0)))</f>
        <v>Backhoe Loader</v>
      </c>
      <c r="F174" s="4" t="s">
        <v>76</v>
      </c>
      <c r="G174" s="4" t="str">
        <f>IF(Tabel1[[#This Row],[Model]]="", "",INDEX(Tableau2[Equipment],MATCH(Tabel1[[#This Row],[Model]],Tableau2[Model],0)))</f>
        <v>CAT432D</v>
      </c>
      <c r="H174" s="4" t="s">
        <v>189</v>
      </c>
      <c r="I174" s="10" t="s">
        <v>195</v>
      </c>
      <c r="J174" s="4">
        <v>5257366</v>
      </c>
      <c r="K174" s="9">
        <v>0.375</v>
      </c>
      <c r="L174" s="9">
        <v>0</v>
      </c>
      <c r="M174" s="9">
        <v>0.45833333333333331</v>
      </c>
      <c r="N17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8.3333333333333315E-2</v>
      </c>
      <c r="O174" s="30">
        <f>HOUR(Tabel1[[#This Row],[Total Hours]])+MINUTE(Tabel1[[#This Row],[Total Hours]])/60+SECOND(Tabel1[[#This Row],[Total Hours]])/3600</f>
        <v>2</v>
      </c>
      <c r="P174" s="6">
        <f>Tabel1[[#This Row],[End Time]]+(Tabel1[[#This Row],[End Time]]&lt;Tabel1[[#This Row],[Start time]])</f>
        <v>0.45833333333333331</v>
      </c>
      <c r="Q17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75" spans="1:17" x14ac:dyDescent="0.35">
      <c r="A175" s="32"/>
      <c r="B175" s="32">
        <f t="shared" si="2"/>
        <v>168</v>
      </c>
      <c r="C175" s="32" t="str">
        <f>IFERROR(VLOOKUP(Tabel1[[#This Row],[Model]],Tableau2[[Model]:[Parking Number]],2,FALSE)," ")</f>
        <v>WT1</v>
      </c>
      <c r="D175" s="35">
        <v>45528</v>
      </c>
      <c r="E175" s="32" t="str">
        <f>IF(Tabel1[[#This Row],[Model]]="", "",INDEX(Tableau2[Equipment Type],MATCH(Tabel1[[#This Row],[Model]],Tableau2[Model],0)))</f>
        <v>Water Truck</v>
      </c>
      <c r="F175" s="4" t="s">
        <v>47</v>
      </c>
      <c r="G175" s="4" t="str">
        <f>IF(Tabel1[[#This Row],[Model]]="", "",INDEX(Tableau2[Equipment],MATCH(Tabel1[[#This Row],[Model]],Tableau2[Model],0)))</f>
        <v>Water Truck 20T / 1924.1</v>
      </c>
      <c r="H175" s="4" t="s">
        <v>56</v>
      </c>
      <c r="I175" s="10" t="s">
        <v>57</v>
      </c>
      <c r="J175" s="4">
        <v>5252183</v>
      </c>
      <c r="K175" s="9">
        <v>0.33333333333333331</v>
      </c>
      <c r="L175" s="9">
        <v>4.1666666666666664E-2</v>
      </c>
      <c r="M175" s="9">
        <v>0.70833333333333337</v>
      </c>
      <c r="N17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75" s="30">
        <f>HOUR(Tabel1[[#This Row],[Total Hours]])+MINUTE(Tabel1[[#This Row],[Total Hours]])/60+SECOND(Tabel1[[#This Row],[Total Hours]])/3600</f>
        <v>8</v>
      </c>
      <c r="P175" s="6">
        <f>Tabel1[[#This Row],[End Time]]+(Tabel1[[#This Row],[End Time]]&lt;Tabel1[[#This Row],[Start time]])</f>
        <v>0.70833333333333337</v>
      </c>
      <c r="Q17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76" spans="1:17" x14ac:dyDescent="0.35">
      <c r="A176" s="32"/>
      <c r="B176" s="32">
        <f t="shared" si="2"/>
        <v>169</v>
      </c>
      <c r="C176" s="32" t="str">
        <f>IFERROR(VLOOKUP(Tabel1[[#This Row],[Model]],Tableau2[[Model]:[Parking Number]],2,FALSE)," ")</f>
        <v>WT2</v>
      </c>
      <c r="D176" s="35">
        <v>45528</v>
      </c>
      <c r="E176" s="32" t="str">
        <f>IF(Tabel1[[#This Row],[Model]]="", "",INDEX(Tableau2[Equipment Type],MATCH(Tabel1[[#This Row],[Model]],Tableau2[Model],0)))</f>
        <v>Water Truck</v>
      </c>
      <c r="F176" s="4" t="s">
        <v>48</v>
      </c>
      <c r="G176" s="4" t="str">
        <f>IF(Tabel1[[#This Row],[Model]]="", "",INDEX(Tableau2[Equipment],MATCH(Tabel1[[#This Row],[Model]],Tableau2[Model],0)))</f>
        <v>Water Truck 20T / 1924.2</v>
      </c>
      <c r="H176" s="4" t="s">
        <v>56</v>
      </c>
      <c r="I176" s="10" t="s">
        <v>57</v>
      </c>
      <c r="J176" s="4">
        <v>5252183</v>
      </c>
      <c r="K176" s="9">
        <v>0.33333333333333331</v>
      </c>
      <c r="L176" s="9">
        <v>4.1666666666666664E-2</v>
      </c>
      <c r="M176" s="9">
        <v>0.70833333333333337</v>
      </c>
      <c r="N17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76" s="30">
        <f>HOUR(Tabel1[[#This Row],[Total Hours]])+MINUTE(Tabel1[[#This Row],[Total Hours]])/60+SECOND(Tabel1[[#This Row],[Total Hours]])/3600</f>
        <v>8</v>
      </c>
      <c r="P176" s="6">
        <f>Tabel1[[#This Row],[End Time]]+(Tabel1[[#This Row],[End Time]]&lt;Tabel1[[#This Row],[Start time]])</f>
        <v>0.70833333333333337</v>
      </c>
      <c r="Q17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77" spans="1:17" x14ac:dyDescent="0.35">
      <c r="A177" s="32"/>
      <c r="B177" s="32">
        <f t="shared" si="2"/>
        <v>170</v>
      </c>
      <c r="C177" s="32" t="str">
        <f>IFERROR(VLOOKUP(Tabel1[[#This Row],[Model]],Tableau2[[Model]:[Parking Number]],2,FALSE)," ")</f>
        <v>WT3</v>
      </c>
      <c r="D177" s="35">
        <v>45528</v>
      </c>
      <c r="E177" s="32" t="str">
        <f>IF(Tabel1[[#This Row],[Model]]="", "",INDEX(Tableau2[Equipment Type],MATCH(Tabel1[[#This Row],[Model]],Tableau2[Model],0)))</f>
        <v>Water Truck</v>
      </c>
      <c r="F177" s="4" t="s">
        <v>49</v>
      </c>
      <c r="G177" s="4" t="str">
        <f>IF(Tabel1[[#This Row],[Model]]="", "",INDEX(Tableau2[Equipment],MATCH(Tabel1[[#This Row],[Model]],Tableau2[Model],0)))</f>
        <v>Water Truck 20T / 1924.3</v>
      </c>
      <c r="H177" s="4" t="s">
        <v>56</v>
      </c>
      <c r="I177" s="10" t="s">
        <v>57</v>
      </c>
      <c r="J177" s="4">
        <v>5252183</v>
      </c>
      <c r="K177" s="9">
        <v>0.33333333333333331</v>
      </c>
      <c r="L177" s="9">
        <v>4.1666666666666664E-2</v>
      </c>
      <c r="M177" s="9">
        <v>0.70833333333333337</v>
      </c>
      <c r="N17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77" s="30">
        <f>HOUR(Tabel1[[#This Row],[Total Hours]])+MINUTE(Tabel1[[#This Row],[Total Hours]])/60+SECOND(Tabel1[[#This Row],[Total Hours]])/3600</f>
        <v>8</v>
      </c>
      <c r="P177" s="6">
        <f>Tabel1[[#This Row],[End Time]]+(Tabel1[[#This Row],[End Time]]&lt;Tabel1[[#This Row],[Start time]])</f>
        <v>0.70833333333333337</v>
      </c>
      <c r="Q17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78" spans="1:17" x14ac:dyDescent="0.35">
      <c r="A178" s="32"/>
      <c r="B178" s="32">
        <f t="shared" si="2"/>
        <v>171</v>
      </c>
      <c r="C178" s="32" t="str">
        <f>IFERROR(VLOOKUP(Tabel1[[#This Row],[Model]],Tableau2[[Model]:[Parking Number]],2,FALSE)," ")</f>
        <v>WT9</v>
      </c>
      <c r="D178" s="35">
        <v>45528</v>
      </c>
      <c r="E178" s="32" t="str">
        <f>IF(Tabel1[[#This Row],[Model]]="", "",INDEX(Tableau2[Equipment Type],MATCH(Tabel1[[#This Row],[Model]],Tableau2[Model],0)))</f>
        <v>Water Truck</v>
      </c>
      <c r="F178" s="4" t="s">
        <v>50</v>
      </c>
      <c r="G178" s="4" t="str">
        <f>IF(Tabel1[[#This Row],[Model]]="", "",INDEX(Tableau2[Equipment],MATCH(Tabel1[[#This Row],[Model]],Tableau2[Model],0)))</f>
        <v>Water Truck 20T / WT09</v>
      </c>
      <c r="H178" s="4" t="s">
        <v>56</v>
      </c>
      <c r="I178" s="10" t="s">
        <v>57</v>
      </c>
      <c r="J178" s="4">
        <v>5252183</v>
      </c>
      <c r="K178" s="9">
        <v>0.33333333333333331</v>
      </c>
      <c r="L178" s="9">
        <v>0</v>
      </c>
      <c r="M178" s="9">
        <v>0.41666666666666669</v>
      </c>
      <c r="N17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8.333333333333337E-2</v>
      </c>
      <c r="O178" s="30">
        <f>HOUR(Tabel1[[#This Row],[Total Hours]])+MINUTE(Tabel1[[#This Row],[Total Hours]])/60+SECOND(Tabel1[[#This Row],[Total Hours]])/3600</f>
        <v>2</v>
      </c>
      <c r="P178" s="6">
        <f>Tabel1[[#This Row],[End Time]]+(Tabel1[[#This Row],[End Time]]&lt;Tabel1[[#This Row],[Start time]])</f>
        <v>0.41666666666666669</v>
      </c>
      <c r="Q17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79" spans="1:17" x14ac:dyDescent="0.35">
      <c r="A179" s="32"/>
      <c r="B179" s="32">
        <f t="shared" si="2"/>
        <v>172</v>
      </c>
      <c r="C179" s="32" t="str">
        <f>IFERROR(VLOOKUP(Tabel1[[#This Row],[Model]],Tableau2[[Model]:[Parking Number]],2,FALSE)," ")</f>
        <v>GR1</v>
      </c>
      <c r="D179" s="35">
        <v>45528</v>
      </c>
      <c r="E179" s="32" t="str">
        <f>IF(Tabel1[[#This Row],[Model]]="", "",INDEX(Tableau2[Equipment Type],MATCH(Tabel1[[#This Row],[Model]],Tableau2[Model],0)))</f>
        <v>Grader</v>
      </c>
      <c r="F179" s="4" t="s">
        <v>63</v>
      </c>
      <c r="G179" s="4" t="str">
        <f>IF(Tabel1[[#This Row],[Model]]="", "",INDEX(Tableau2[Equipment],MATCH(Tabel1[[#This Row],[Model]],Tableau2[Model],0)))</f>
        <v>CAT12K.1</v>
      </c>
      <c r="H179" s="4" t="s">
        <v>56</v>
      </c>
      <c r="I179" s="10" t="s">
        <v>57</v>
      </c>
      <c r="J179" s="4">
        <v>5252183</v>
      </c>
      <c r="K179" s="9">
        <v>0.33333333333333331</v>
      </c>
      <c r="L179" s="9">
        <v>4.1666666666666664E-2</v>
      </c>
      <c r="M179" s="9">
        <v>0.70833333333333337</v>
      </c>
      <c r="N17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79" s="30">
        <f>HOUR(Tabel1[[#This Row],[Total Hours]])+MINUTE(Tabel1[[#This Row],[Total Hours]])/60+SECOND(Tabel1[[#This Row],[Total Hours]])/3600</f>
        <v>8</v>
      </c>
      <c r="P179" s="6">
        <f>Tabel1[[#This Row],[End Time]]+(Tabel1[[#This Row],[End Time]]&lt;Tabel1[[#This Row],[Start time]])</f>
        <v>0.70833333333333337</v>
      </c>
      <c r="Q17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80" spans="1:17" x14ac:dyDescent="0.35">
      <c r="A180" s="32"/>
      <c r="B180" s="32">
        <f t="shared" si="2"/>
        <v>173</v>
      </c>
      <c r="C180" s="32" t="str">
        <f>IFERROR(VLOOKUP(Tabel1[[#This Row],[Model]],Tableau2[[Model]:[Parking Number]],2,FALSE)," ")</f>
        <v>FEL4</v>
      </c>
      <c r="D180" s="35">
        <v>45528</v>
      </c>
      <c r="E180" s="32" t="str">
        <f>IF(Tabel1[[#This Row],[Model]]="", "",INDEX(Tableau2[Equipment Type],MATCH(Tabel1[[#This Row],[Model]],Tableau2[Model],0)))</f>
        <v>Loader</v>
      </c>
      <c r="F180" s="4" t="s">
        <v>40</v>
      </c>
      <c r="G180" s="4" t="str">
        <f>IF(Tabel1[[#This Row],[Model]]="", "",INDEX(Tableau2[Equipment],MATCH(Tabel1[[#This Row],[Model]],Tableau2[Model],0)))</f>
        <v>Cat972G.2</v>
      </c>
      <c r="H180" s="4" t="s">
        <v>56</v>
      </c>
      <c r="I180" s="10" t="s">
        <v>57</v>
      </c>
      <c r="J180" s="4">
        <v>5252183</v>
      </c>
      <c r="K180" s="9">
        <v>0.33333333333333331</v>
      </c>
      <c r="L180" s="9">
        <v>4.1666666666666664E-2</v>
      </c>
      <c r="M180" s="9">
        <v>0.70833333333333337</v>
      </c>
      <c r="N18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80" s="30">
        <f>HOUR(Tabel1[[#This Row],[Total Hours]])+MINUTE(Tabel1[[#This Row],[Total Hours]])/60+SECOND(Tabel1[[#This Row],[Total Hours]])/3600</f>
        <v>8</v>
      </c>
      <c r="P180" s="6">
        <f>Tabel1[[#This Row],[End Time]]+(Tabel1[[#This Row],[End Time]]&lt;Tabel1[[#This Row],[Start time]])</f>
        <v>0.70833333333333337</v>
      </c>
      <c r="Q18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81" spans="1:17" x14ac:dyDescent="0.35">
      <c r="A181" s="32"/>
      <c r="B181" s="32">
        <f t="shared" si="2"/>
        <v>174</v>
      </c>
      <c r="C181" s="32" t="str">
        <f>IFERROR(VLOOKUP(Tabel1[[#This Row],[Model]],Tableau2[[Model]:[Parking Number]],2,FALSE)," ")</f>
        <v>TD4</v>
      </c>
      <c r="D181" s="35">
        <v>45528</v>
      </c>
      <c r="E181" s="32" t="str">
        <f>IF(Tabel1[[#This Row],[Model]]="", "",INDEX(Tableau2[Equipment Type],MATCH(Tabel1[[#This Row],[Model]],Tableau2[Model],0)))</f>
        <v>Bulldozer</v>
      </c>
      <c r="F181" s="4" t="s">
        <v>41</v>
      </c>
      <c r="G181" s="4" t="str">
        <f>IF(Tabel1[[#This Row],[Model]]="", "",INDEX(Tableau2[Equipment],MATCH(Tabel1[[#This Row],[Model]],Tableau2[Model],0)))</f>
        <v>CATD8R.3</v>
      </c>
      <c r="H181" s="4" t="s">
        <v>56</v>
      </c>
      <c r="I181" s="10" t="s">
        <v>161</v>
      </c>
      <c r="J181" s="4">
        <v>5092509</v>
      </c>
      <c r="K181" s="9">
        <v>0.33333333333333331</v>
      </c>
      <c r="L181" s="9">
        <v>4.1666666666666664E-2</v>
      </c>
      <c r="M181" s="9">
        <v>0.625</v>
      </c>
      <c r="N18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0.25</v>
      </c>
      <c r="O181" s="30">
        <f>HOUR(Tabel1[[#This Row],[Total Hours]])+MINUTE(Tabel1[[#This Row],[Total Hours]])/60+SECOND(Tabel1[[#This Row],[Total Hours]])/3600</f>
        <v>6</v>
      </c>
      <c r="P181" s="6">
        <f>Tabel1[[#This Row],[End Time]]+(Tabel1[[#This Row],[End Time]]&lt;Tabel1[[#This Row],[Start time]])</f>
        <v>0.625</v>
      </c>
      <c r="Q18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82" spans="1:17" x14ac:dyDescent="0.35">
      <c r="A182" s="32"/>
      <c r="B182" s="32">
        <f t="shared" si="2"/>
        <v>175</v>
      </c>
      <c r="C182" s="32" t="str">
        <f>IFERROR(VLOOKUP(Tabel1[[#This Row],[Model]],Tableau2[[Model]:[Parking Number]],2,FALSE)," ")</f>
        <v>TD4</v>
      </c>
      <c r="D182" s="35">
        <v>45528</v>
      </c>
      <c r="E182" s="32" t="str">
        <f>IF(Tabel1[[#This Row],[Model]]="", "",INDEX(Tableau2[Equipment Type],MATCH(Tabel1[[#This Row],[Model]],Tableau2[Model],0)))</f>
        <v>Bulldozer</v>
      </c>
      <c r="F182" s="4" t="s">
        <v>41</v>
      </c>
      <c r="G182" s="4" t="str">
        <f>IF(Tabel1[[#This Row],[Model]]="", "",INDEX(Tableau2[Equipment],MATCH(Tabel1[[#This Row],[Model]],Tableau2[Model],0)))</f>
        <v>CATD8R.3</v>
      </c>
      <c r="H182" s="4" t="s">
        <v>56</v>
      </c>
      <c r="I182" s="10" t="s">
        <v>161</v>
      </c>
      <c r="J182" s="4">
        <v>5092509</v>
      </c>
      <c r="K182" s="9">
        <v>0.66666666666666663</v>
      </c>
      <c r="L182" s="9">
        <v>0</v>
      </c>
      <c r="M182" s="9">
        <v>0.70833333333333337</v>
      </c>
      <c r="N18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4.1666666666666741E-2</v>
      </c>
      <c r="O182" s="30">
        <f>HOUR(Tabel1[[#This Row],[Total Hours]])+MINUTE(Tabel1[[#This Row],[Total Hours]])/60+SECOND(Tabel1[[#This Row],[Total Hours]])/3600</f>
        <v>1</v>
      </c>
      <c r="P182" s="6">
        <f>Tabel1[[#This Row],[End Time]]+(Tabel1[[#This Row],[End Time]]&lt;Tabel1[[#This Row],[Start time]])</f>
        <v>0.70833333333333337</v>
      </c>
      <c r="Q18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83" spans="1:17" x14ac:dyDescent="0.35">
      <c r="A183" s="32"/>
      <c r="B183" s="32">
        <f t="shared" si="2"/>
        <v>176</v>
      </c>
      <c r="C183" s="32" t="str">
        <f>IFERROR(VLOOKUP(Tabel1[[#This Row],[Model]],Tableau2[[Model]:[Parking Number]],2,FALSE)," ")</f>
        <v>LB1</v>
      </c>
      <c r="D183" s="35">
        <v>45528</v>
      </c>
      <c r="E183" s="32" t="str">
        <f>IF(Tabel1[[#This Row],[Model]]="", "",INDEX(Tableau2[Equipment Type],MATCH(Tabel1[[#This Row],[Model]],Tableau2[Model],0)))</f>
        <v>Lowbed</v>
      </c>
      <c r="F183" s="4" t="s">
        <v>71</v>
      </c>
      <c r="G183" s="4" t="str">
        <f>IF(Tabel1[[#This Row],[Model]]="", "",INDEX(Tableau2[Equipment],MATCH(Tabel1[[#This Row],[Model]],Tableau2[Model],0)))</f>
        <v>LB ACTROS 60T</v>
      </c>
      <c r="H183" s="4" t="s">
        <v>56</v>
      </c>
      <c r="I183" s="10" t="s">
        <v>161</v>
      </c>
      <c r="J183" s="4">
        <v>5092509</v>
      </c>
      <c r="K183" s="9">
        <v>0.58333333333333337</v>
      </c>
      <c r="L183" s="9">
        <v>0</v>
      </c>
      <c r="M183" s="9">
        <v>0.75</v>
      </c>
      <c r="N18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0.16666666666666663</v>
      </c>
      <c r="O183" s="30">
        <f>HOUR(Tabel1[[#This Row],[Total Hours]])+MINUTE(Tabel1[[#This Row],[Total Hours]])/60+SECOND(Tabel1[[#This Row],[Total Hours]])/3600</f>
        <v>4</v>
      </c>
      <c r="P183" s="6">
        <f>Tabel1[[#This Row],[End Time]]+(Tabel1[[#This Row],[End Time]]&lt;Tabel1[[#This Row],[Start time]])</f>
        <v>0.75</v>
      </c>
      <c r="Q18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84" spans="1:17" x14ac:dyDescent="0.35">
      <c r="A184" s="32"/>
      <c r="B184" s="32">
        <f t="shared" si="2"/>
        <v>177</v>
      </c>
      <c r="C184" s="32" t="str">
        <f>IFERROR(VLOOKUP(Tabel1[[#This Row],[Model]],Tableau2[[Model]:[Parking Number]],2,FALSE)," ")</f>
        <v>WT8</v>
      </c>
      <c r="D184" s="35">
        <v>45528</v>
      </c>
      <c r="E184" s="32" t="str">
        <f>IF(Tabel1[[#This Row],[Model]]="", "",INDEX(Tableau2[Equipment Type],MATCH(Tabel1[[#This Row],[Model]],Tableau2[Model],0)))</f>
        <v>Water Truck</v>
      </c>
      <c r="F184" s="4" t="s">
        <v>52</v>
      </c>
      <c r="G184" s="4" t="str">
        <f>IF(Tabel1[[#This Row],[Model]]="", "",INDEX(Tableau2[Equipment],MATCH(Tabel1[[#This Row],[Model]],Tableau2[Model],0)))</f>
        <v>Water Truck 20T / WT08</v>
      </c>
      <c r="H184" s="4" t="s">
        <v>163</v>
      </c>
      <c r="I184" s="10" t="s">
        <v>164</v>
      </c>
      <c r="J184" s="4">
        <v>5253778</v>
      </c>
      <c r="K184" s="9">
        <v>0.29166666666666669</v>
      </c>
      <c r="L184" s="9">
        <v>4.1666666666666664E-2</v>
      </c>
      <c r="M184" s="9">
        <v>0.75</v>
      </c>
      <c r="N18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0.41666666666666663</v>
      </c>
      <c r="O184" s="30">
        <f>HOUR(Tabel1[[#This Row],[Total Hours]])+MINUTE(Tabel1[[#This Row],[Total Hours]])/60+SECOND(Tabel1[[#This Row],[Total Hours]])/3600</f>
        <v>10</v>
      </c>
      <c r="P184" s="6">
        <f>Tabel1[[#This Row],[End Time]]+(Tabel1[[#This Row],[End Time]]&lt;Tabel1[[#This Row],[Start time]])</f>
        <v>0.75</v>
      </c>
      <c r="Q18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85" spans="1:17" x14ac:dyDescent="0.35">
      <c r="A185" s="32"/>
      <c r="B185" s="32">
        <f t="shared" si="2"/>
        <v>178</v>
      </c>
      <c r="C185" s="32" t="str">
        <f>IFERROR(VLOOKUP(Tabel1[[#This Row],[Model]],Tableau2[[Model]:[Parking Number]],2,FALSE)," ")</f>
        <v>FEL1</v>
      </c>
      <c r="D185" s="35">
        <v>45528</v>
      </c>
      <c r="E185" s="32" t="str">
        <f>IF(Tabel1[[#This Row],[Model]]="", "",INDEX(Tableau2[Equipment Type],MATCH(Tabel1[[#This Row],[Model]],Tableau2[Model],0)))</f>
        <v>Loader</v>
      </c>
      <c r="F185" s="4" t="s">
        <v>46</v>
      </c>
      <c r="G185" s="4" t="str">
        <f>IF(Tabel1[[#This Row],[Model]]="", "",INDEX(Tableau2[Equipment],MATCH(Tabel1[[#This Row],[Model]],Tableau2[Model],0)))</f>
        <v>Cat966H.1</v>
      </c>
      <c r="H185" s="4" t="s">
        <v>66</v>
      </c>
      <c r="I185" s="10" t="s">
        <v>162</v>
      </c>
      <c r="J185" s="4">
        <v>5198487</v>
      </c>
      <c r="K185" s="9">
        <v>0.29166666666666669</v>
      </c>
      <c r="L185" s="9">
        <v>4.1666666666666664E-2</v>
      </c>
      <c r="M185" s="9">
        <v>0.79166666666666663</v>
      </c>
      <c r="N18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185" s="30">
        <f>HOUR(Tabel1[[#This Row],[Total Hours]])+MINUTE(Tabel1[[#This Row],[Total Hours]])/60+SECOND(Tabel1[[#This Row],[Total Hours]])/3600</f>
        <v>11</v>
      </c>
      <c r="P185" s="6">
        <f>Tabel1[[#This Row],[End Time]]+(Tabel1[[#This Row],[End Time]]&lt;Tabel1[[#This Row],[Start time]])</f>
        <v>0.79166666666666663</v>
      </c>
      <c r="Q18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86" spans="1:17" x14ac:dyDescent="0.35">
      <c r="A186" s="32"/>
      <c r="B186" s="32">
        <f t="shared" si="2"/>
        <v>179</v>
      </c>
      <c r="C186" s="32" t="str">
        <f>IFERROR(VLOOKUP(Tabel1[[#This Row],[Model]],Tableau2[[Model]:[Parking Number]],2,FALSE)," ")</f>
        <v>FEL1</v>
      </c>
      <c r="D186" s="35">
        <v>45528</v>
      </c>
      <c r="E186" s="32" t="str">
        <f>IF(Tabel1[[#This Row],[Model]]="", "",INDEX(Tableau2[Equipment Type],MATCH(Tabel1[[#This Row],[Model]],Tableau2[Model],0)))</f>
        <v>Loader</v>
      </c>
      <c r="F186" s="4" t="s">
        <v>46</v>
      </c>
      <c r="G186" s="4" t="str">
        <f>IF(Tabel1[[#This Row],[Model]]="", "",INDEX(Tableau2[Equipment],MATCH(Tabel1[[#This Row],[Model]],Tableau2[Model],0)))</f>
        <v>Cat966H.1</v>
      </c>
      <c r="H186" s="4" t="s">
        <v>66</v>
      </c>
      <c r="I186" s="10" t="s">
        <v>162</v>
      </c>
      <c r="J186" s="4">
        <v>5198487</v>
      </c>
      <c r="K186" s="9">
        <v>0.79166666666666663</v>
      </c>
      <c r="L186" s="9">
        <v>0</v>
      </c>
      <c r="M186" s="9">
        <v>0.20833333333333334</v>
      </c>
      <c r="N18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23.416666666666664</v>
      </c>
      <c r="O186" s="30">
        <f>HOUR(Tabel1[[#This Row],[Total Hours]])+MINUTE(Tabel1[[#This Row],[Total Hours]])/60+SECOND(Tabel1[[#This Row],[Total Hours]])/3600</f>
        <v>10</v>
      </c>
      <c r="P186" s="6">
        <f>Tabel1[[#This Row],[End Time]]+(Tabel1[[#This Row],[End Time]]&lt;Tabel1[[#This Row],[Start time]])</f>
        <v>1.2083333333333333</v>
      </c>
      <c r="Q18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87" spans="1:17" x14ac:dyDescent="0.35">
      <c r="A187" s="32"/>
      <c r="B187" s="32">
        <f t="shared" si="2"/>
        <v>180</v>
      </c>
      <c r="C187" s="32" t="str">
        <f>IFERROR(VLOOKUP(Tabel1[[#This Row],[Model]],Tableau2[[Model]:[Parking Number]],2,FALSE)," ")</f>
        <v>TT17</v>
      </c>
      <c r="D187" s="35">
        <v>45528</v>
      </c>
      <c r="E187" s="32" t="str">
        <f>IF(Tabel1[[#This Row],[Model]]="", "",INDEX(Tableau2[Equipment Type],MATCH(Tabel1[[#This Row],[Model]],Tableau2[Model],0)))</f>
        <v>Tipper Truck</v>
      </c>
      <c r="F187" s="4" t="s">
        <v>51</v>
      </c>
      <c r="G187" s="4" t="str">
        <f>IF(Tabel1[[#This Row],[Model]]="", "",INDEX(Tableau2[Equipment],MATCH(Tabel1[[#This Row],[Model]],Tableau2[Model],0)))</f>
        <v>Tipper Truck 20m3 / F17</v>
      </c>
      <c r="H187" s="4" t="s">
        <v>66</v>
      </c>
      <c r="I187" s="10" t="s">
        <v>162</v>
      </c>
      <c r="J187" s="4">
        <v>5198487</v>
      </c>
      <c r="K187" s="9">
        <v>0.29166666666666669</v>
      </c>
      <c r="L187" s="9">
        <v>4.1666666666666664E-2</v>
      </c>
      <c r="M187" s="9">
        <v>0.79166666666666663</v>
      </c>
      <c r="N18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187" s="30">
        <f>HOUR(Tabel1[[#This Row],[Total Hours]])+MINUTE(Tabel1[[#This Row],[Total Hours]])/60+SECOND(Tabel1[[#This Row],[Total Hours]])/3600</f>
        <v>11</v>
      </c>
      <c r="P187" s="6">
        <f>Tabel1[[#This Row],[End Time]]+(Tabel1[[#This Row],[End Time]]&lt;Tabel1[[#This Row],[Start time]])</f>
        <v>0.79166666666666663</v>
      </c>
      <c r="Q18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88" spans="1:17" x14ac:dyDescent="0.35">
      <c r="A188" s="32"/>
      <c r="B188" s="32">
        <f t="shared" si="2"/>
        <v>181</v>
      </c>
      <c r="C188" s="32" t="str">
        <f>IFERROR(VLOOKUP(Tabel1[[#This Row],[Model]],Tableau2[[Model]:[Parking Number]],2,FALSE)," ")</f>
        <v>GR2</v>
      </c>
      <c r="D188" s="35">
        <v>45528</v>
      </c>
      <c r="E188" s="32" t="str">
        <f>IF(Tabel1[[#This Row],[Model]]="", "",INDEX(Tableau2[Equipment Type],MATCH(Tabel1[[#This Row],[Model]],Tableau2[Model],0)))</f>
        <v>Grader</v>
      </c>
      <c r="F188" s="4" t="s">
        <v>39</v>
      </c>
      <c r="G188" s="4" t="str">
        <f>IF(Tabel1[[#This Row],[Model]]="", "",INDEX(Tableau2[Equipment],MATCH(Tabel1[[#This Row],[Model]],Tableau2[Model],0)))</f>
        <v>CAT12K.2</v>
      </c>
      <c r="H188" s="4" t="s">
        <v>189</v>
      </c>
      <c r="I188" s="10" t="s">
        <v>195</v>
      </c>
      <c r="J188" s="4">
        <v>5257366</v>
      </c>
      <c r="K188" s="9">
        <v>0.33333333333333331</v>
      </c>
      <c r="L188" s="9">
        <v>4.1666666666666664E-2</v>
      </c>
      <c r="M188" s="9">
        <v>0.75</v>
      </c>
      <c r="N18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0.375</v>
      </c>
      <c r="O188" s="30">
        <f>HOUR(Tabel1[[#This Row],[Total Hours]])+MINUTE(Tabel1[[#This Row],[Total Hours]])/60+SECOND(Tabel1[[#This Row],[Total Hours]])/3600</f>
        <v>9</v>
      </c>
      <c r="P188" s="6">
        <f>Tabel1[[#This Row],[End Time]]+(Tabel1[[#This Row],[End Time]]&lt;Tabel1[[#This Row],[Start time]])</f>
        <v>0.75</v>
      </c>
      <c r="Q18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89" spans="1:17" x14ac:dyDescent="0.35">
      <c r="A189" s="32"/>
      <c r="B189" s="32">
        <f t="shared" si="2"/>
        <v>182</v>
      </c>
      <c r="C189" s="32" t="str">
        <f>IFERROR(VLOOKUP(Tabel1[[#This Row],[Model]],Tableau2[[Model]:[Parking Number]],2,FALSE)," ")</f>
        <v>FEL2</v>
      </c>
      <c r="D189" s="35">
        <v>45528</v>
      </c>
      <c r="E189" s="32" t="str">
        <f>IF(Tabel1[[#This Row],[Model]]="", "",INDEX(Tableau2[Equipment Type],MATCH(Tabel1[[#This Row],[Model]],Tableau2[Model],0)))</f>
        <v>Loader</v>
      </c>
      <c r="F189" s="4" t="s">
        <v>42</v>
      </c>
      <c r="G189" s="4" t="str">
        <f>IF(Tabel1[[#This Row],[Model]]="", "",INDEX(Tableau2[Equipment],MATCH(Tabel1[[#This Row],[Model]],Tableau2[Model],0)))</f>
        <v>Cat966H.2</v>
      </c>
      <c r="H189" s="4" t="s">
        <v>189</v>
      </c>
      <c r="I189" s="10" t="s">
        <v>195</v>
      </c>
      <c r="J189" s="4">
        <v>5257366</v>
      </c>
      <c r="K189" s="9">
        <v>0.33333333333333331</v>
      </c>
      <c r="L189" s="9">
        <v>0</v>
      </c>
      <c r="M189" s="9">
        <v>0.5</v>
      </c>
      <c r="N18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0.16666666666666669</v>
      </c>
      <c r="O189" s="30">
        <f>HOUR(Tabel1[[#This Row],[Total Hours]])+MINUTE(Tabel1[[#This Row],[Total Hours]])/60+SECOND(Tabel1[[#This Row],[Total Hours]])/3600</f>
        <v>4</v>
      </c>
      <c r="P189" s="6">
        <f>Tabel1[[#This Row],[End Time]]+(Tabel1[[#This Row],[End Time]]&lt;Tabel1[[#This Row],[Start time]])</f>
        <v>0.5</v>
      </c>
      <c r="Q18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90" spans="1:17" x14ac:dyDescent="0.35">
      <c r="A190" s="32"/>
      <c r="B190" s="32">
        <f t="shared" si="2"/>
        <v>183</v>
      </c>
      <c r="C190" s="32" t="str">
        <f>IFERROR(VLOOKUP(Tabel1[[#This Row],[Model]],Tableau2[[Model]:[Parking Number]],2,FALSE)," ")</f>
        <v>TT29</v>
      </c>
      <c r="D190" s="35">
        <v>45528</v>
      </c>
      <c r="E190" s="32" t="str">
        <f>IF(Tabel1[[#This Row],[Model]]="", "",INDEX(Tableau2[Equipment Type],MATCH(Tabel1[[#This Row],[Model]],Tableau2[Model],0)))</f>
        <v>Tipper Truck</v>
      </c>
      <c r="F190" s="4" t="s">
        <v>72</v>
      </c>
      <c r="G190" s="4" t="str">
        <f>IF(Tabel1[[#This Row],[Model]]="", "",INDEX(Tableau2[Equipment],MATCH(Tabel1[[#This Row],[Model]],Tableau2[Model],0)))</f>
        <v>Tipper Truck 20m3 / F29</v>
      </c>
      <c r="H190" s="4" t="s">
        <v>189</v>
      </c>
      <c r="I190" s="10" t="s">
        <v>195</v>
      </c>
      <c r="J190" s="4">
        <v>5257366</v>
      </c>
      <c r="K190" s="9">
        <v>0.41666666666666669</v>
      </c>
      <c r="L190" s="9">
        <v>4.1666666666666664E-2</v>
      </c>
      <c r="M190" s="9">
        <v>0.75</v>
      </c>
      <c r="N19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0.29166666666666663</v>
      </c>
      <c r="O190" s="30">
        <f>HOUR(Tabel1[[#This Row],[Total Hours]])+MINUTE(Tabel1[[#This Row],[Total Hours]])/60+SECOND(Tabel1[[#This Row],[Total Hours]])/3600</f>
        <v>7</v>
      </c>
      <c r="P190" s="6">
        <f>Tabel1[[#This Row],[End Time]]+(Tabel1[[#This Row],[End Time]]&lt;Tabel1[[#This Row],[Start time]])</f>
        <v>0.75</v>
      </c>
      <c r="Q19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91" spans="1:17" x14ac:dyDescent="0.35">
      <c r="A191" s="32"/>
      <c r="B191" s="32">
        <f t="shared" si="2"/>
        <v>184</v>
      </c>
      <c r="C191" s="32" t="str">
        <f>IFERROR(VLOOKUP(Tabel1[[#This Row],[Model]],Tableau2[[Model]:[Parking Number]],2,FALSE)," ")</f>
        <v>TT30</v>
      </c>
      <c r="D191" s="35">
        <v>45528</v>
      </c>
      <c r="E191" s="32" t="str">
        <f>IF(Tabel1[[#This Row],[Model]]="", "",INDEX(Tableau2[Equipment Type],MATCH(Tabel1[[#This Row],[Model]],Tableau2[Model],0)))</f>
        <v>Tipper Truck</v>
      </c>
      <c r="F191" s="4" t="s">
        <v>83</v>
      </c>
      <c r="G191" s="4" t="str">
        <f>IF(Tabel1[[#This Row],[Model]]="", "",INDEX(Tableau2[Equipment],MATCH(Tabel1[[#This Row],[Model]],Tableau2[Model],0)))</f>
        <v>Tipper Truck 20m3 / F30</v>
      </c>
      <c r="H191" s="4" t="s">
        <v>189</v>
      </c>
      <c r="I191" s="10" t="s">
        <v>195</v>
      </c>
      <c r="J191" s="4">
        <v>5257366</v>
      </c>
      <c r="K191" s="9">
        <v>0.33333333333333331</v>
      </c>
      <c r="L191" s="9">
        <v>4.1666666666666664E-2</v>
      </c>
      <c r="M191" s="9">
        <v>0.66666666666666663</v>
      </c>
      <c r="N19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0.29166666666666663</v>
      </c>
      <c r="O191" s="30">
        <f>HOUR(Tabel1[[#This Row],[Total Hours]])+MINUTE(Tabel1[[#This Row],[Total Hours]])/60+SECOND(Tabel1[[#This Row],[Total Hours]])/3600</f>
        <v>7</v>
      </c>
      <c r="P191" s="6">
        <f>Tabel1[[#This Row],[End Time]]+(Tabel1[[#This Row],[End Time]]&lt;Tabel1[[#This Row],[Start time]])</f>
        <v>0.66666666666666663</v>
      </c>
      <c r="Q19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92" spans="1:17" x14ac:dyDescent="0.35">
      <c r="A192" s="32"/>
      <c r="B192" s="32">
        <f t="shared" si="2"/>
        <v>185</v>
      </c>
      <c r="C192" s="32" t="str">
        <f>IFERROR(VLOOKUP(Tabel1[[#This Row],[Model]],Tableau2[[Model]:[Parking Number]],2,FALSE)," ")</f>
        <v>TT32</v>
      </c>
      <c r="D192" s="35">
        <v>45528</v>
      </c>
      <c r="E192" s="32" t="str">
        <f>IF(Tabel1[[#This Row],[Model]]="", "",INDEX(Tableau2[Equipment Type],MATCH(Tabel1[[#This Row],[Model]],Tableau2[Model],0)))</f>
        <v>Tipper Truck</v>
      </c>
      <c r="F192" s="4" t="s">
        <v>53</v>
      </c>
      <c r="G192" s="4" t="str">
        <f>IF(Tabel1[[#This Row],[Model]]="", "",INDEX(Tableau2[Equipment],MATCH(Tabel1[[#This Row],[Model]],Tableau2[Model],0)))</f>
        <v>Tipper Truck 20m3 / F32</v>
      </c>
      <c r="H192" s="4" t="s">
        <v>189</v>
      </c>
      <c r="I192" s="10" t="s">
        <v>195</v>
      </c>
      <c r="J192" s="4">
        <v>5257366</v>
      </c>
      <c r="K192" s="9">
        <v>0.33333333333333331</v>
      </c>
      <c r="L192" s="9">
        <v>4.1666666666666664E-2</v>
      </c>
      <c r="M192" s="9">
        <v>0.70833333333333337</v>
      </c>
      <c r="N19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92" s="30">
        <f>HOUR(Tabel1[[#This Row],[Total Hours]])+MINUTE(Tabel1[[#This Row],[Total Hours]])/60+SECOND(Tabel1[[#This Row],[Total Hours]])/3600</f>
        <v>8</v>
      </c>
      <c r="P192" s="6">
        <f>Tabel1[[#This Row],[End Time]]+(Tabel1[[#This Row],[End Time]]&lt;Tabel1[[#This Row],[Start time]])</f>
        <v>0.70833333333333337</v>
      </c>
      <c r="Q19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93" spans="1:17" x14ac:dyDescent="0.35">
      <c r="A193" s="32"/>
      <c r="B193" s="32">
        <f t="shared" si="2"/>
        <v>186</v>
      </c>
      <c r="C193" s="32" t="str">
        <f>IFERROR(VLOOKUP(Tabel1[[#This Row],[Model]],Tableau2[[Model]:[Parking Number]],2,FALSE)," ")</f>
        <v>TT87</v>
      </c>
      <c r="D193" s="35">
        <v>45528</v>
      </c>
      <c r="E193" s="32" t="str">
        <f>IF(Tabel1[[#This Row],[Model]]="", "",INDEX(Tableau2[Equipment Type],MATCH(Tabel1[[#This Row],[Model]],Tableau2[Model],0)))</f>
        <v>Tipper Truck</v>
      </c>
      <c r="F193" s="4" t="s">
        <v>79</v>
      </c>
      <c r="G193" s="4" t="str">
        <f>IF(Tabel1[[#This Row],[Model]]="", "",INDEX(Tableau2[Equipment],MATCH(Tabel1[[#This Row],[Model]],Tableau2[Model],0)))</f>
        <v>Tipper Truck 20m3 / F87</v>
      </c>
      <c r="H193" s="4" t="s">
        <v>189</v>
      </c>
      <c r="I193" s="10" t="s">
        <v>195</v>
      </c>
      <c r="J193" s="4">
        <v>5257366</v>
      </c>
      <c r="K193" s="9">
        <v>0.33333333333333331</v>
      </c>
      <c r="L193" s="9">
        <v>4.1666666666666664E-2</v>
      </c>
      <c r="M193" s="9">
        <v>0.70833333333333337</v>
      </c>
      <c r="N19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93" s="30">
        <f>HOUR(Tabel1[[#This Row],[Total Hours]])+MINUTE(Tabel1[[#This Row],[Total Hours]])/60+SECOND(Tabel1[[#This Row],[Total Hours]])/3600</f>
        <v>8</v>
      </c>
      <c r="P193" s="6">
        <f>Tabel1[[#This Row],[End Time]]+(Tabel1[[#This Row],[End Time]]&lt;Tabel1[[#This Row],[Start time]])</f>
        <v>0.70833333333333337</v>
      </c>
      <c r="Q19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94" spans="1:17" x14ac:dyDescent="0.35">
      <c r="A194" s="32"/>
      <c r="B194" s="32">
        <f t="shared" si="2"/>
        <v>187</v>
      </c>
      <c r="C194" s="32" t="str">
        <f>IFERROR(VLOOKUP(Tabel1[[#This Row],[Model]],Tableau2[[Model]:[Parking Number]],2,FALSE)," ")</f>
        <v>FEL5</v>
      </c>
      <c r="D194" s="35">
        <v>45528</v>
      </c>
      <c r="E194" s="32" t="str">
        <f>IF(Tabel1[[#This Row],[Model]]="", "",INDEX(Tableau2[Equipment Type],MATCH(Tabel1[[#This Row],[Model]],Tableau2[Model],0)))</f>
        <v>Loader</v>
      </c>
      <c r="F194" s="4" t="s">
        <v>113</v>
      </c>
      <c r="G194" s="4" t="str">
        <f>IF(Tabel1[[#This Row],[Model]]="", "",INDEX(Tableau2[Equipment],MATCH(Tabel1[[#This Row],[Model]],Tableau2[Model],0)))</f>
        <v>CAT980G</v>
      </c>
      <c r="H194" s="4" t="s">
        <v>232</v>
      </c>
      <c r="I194" s="10" t="s">
        <v>233</v>
      </c>
      <c r="J194" s="4">
        <v>5248839</v>
      </c>
      <c r="K194" s="9">
        <v>0.58333333333333337</v>
      </c>
      <c r="L194" s="9">
        <v>0</v>
      </c>
      <c r="M194" s="9">
        <v>0.66666666666666663</v>
      </c>
      <c r="N19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8.3333333333333259E-2</v>
      </c>
      <c r="O194" s="30">
        <f>HOUR(Tabel1[[#This Row],[Total Hours]])+MINUTE(Tabel1[[#This Row],[Total Hours]])/60+SECOND(Tabel1[[#This Row],[Total Hours]])/3600</f>
        <v>2</v>
      </c>
      <c r="P194" s="6">
        <f>Tabel1[[#This Row],[End Time]]+(Tabel1[[#This Row],[End Time]]&lt;Tabel1[[#This Row],[Start time]])</f>
        <v>0.66666666666666663</v>
      </c>
      <c r="Q19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95" spans="1:17" x14ac:dyDescent="0.35">
      <c r="A195" s="32"/>
      <c r="B195" s="32">
        <f t="shared" si="2"/>
        <v>188</v>
      </c>
      <c r="C195" s="32" t="str">
        <f>IFERROR(VLOOKUP(Tabel1[[#This Row],[Model]],Tableau2[[Model]:[Parking Number]],2,FALSE)," ")</f>
        <v>WT9</v>
      </c>
      <c r="D195" s="35">
        <v>45528</v>
      </c>
      <c r="E195" s="32" t="str">
        <f>IF(Tabel1[[#This Row],[Model]]="", "",INDEX(Tableau2[Equipment Type],MATCH(Tabel1[[#This Row],[Model]],Tableau2[Model],0)))</f>
        <v>Water Truck</v>
      </c>
      <c r="F195" s="4" t="s">
        <v>50</v>
      </c>
      <c r="G195" s="4" t="str">
        <f>IF(Tabel1[[#This Row],[Model]]="", "",INDEX(Tableau2[Equipment],MATCH(Tabel1[[#This Row],[Model]],Tableau2[Model],0)))</f>
        <v>Water Truck 20T / WT09</v>
      </c>
      <c r="H195" s="4" t="s">
        <v>230</v>
      </c>
      <c r="I195" s="10" t="s">
        <v>231</v>
      </c>
      <c r="J195" s="4">
        <v>5252184</v>
      </c>
      <c r="K195" s="9">
        <v>0.45833333333333331</v>
      </c>
      <c r="L195" s="9">
        <v>4.1666666666666664E-2</v>
      </c>
      <c r="M195" s="9">
        <v>0.66666666666666663</v>
      </c>
      <c r="N19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0.16666666666666666</v>
      </c>
      <c r="O195" s="30">
        <f>HOUR(Tabel1[[#This Row],[Total Hours]])+MINUTE(Tabel1[[#This Row],[Total Hours]])/60+SECOND(Tabel1[[#This Row],[Total Hours]])/3600</f>
        <v>4</v>
      </c>
      <c r="P195" s="6">
        <f>Tabel1[[#This Row],[End Time]]+(Tabel1[[#This Row],[End Time]]&lt;Tabel1[[#This Row],[Start time]])</f>
        <v>0.66666666666666663</v>
      </c>
      <c r="Q19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96" spans="1:17" x14ac:dyDescent="0.35">
      <c r="A196" s="32"/>
      <c r="B196" s="32">
        <f t="shared" si="2"/>
        <v>189</v>
      </c>
      <c r="C196" s="32" t="str">
        <f>IFERROR(VLOOKUP(Tabel1[[#This Row],[Model]],Tableau2[[Model]:[Parking Number]],2,FALSE)," ")</f>
        <v>WT1</v>
      </c>
      <c r="D196" s="35">
        <v>45529</v>
      </c>
      <c r="E196" s="32" t="str">
        <f>IF(Tabel1[[#This Row],[Model]]="", "",INDEX(Tableau2[Equipment Type],MATCH(Tabel1[[#This Row],[Model]],Tableau2[Model],0)))</f>
        <v>Water Truck</v>
      </c>
      <c r="F196" s="4" t="s">
        <v>47</v>
      </c>
      <c r="G196" s="4" t="str">
        <f>IF(Tabel1[[#This Row],[Model]]="", "",INDEX(Tableau2[Equipment],MATCH(Tabel1[[#This Row],[Model]],Tableau2[Model],0)))</f>
        <v>Water Truck 20T / 1924.1</v>
      </c>
      <c r="H196" s="4" t="s">
        <v>56</v>
      </c>
      <c r="I196" s="10" t="s">
        <v>57</v>
      </c>
      <c r="J196" s="4">
        <v>5252183</v>
      </c>
      <c r="K196" s="9">
        <v>0.33333333333333331</v>
      </c>
      <c r="L196" s="9">
        <v>4.1666666666666664E-2</v>
      </c>
      <c r="M196" s="9">
        <v>0.70833333333333337</v>
      </c>
      <c r="N19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96" s="30">
        <f>HOUR(Tabel1[[#This Row],[Total Hours]])+MINUTE(Tabel1[[#This Row],[Total Hours]])/60+SECOND(Tabel1[[#This Row],[Total Hours]])/3600</f>
        <v>8</v>
      </c>
      <c r="P196" s="6">
        <f>Tabel1[[#This Row],[End Time]]+(Tabel1[[#This Row],[End Time]]&lt;Tabel1[[#This Row],[Start time]])</f>
        <v>0.70833333333333337</v>
      </c>
      <c r="Q19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97" spans="1:17" x14ac:dyDescent="0.35">
      <c r="A197" s="32"/>
      <c r="B197" s="32">
        <f t="shared" si="2"/>
        <v>190</v>
      </c>
      <c r="C197" s="32" t="str">
        <f>IFERROR(VLOOKUP(Tabel1[[#This Row],[Model]],Tableau2[[Model]:[Parking Number]],2,FALSE)," ")</f>
        <v>WT2</v>
      </c>
      <c r="D197" s="35">
        <v>45529</v>
      </c>
      <c r="E197" s="32" t="str">
        <f>IF(Tabel1[[#This Row],[Model]]="", "",INDEX(Tableau2[Equipment Type],MATCH(Tabel1[[#This Row],[Model]],Tableau2[Model],0)))</f>
        <v>Water Truck</v>
      </c>
      <c r="F197" s="4" t="s">
        <v>48</v>
      </c>
      <c r="G197" s="4" t="str">
        <f>IF(Tabel1[[#This Row],[Model]]="", "",INDEX(Tableau2[Equipment],MATCH(Tabel1[[#This Row],[Model]],Tableau2[Model],0)))</f>
        <v>Water Truck 20T / 1924.2</v>
      </c>
      <c r="H197" s="4" t="s">
        <v>56</v>
      </c>
      <c r="I197" s="10" t="s">
        <v>57</v>
      </c>
      <c r="J197" s="4">
        <v>5252183</v>
      </c>
      <c r="K197" s="9">
        <v>0.33333333333333331</v>
      </c>
      <c r="L197" s="9">
        <v>4.1666666666666664E-2</v>
      </c>
      <c r="M197" s="9">
        <v>0.70833333333333337</v>
      </c>
      <c r="N19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97" s="30">
        <f>HOUR(Tabel1[[#This Row],[Total Hours]])+MINUTE(Tabel1[[#This Row],[Total Hours]])/60+SECOND(Tabel1[[#This Row],[Total Hours]])/3600</f>
        <v>8</v>
      </c>
      <c r="P197" s="6">
        <f>Tabel1[[#This Row],[End Time]]+(Tabel1[[#This Row],[End Time]]&lt;Tabel1[[#This Row],[Start time]])</f>
        <v>0.70833333333333337</v>
      </c>
      <c r="Q19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98" spans="1:17" x14ac:dyDescent="0.35">
      <c r="A198" s="32"/>
      <c r="B198" s="32">
        <f t="shared" si="2"/>
        <v>191</v>
      </c>
      <c r="C198" s="32" t="str">
        <f>IFERROR(VLOOKUP(Tabel1[[#This Row],[Model]],Tableau2[[Model]:[Parking Number]],2,FALSE)," ")</f>
        <v>WT3</v>
      </c>
      <c r="D198" s="35">
        <v>45529</v>
      </c>
      <c r="E198" s="32" t="str">
        <f>IF(Tabel1[[#This Row],[Model]]="", "",INDEX(Tableau2[Equipment Type],MATCH(Tabel1[[#This Row],[Model]],Tableau2[Model],0)))</f>
        <v>Water Truck</v>
      </c>
      <c r="F198" s="4" t="s">
        <v>49</v>
      </c>
      <c r="G198" s="4" t="str">
        <f>IF(Tabel1[[#This Row],[Model]]="", "",INDEX(Tableau2[Equipment],MATCH(Tabel1[[#This Row],[Model]],Tableau2[Model],0)))</f>
        <v>Water Truck 20T / 1924.3</v>
      </c>
      <c r="H198" s="4" t="s">
        <v>56</v>
      </c>
      <c r="I198" s="10" t="s">
        <v>57</v>
      </c>
      <c r="J198" s="4">
        <v>5252183</v>
      </c>
      <c r="K198" s="9">
        <v>0.33333333333333331</v>
      </c>
      <c r="L198" s="9">
        <v>4.1666666666666664E-2</v>
      </c>
      <c r="M198" s="9">
        <v>0.70833333333333337</v>
      </c>
      <c r="N19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98" s="30">
        <f>HOUR(Tabel1[[#This Row],[Total Hours]])+MINUTE(Tabel1[[#This Row],[Total Hours]])/60+SECOND(Tabel1[[#This Row],[Total Hours]])/3600</f>
        <v>8</v>
      </c>
      <c r="P198" s="6">
        <f>Tabel1[[#This Row],[End Time]]+(Tabel1[[#This Row],[End Time]]&lt;Tabel1[[#This Row],[Start time]])</f>
        <v>0.70833333333333337</v>
      </c>
      <c r="Q19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199" spans="1:17" x14ac:dyDescent="0.35">
      <c r="A199" s="32"/>
      <c r="B199" s="32">
        <f t="shared" si="2"/>
        <v>192</v>
      </c>
      <c r="C199" s="32" t="str">
        <f>IFERROR(VLOOKUP(Tabel1[[#This Row],[Model]],Tableau2[[Model]:[Parking Number]],2,FALSE)," ")</f>
        <v>GR1</v>
      </c>
      <c r="D199" s="35">
        <v>45529</v>
      </c>
      <c r="E199" s="32" t="str">
        <f>IF(Tabel1[[#This Row],[Model]]="", "",INDEX(Tableau2[Equipment Type],MATCH(Tabel1[[#This Row],[Model]],Tableau2[Model],0)))</f>
        <v>Grader</v>
      </c>
      <c r="F199" s="4" t="s">
        <v>63</v>
      </c>
      <c r="G199" s="4" t="str">
        <f>IF(Tabel1[[#This Row],[Model]]="", "",INDEX(Tableau2[Equipment],MATCH(Tabel1[[#This Row],[Model]],Tableau2[Model],0)))</f>
        <v>CAT12K.1</v>
      </c>
      <c r="H199" s="4" t="s">
        <v>56</v>
      </c>
      <c r="I199" s="10" t="s">
        <v>57</v>
      </c>
      <c r="J199" s="4">
        <v>5252183</v>
      </c>
      <c r="K199" s="9">
        <v>0.33333333333333331</v>
      </c>
      <c r="L199" s="9">
        <v>4.1666666666666664E-2</v>
      </c>
      <c r="M199" s="9">
        <v>0.70833333333333337</v>
      </c>
      <c r="N19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199" s="30">
        <f>HOUR(Tabel1[[#This Row],[Total Hours]])+MINUTE(Tabel1[[#This Row],[Total Hours]])/60+SECOND(Tabel1[[#This Row],[Total Hours]])/3600</f>
        <v>8</v>
      </c>
      <c r="P199" s="6">
        <f>Tabel1[[#This Row],[End Time]]+(Tabel1[[#This Row],[End Time]]&lt;Tabel1[[#This Row],[Start time]])</f>
        <v>0.70833333333333337</v>
      </c>
      <c r="Q19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00" spans="1:17" x14ac:dyDescent="0.35">
      <c r="A200" s="32"/>
      <c r="B200" s="32">
        <f t="shared" si="2"/>
        <v>193</v>
      </c>
      <c r="C200" s="32" t="str">
        <f>IFERROR(VLOOKUP(Tabel1[[#This Row],[Model]],Tableau2[[Model]:[Parking Number]],2,FALSE)," ")</f>
        <v>FEL4</v>
      </c>
      <c r="D200" s="35">
        <v>45529</v>
      </c>
      <c r="E200" s="32" t="str">
        <f>IF(Tabel1[[#This Row],[Model]]="", "",INDEX(Tableau2[Equipment Type],MATCH(Tabel1[[#This Row],[Model]],Tableau2[Model],0)))</f>
        <v>Loader</v>
      </c>
      <c r="F200" s="4" t="s">
        <v>40</v>
      </c>
      <c r="G200" s="4" t="str">
        <f>IF(Tabel1[[#This Row],[Model]]="", "",INDEX(Tableau2[Equipment],MATCH(Tabel1[[#This Row],[Model]],Tableau2[Model],0)))</f>
        <v>Cat972G.2</v>
      </c>
      <c r="H200" s="4" t="s">
        <v>56</v>
      </c>
      <c r="I200" s="10" t="s">
        <v>57</v>
      </c>
      <c r="J200" s="4">
        <v>5252183</v>
      </c>
      <c r="K200" s="9">
        <v>0.33333333333333331</v>
      </c>
      <c r="L200" s="9">
        <v>4.1666666666666664E-2</v>
      </c>
      <c r="M200" s="9">
        <v>0.70833333333333337</v>
      </c>
      <c r="N20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200" s="30">
        <f>HOUR(Tabel1[[#This Row],[Total Hours]])+MINUTE(Tabel1[[#This Row],[Total Hours]])/60+SECOND(Tabel1[[#This Row],[Total Hours]])/3600</f>
        <v>8</v>
      </c>
      <c r="P200" s="6">
        <f>Tabel1[[#This Row],[End Time]]+(Tabel1[[#This Row],[End Time]]&lt;Tabel1[[#This Row],[Start time]])</f>
        <v>0.70833333333333337</v>
      </c>
      <c r="Q20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01" spans="1:17" x14ac:dyDescent="0.35">
      <c r="A201" s="32"/>
      <c r="B201" s="32">
        <f t="shared" ref="B201:B264" si="3">B200+1</f>
        <v>194</v>
      </c>
      <c r="C201" s="32" t="str">
        <f>IFERROR(VLOOKUP(Tabel1[[#This Row],[Model]],Tableau2[[Model]:[Parking Number]],2,FALSE)," ")</f>
        <v>TD4</v>
      </c>
      <c r="D201" s="35">
        <v>45529</v>
      </c>
      <c r="E201" s="32" t="str">
        <f>IF(Tabel1[[#This Row],[Model]]="", "",INDEX(Tableau2[Equipment Type],MATCH(Tabel1[[#This Row],[Model]],Tableau2[Model],0)))</f>
        <v>Bulldozer</v>
      </c>
      <c r="F201" s="4" t="s">
        <v>41</v>
      </c>
      <c r="G201" s="4" t="str">
        <f>IF(Tabel1[[#This Row],[Model]]="", "",INDEX(Tableau2[Equipment],MATCH(Tabel1[[#This Row],[Model]],Tableau2[Model],0)))</f>
        <v>CATD8R.3</v>
      </c>
      <c r="H201" s="4" t="s">
        <v>56</v>
      </c>
      <c r="I201" s="10" t="s">
        <v>161</v>
      </c>
      <c r="J201" s="4">
        <v>5092509</v>
      </c>
      <c r="K201" s="9">
        <v>0.33333333333333331</v>
      </c>
      <c r="L201" s="9">
        <v>4.1666666666666664E-2</v>
      </c>
      <c r="M201" s="9">
        <v>0.70833333333333337</v>
      </c>
      <c r="N20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201" s="30">
        <f>HOUR(Tabel1[[#This Row],[Total Hours]])+MINUTE(Tabel1[[#This Row],[Total Hours]])/60+SECOND(Tabel1[[#This Row],[Total Hours]])/3600</f>
        <v>8</v>
      </c>
      <c r="P201" s="6">
        <f>Tabel1[[#This Row],[End Time]]+(Tabel1[[#This Row],[End Time]]&lt;Tabel1[[#This Row],[Start time]])</f>
        <v>0.70833333333333337</v>
      </c>
      <c r="Q20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02" spans="1:17" x14ac:dyDescent="0.35">
      <c r="A202" s="32"/>
      <c r="B202" s="32">
        <f t="shared" si="3"/>
        <v>195</v>
      </c>
      <c r="C202" s="32" t="str">
        <f>IFERROR(VLOOKUP(Tabel1[[#This Row],[Model]],Tableau2[[Model]:[Parking Number]],2,FALSE)," ")</f>
        <v>WT8</v>
      </c>
      <c r="D202" s="35">
        <v>45529</v>
      </c>
      <c r="E202" s="32" t="str">
        <f>IF(Tabel1[[#This Row],[Model]]="", "",INDEX(Tableau2[Equipment Type],MATCH(Tabel1[[#This Row],[Model]],Tableau2[Model],0)))</f>
        <v>Water Truck</v>
      </c>
      <c r="F202" s="4" t="s">
        <v>52</v>
      </c>
      <c r="G202" s="4" t="str">
        <f>IF(Tabel1[[#This Row],[Model]]="", "",INDEX(Tableau2[Equipment],MATCH(Tabel1[[#This Row],[Model]],Tableau2[Model],0)))</f>
        <v>Water Truck 20T / WT08</v>
      </c>
      <c r="H202" s="4" t="s">
        <v>163</v>
      </c>
      <c r="I202" s="10" t="s">
        <v>164</v>
      </c>
      <c r="J202" s="4">
        <v>5253778</v>
      </c>
      <c r="K202" s="9">
        <v>0.29166666666666669</v>
      </c>
      <c r="L202" s="9">
        <v>4.1666666666666664E-2</v>
      </c>
      <c r="M202" s="9">
        <v>0.70833333333333337</v>
      </c>
      <c r="N20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0.375</v>
      </c>
      <c r="O202" s="30">
        <f>HOUR(Tabel1[[#This Row],[Total Hours]])+MINUTE(Tabel1[[#This Row],[Total Hours]])/60+SECOND(Tabel1[[#This Row],[Total Hours]])/3600</f>
        <v>9</v>
      </c>
      <c r="P202" s="6">
        <f>Tabel1[[#This Row],[End Time]]+(Tabel1[[#This Row],[End Time]]&lt;Tabel1[[#This Row],[Start time]])</f>
        <v>0.70833333333333337</v>
      </c>
      <c r="Q20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03" spans="1:17" x14ac:dyDescent="0.35">
      <c r="A203" s="32"/>
      <c r="B203" s="32">
        <f t="shared" si="3"/>
        <v>196</v>
      </c>
      <c r="C203" s="32" t="str">
        <f>IFERROR(VLOOKUP(Tabel1[[#This Row],[Model]],Tableau2[[Model]:[Parking Number]],2,FALSE)," ")</f>
        <v>FEL1</v>
      </c>
      <c r="D203" s="35">
        <v>45529</v>
      </c>
      <c r="E203" s="32" t="str">
        <f>IF(Tabel1[[#This Row],[Model]]="", "",INDEX(Tableau2[Equipment Type],MATCH(Tabel1[[#This Row],[Model]],Tableau2[Model],0)))</f>
        <v>Loader</v>
      </c>
      <c r="F203" s="4" t="s">
        <v>46</v>
      </c>
      <c r="G203" s="4" t="str">
        <f>IF(Tabel1[[#This Row],[Model]]="", "",INDEX(Tableau2[Equipment],MATCH(Tabel1[[#This Row],[Model]],Tableau2[Model],0)))</f>
        <v>Cat966H.1</v>
      </c>
      <c r="H203" s="4" t="s">
        <v>66</v>
      </c>
      <c r="I203" s="10" t="s">
        <v>162</v>
      </c>
      <c r="J203" s="4">
        <v>5198487</v>
      </c>
      <c r="K203" s="9">
        <v>0.29166666666666669</v>
      </c>
      <c r="L203" s="9">
        <v>4.1666666666666664E-2</v>
      </c>
      <c r="M203" s="9">
        <v>0.79166666666666663</v>
      </c>
      <c r="N20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203" s="30">
        <f>HOUR(Tabel1[[#This Row],[Total Hours]])+MINUTE(Tabel1[[#This Row],[Total Hours]])/60+SECOND(Tabel1[[#This Row],[Total Hours]])/3600</f>
        <v>11</v>
      </c>
      <c r="P203" s="6">
        <f>Tabel1[[#This Row],[End Time]]+(Tabel1[[#This Row],[End Time]]&lt;Tabel1[[#This Row],[Start time]])</f>
        <v>0.79166666666666663</v>
      </c>
      <c r="Q203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04" spans="1:17" x14ac:dyDescent="0.35">
      <c r="A204" s="32"/>
      <c r="B204" s="32">
        <f t="shared" si="3"/>
        <v>197</v>
      </c>
      <c r="C204" s="32" t="str">
        <f>IFERROR(VLOOKUP(Tabel1[[#This Row],[Model]],Tableau2[[Model]:[Parking Number]],2,FALSE)," ")</f>
        <v>FEL1</v>
      </c>
      <c r="D204" s="35">
        <v>45529</v>
      </c>
      <c r="E204" s="32" t="str">
        <f>IF(Tabel1[[#This Row],[Model]]="", "",INDEX(Tableau2[Equipment Type],MATCH(Tabel1[[#This Row],[Model]],Tableau2[Model],0)))</f>
        <v>Loader</v>
      </c>
      <c r="F204" s="4" t="s">
        <v>46</v>
      </c>
      <c r="G204" s="4" t="str">
        <f>IF(Tabel1[[#This Row],[Model]]="", "",INDEX(Tableau2[Equipment],MATCH(Tabel1[[#This Row],[Model]],Tableau2[Model],0)))</f>
        <v>Cat966H.1</v>
      </c>
      <c r="H204" s="4" t="s">
        <v>66</v>
      </c>
      <c r="I204" s="10" t="s">
        <v>162</v>
      </c>
      <c r="J204" s="4">
        <v>5198487</v>
      </c>
      <c r="K204" s="9">
        <v>0.79166666666666663</v>
      </c>
      <c r="L204" s="9">
        <v>0</v>
      </c>
      <c r="M204" s="9">
        <v>0.20833333333333334</v>
      </c>
      <c r="N20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23.416666666666664</v>
      </c>
      <c r="O204" s="30">
        <f>HOUR(Tabel1[[#This Row],[Total Hours]])+MINUTE(Tabel1[[#This Row],[Total Hours]])/60+SECOND(Tabel1[[#This Row],[Total Hours]])/3600</f>
        <v>10</v>
      </c>
      <c r="P204" s="6">
        <f>Tabel1[[#This Row],[End Time]]+(Tabel1[[#This Row],[End Time]]&lt;Tabel1[[#This Row],[Start time]])</f>
        <v>1.2083333333333333</v>
      </c>
      <c r="Q204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05" spans="1:17" x14ac:dyDescent="0.35">
      <c r="A205" s="32"/>
      <c r="B205" s="32">
        <f t="shared" si="3"/>
        <v>198</v>
      </c>
      <c r="C205" s="32" t="str">
        <f>IFERROR(VLOOKUP(Tabel1[[#This Row],[Model]],Tableau2[[Model]:[Parking Number]],2,FALSE)," ")</f>
        <v>TT17</v>
      </c>
      <c r="D205" s="35">
        <v>45529</v>
      </c>
      <c r="E205" s="32" t="str">
        <f>IF(Tabel1[[#This Row],[Model]]="", "",INDEX(Tableau2[Equipment Type],MATCH(Tabel1[[#This Row],[Model]],Tableau2[Model],0)))</f>
        <v>Tipper Truck</v>
      </c>
      <c r="F205" s="4" t="s">
        <v>51</v>
      </c>
      <c r="G205" s="4" t="str">
        <f>IF(Tabel1[[#This Row],[Model]]="", "",INDEX(Tableau2[Equipment],MATCH(Tabel1[[#This Row],[Model]],Tableau2[Model],0)))</f>
        <v>Tipper Truck 20m3 / F17</v>
      </c>
      <c r="H205" s="4" t="s">
        <v>66</v>
      </c>
      <c r="I205" s="10" t="s">
        <v>162</v>
      </c>
      <c r="J205" s="4">
        <v>5198487</v>
      </c>
      <c r="K205" s="9">
        <v>0.29166666666666669</v>
      </c>
      <c r="L205" s="9">
        <v>4.1666666666666664E-2</v>
      </c>
      <c r="M205" s="9">
        <v>0.79166666666666663</v>
      </c>
      <c r="N20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0.45833333333333326</v>
      </c>
      <c r="O205" s="30">
        <f>HOUR(Tabel1[[#This Row],[Total Hours]])+MINUTE(Tabel1[[#This Row],[Total Hours]])/60+SECOND(Tabel1[[#This Row],[Total Hours]])/3600</f>
        <v>11</v>
      </c>
      <c r="P205" s="6">
        <f>Tabel1[[#This Row],[End Time]]+(Tabel1[[#This Row],[End Time]]&lt;Tabel1[[#This Row],[Start time]])</f>
        <v>0.79166666666666663</v>
      </c>
      <c r="Q205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06" spans="1:17" x14ac:dyDescent="0.35">
      <c r="A206" s="32"/>
      <c r="B206" s="32">
        <f t="shared" si="3"/>
        <v>199</v>
      </c>
      <c r="C206" s="32" t="str">
        <f>IFERROR(VLOOKUP(Tabel1[[#This Row],[Model]],Tableau2[[Model]:[Parking Number]],2,FALSE)," ")</f>
        <v>GR2</v>
      </c>
      <c r="D206" s="35">
        <v>45529</v>
      </c>
      <c r="E206" s="32" t="str">
        <f>IF(Tabel1[[#This Row],[Model]]="", "",INDEX(Tableau2[Equipment Type],MATCH(Tabel1[[#This Row],[Model]],Tableau2[Model],0)))</f>
        <v>Grader</v>
      </c>
      <c r="F206" s="4" t="s">
        <v>39</v>
      </c>
      <c r="G206" s="4" t="str">
        <f>IF(Tabel1[[#This Row],[Model]]="", "",INDEX(Tableau2[Equipment],MATCH(Tabel1[[#This Row],[Model]],Tableau2[Model],0)))</f>
        <v>CAT12K.2</v>
      </c>
      <c r="H206" s="4" t="s">
        <v>189</v>
      </c>
      <c r="I206" s="10" t="s">
        <v>195</v>
      </c>
      <c r="J206" s="4">
        <v>5257366</v>
      </c>
      <c r="K206" s="9">
        <v>0.33333333333333331</v>
      </c>
      <c r="L206" s="9">
        <v>4.1666666666666664E-2</v>
      </c>
      <c r="M206" s="9">
        <v>0.70833333333333337</v>
      </c>
      <c r="N20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206" s="30">
        <f>HOUR(Tabel1[[#This Row],[Total Hours]])+MINUTE(Tabel1[[#This Row],[Total Hours]])/60+SECOND(Tabel1[[#This Row],[Total Hours]])/3600</f>
        <v>8</v>
      </c>
      <c r="P206" s="6">
        <f>Tabel1[[#This Row],[End Time]]+(Tabel1[[#This Row],[End Time]]&lt;Tabel1[[#This Row],[Start time]])</f>
        <v>0.70833333333333337</v>
      </c>
      <c r="Q206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07" spans="1:17" x14ac:dyDescent="0.35">
      <c r="A207" s="32"/>
      <c r="B207" s="32">
        <f t="shared" si="3"/>
        <v>200</v>
      </c>
      <c r="C207" s="32" t="str">
        <f>IFERROR(VLOOKUP(Tabel1[[#This Row],[Model]],Tableau2[[Model]:[Parking Number]],2,FALSE)," ")</f>
        <v>FEL2</v>
      </c>
      <c r="D207" s="35">
        <v>45529</v>
      </c>
      <c r="E207" s="32" t="str">
        <f>IF(Tabel1[[#This Row],[Model]]="", "",INDEX(Tableau2[Equipment Type],MATCH(Tabel1[[#This Row],[Model]],Tableau2[Model],0)))</f>
        <v>Loader</v>
      </c>
      <c r="F207" s="4" t="s">
        <v>42</v>
      </c>
      <c r="G207" s="4" t="str">
        <f>IF(Tabel1[[#This Row],[Model]]="", "",INDEX(Tableau2[Equipment],MATCH(Tabel1[[#This Row],[Model]],Tableau2[Model],0)))</f>
        <v>Cat966H.2</v>
      </c>
      <c r="H207" s="4" t="s">
        <v>189</v>
      </c>
      <c r="I207" s="10" t="s">
        <v>195</v>
      </c>
      <c r="J207" s="4">
        <v>5257366</v>
      </c>
      <c r="K207" s="9">
        <v>0.33333333333333331</v>
      </c>
      <c r="L207" s="9">
        <v>4.1666666666666664E-2</v>
      </c>
      <c r="M207" s="9">
        <v>0.70833333333333337</v>
      </c>
      <c r="N20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207" s="30">
        <f>HOUR(Tabel1[[#This Row],[Total Hours]])+MINUTE(Tabel1[[#This Row],[Total Hours]])/60+SECOND(Tabel1[[#This Row],[Total Hours]])/3600</f>
        <v>8</v>
      </c>
      <c r="P207" s="6">
        <f>Tabel1[[#This Row],[End Time]]+(Tabel1[[#This Row],[End Time]]&lt;Tabel1[[#This Row],[Start time]])</f>
        <v>0.70833333333333337</v>
      </c>
      <c r="Q207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08" spans="1:17" x14ac:dyDescent="0.35">
      <c r="A208" s="32"/>
      <c r="B208" s="32">
        <f t="shared" si="3"/>
        <v>201</v>
      </c>
      <c r="C208" s="32" t="str">
        <f>IFERROR(VLOOKUP(Tabel1[[#This Row],[Model]],Tableau2[[Model]:[Parking Number]],2,FALSE)," ")</f>
        <v>TT29</v>
      </c>
      <c r="D208" s="35">
        <v>45529</v>
      </c>
      <c r="E208" s="32" t="str">
        <f>IF(Tabel1[[#This Row],[Model]]="", "",INDEX(Tableau2[Equipment Type],MATCH(Tabel1[[#This Row],[Model]],Tableau2[Model],0)))</f>
        <v>Tipper Truck</v>
      </c>
      <c r="F208" s="4" t="s">
        <v>72</v>
      </c>
      <c r="G208" s="4" t="str">
        <f>IF(Tabel1[[#This Row],[Model]]="", "",INDEX(Tableau2[Equipment],MATCH(Tabel1[[#This Row],[Model]],Tableau2[Model],0)))</f>
        <v>Tipper Truck 20m3 / F29</v>
      </c>
      <c r="H208" s="4" t="s">
        <v>189</v>
      </c>
      <c r="I208" s="10" t="s">
        <v>195</v>
      </c>
      <c r="J208" s="4">
        <v>5257366</v>
      </c>
      <c r="K208" s="9">
        <v>0.33333333333333331</v>
      </c>
      <c r="L208" s="9">
        <v>4.1666666666666664E-2</v>
      </c>
      <c r="M208" s="9">
        <v>0.70833333333333337</v>
      </c>
      <c r="N20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0.33333333333333337</v>
      </c>
      <c r="O208" s="30">
        <f>HOUR(Tabel1[[#This Row],[Total Hours]])+MINUTE(Tabel1[[#This Row],[Total Hours]])/60+SECOND(Tabel1[[#This Row],[Total Hours]])/3600</f>
        <v>8</v>
      </c>
      <c r="P208" s="6">
        <f>Tabel1[[#This Row],[End Time]]+(Tabel1[[#This Row],[End Time]]&lt;Tabel1[[#This Row],[Start time]])</f>
        <v>0.70833333333333337</v>
      </c>
      <c r="Q208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09" spans="1:17" x14ac:dyDescent="0.35">
      <c r="A209" s="32"/>
      <c r="B209" s="32">
        <f t="shared" si="3"/>
        <v>202</v>
      </c>
      <c r="C209" s="32" t="str">
        <f>IFERROR(VLOOKUP(Tabel1[[#This Row],[Model]],Tableau2[[Model]:[Parking Number]],2,FALSE)," ")</f>
        <v>TT32</v>
      </c>
      <c r="D209" s="35">
        <v>45529</v>
      </c>
      <c r="E209" s="32" t="str">
        <f>IF(Tabel1[[#This Row],[Model]]="", "",INDEX(Tableau2[Equipment Type],MATCH(Tabel1[[#This Row],[Model]],Tableau2[Model],0)))</f>
        <v>Tipper Truck</v>
      </c>
      <c r="F209" s="4" t="s">
        <v>53</v>
      </c>
      <c r="G209" s="4" t="str">
        <f>IF(Tabel1[[#This Row],[Model]]="", "",INDEX(Tableau2[Equipment],MATCH(Tabel1[[#This Row],[Model]],Tableau2[Model],0)))</f>
        <v>Tipper Truck 20m3 / F32</v>
      </c>
      <c r="H209" s="4" t="s">
        <v>189</v>
      </c>
      <c r="I209" s="10" t="s">
        <v>195</v>
      </c>
      <c r="J209" s="4">
        <v>5257366</v>
      </c>
      <c r="K209" s="9">
        <v>0.33333333333333331</v>
      </c>
      <c r="L209" s="9">
        <v>4.1666666666666664E-2</v>
      </c>
      <c r="M209" s="9">
        <v>0.66666666666666663</v>
      </c>
      <c r="N20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0.29166666666666663</v>
      </c>
      <c r="O209" s="30">
        <f>HOUR(Tabel1[[#This Row],[Total Hours]])+MINUTE(Tabel1[[#This Row],[Total Hours]])/60+SECOND(Tabel1[[#This Row],[Total Hours]])/3600</f>
        <v>7</v>
      </c>
      <c r="P209" s="6">
        <f>Tabel1[[#This Row],[End Time]]+(Tabel1[[#This Row],[End Time]]&lt;Tabel1[[#This Row],[Start time]])</f>
        <v>0.66666666666666663</v>
      </c>
      <c r="Q209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10" spans="1:17" x14ac:dyDescent="0.35">
      <c r="A210" s="32"/>
      <c r="B210" s="32">
        <f t="shared" si="3"/>
        <v>203</v>
      </c>
      <c r="C210" s="32" t="str">
        <f>IFERROR(VLOOKUP(Tabel1[[#This Row],[Model]],Tableau2[[Model]:[Parking Number]],2,FALSE)," ")</f>
        <v>FEL5</v>
      </c>
      <c r="D210" s="35">
        <v>45529</v>
      </c>
      <c r="E210" s="32" t="str">
        <f>IF(Tabel1[[#This Row],[Model]]="", "",INDEX(Tableau2[Equipment Type],MATCH(Tabel1[[#This Row],[Model]],Tableau2[Model],0)))</f>
        <v>Loader</v>
      </c>
      <c r="F210" s="4" t="s">
        <v>113</v>
      </c>
      <c r="G210" s="4" t="str">
        <f>IF(Tabel1[[#This Row],[Model]]="", "",INDEX(Tableau2[Equipment],MATCH(Tabel1[[#This Row],[Model]],Tableau2[Model],0)))</f>
        <v>CAT980G</v>
      </c>
      <c r="H210" s="4" t="s">
        <v>232</v>
      </c>
      <c r="I210" s="10" t="s">
        <v>233</v>
      </c>
      <c r="J210" s="4">
        <v>5248839</v>
      </c>
      <c r="K210" s="9">
        <v>0.58333333333333337</v>
      </c>
      <c r="L210" s="9">
        <v>0</v>
      </c>
      <c r="M210" s="9">
        <v>0.70833333333333337</v>
      </c>
      <c r="N21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0.125</v>
      </c>
      <c r="O210" s="30">
        <f>HOUR(Tabel1[[#This Row],[Total Hours]])+MINUTE(Tabel1[[#This Row],[Total Hours]])/60+SECOND(Tabel1[[#This Row],[Total Hours]])/3600</f>
        <v>3</v>
      </c>
      <c r="P210" s="6">
        <f>Tabel1[[#This Row],[End Time]]+(Tabel1[[#This Row],[End Time]]&lt;Tabel1[[#This Row],[Start time]])</f>
        <v>0.70833333333333337</v>
      </c>
      <c r="Q210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11" spans="1:17" x14ac:dyDescent="0.35">
      <c r="A211" s="32"/>
      <c r="B211" s="32">
        <f t="shared" si="3"/>
        <v>204</v>
      </c>
      <c r="C211" s="32" t="str">
        <f>IFERROR(VLOOKUP(Tabel1[[#This Row],[Model]],Tableau2[[Model]:[Parking Number]],2,FALSE)," ")</f>
        <v>TT30</v>
      </c>
      <c r="D211" s="35">
        <v>45529</v>
      </c>
      <c r="E211" s="32" t="str">
        <f>IF(Tabel1[[#This Row],[Model]]="", "",INDEX(Tableau2[Equipment Type],MATCH(Tabel1[[#This Row],[Model]],Tableau2[Model],0)))</f>
        <v>Tipper Truck</v>
      </c>
      <c r="F211" s="4" t="s">
        <v>83</v>
      </c>
      <c r="G211" s="4" t="str">
        <f>IF(Tabel1[[#This Row],[Model]]="", "",INDEX(Tableau2[Equipment],MATCH(Tabel1[[#This Row],[Model]],Tableau2[Model],0)))</f>
        <v>Tipper Truck 20m3 / F30</v>
      </c>
      <c r="H211" s="4" t="s">
        <v>232</v>
      </c>
      <c r="I211" s="10" t="s">
        <v>233</v>
      </c>
      <c r="J211" s="4">
        <v>5248839</v>
      </c>
      <c r="K211" s="9">
        <v>0.58333333333333337</v>
      </c>
      <c r="L211" s="9">
        <v>0</v>
      </c>
      <c r="M211" s="9">
        <v>0.70833333333333337</v>
      </c>
      <c r="N21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0.125</v>
      </c>
      <c r="O211" s="30">
        <f>HOUR(Tabel1[[#This Row],[Total Hours]])+MINUTE(Tabel1[[#This Row],[Total Hours]])/60+SECOND(Tabel1[[#This Row],[Total Hours]])/3600</f>
        <v>3</v>
      </c>
      <c r="P211" s="6">
        <f>Tabel1[[#This Row],[End Time]]+(Tabel1[[#This Row],[End Time]]&lt;Tabel1[[#This Row],[Start time]])</f>
        <v>0.70833333333333337</v>
      </c>
      <c r="Q211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12" spans="1:17" x14ac:dyDescent="0.35">
      <c r="A212" s="32"/>
      <c r="B212" s="32">
        <f t="shared" si="3"/>
        <v>205</v>
      </c>
      <c r="C212" s="32" t="str">
        <f>IFERROR(VLOOKUP(Tabel1[[#This Row],[Model]],Tableau2[[Model]:[Parking Number]],2,FALSE)," ")</f>
        <v>TT87</v>
      </c>
      <c r="D212" s="35">
        <v>45529</v>
      </c>
      <c r="E212" s="32" t="str">
        <f>IF(Tabel1[[#This Row],[Model]]="", "",INDEX(Tableau2[Equipment Type],MATCH(Tabel1[[#This Row],[Model]],Tableau2[Model],0)))</f>
        <v>Tipper Truck</v>
      </c>
      <c r="F212" s="4" t="s">
        <v>79</v>
      </c>
      <c r="G212" s="4" t="str">
        <f>IF(Tabel1[[#This Row],[Model]]="", "",INDEX(Tableau2[Equipment],MATCH(Tabel1[[#This Row],[Model]],Tableau2[Model],0)))</f>
        <v>Tipper Truck 20m3 / F87</v>
      </c>
      <c r="H212" s="4" t="s">
        <v>232</v>
      </c>
      <c r="I212" s="10" t="s">
        <v>233</v>
      </c>
      <c r="J212" s="4">
        <v>5248839</v>
      </c>
      <c r="K212" s="9">
        <v>0.58333333333333337</v>
      </c>
      <c r="L212" s="9">
        <v>0</v>
      </c>
      <c r="M212" s="9">
        <v>0.70833333333333337</v>
      </c>
      <c r="N21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0.125</v>
      </c>
      <c r="O212" s="30">
        <f>HOUR(Tabel1[[#This Row],[Total Hours]])+MINUTE(Tabel1[[#This Row],[Total Hours]])/60+SECOND(Tabel1[[#This Row],[Total Hours]])/3600</f>
        <v>3</v>
      </c>
      <c r="P212" s="6">
        <f>Tabel1[[#This Row],[End Time]]+(Tabel1[[#This Row],[End Time]]&lt;Tabel1[[#This Row],[Start time]])</f>
        <v>0.70833333333333337</v>
      </c>
      <c r="Q212" s="7">
        <f>COUNTIFS(Tabel1[Date],Tabel1[[#This Row],[Date]],Tabel1[New Parking Number],Tabel1[[#This Row],[New Parking Number]],Tabel1[EndTime 2],"&gt;"&amp;Tabel1[[#This Row],[Start time]],Tabel1[Start time],"&lt;"&amp;Tabel1[[#This Row],[EndTime 2]])</f>
        <v>1</v>
      </c>
    </row>
    <row r="213" spans="1:17" x14ac:dyDescent="0.35">
      <c r="A213" s="32"/>
      <c r="B213" s="32">
        <f t="shared" si="3"/>
        <v>206</v>
      </c>
      <c r="C213" s="32" t="str">
        <f>IFERROR(VLOOKUP(Tabel1[[#This Row],[Model]],Tableau2[[Model]:[Parking Number]],2,FALSE)," ")</f>
        <v xml:space="preserve"> </v>
      </c>
      <c r="D213" s="35"/>
      <c r="E213" s="32" t="str">
        <f>IF(Tabel1[[#This Row],[Model]]="", "",INDEX(Tableau2[Equipment Type],MATCH(Tabel1[[#This Row],[Model]],Tableau2[Model],0)))</f>
        <v/>
      </c>
      <c r="G213" s="4" t="str">
        <f>IF(Tabel1[[#This Row],[Model]]="", "",INDEX(Tableau2[Equipment],MATCH(Tabel1[[#This Row],[Model]],Tableau2[Model],0)))</f>
        <v/>
      </c>
      <c r="I213" s="10"/>
      <c r="K213" s="9"/>
      <c r="L213" s="9"/>
      <c r="M213" s="9"/>
      <c r="N21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13" s="30">
        <f>HOUR(Tabel1[[#This Row],[Total Hours]])+MINUTE(Tabel1[[#This Row],[Total Hours]])/60+SECOND(Tabel1[[#This Row],[Total Hours]])/3600</f>
        <v>0</v>
      </c>
      <c r="P213" s="6">
        <f>Tabel1[[#This Row],[End Time]]+(Tabel1[[#This Row],[End Time]]&lt;Tabel1[[#This Row],[Start time]])</f>
        <v>0</v>
      </c>
      <c r="Q213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14" spans="1:17" x14ac:dyDescent="0.35">
      <c r="A214" s="32"/>
      <c r="B214" s="32">
        <f t="shared" si="3"/>
        <v>207</v>
      </c>
      <c r="C214" s="32" t="str">
        <f>IFERROR(VLOOKUP(Tabel1[[#This Row],[Model]],Tableau2[[Model]:[Parking Number]],2,FALSE)," ")</f>
        <v xml:space="preserve"> </v>
      </c>
      <c r="D214" s="35"/>
      <c r="E214" s="32" t="str">
        <f>IF(Tabel1[[#This Row],[Model]]="", "",INDEX(Tableau2[Equipment Type],MATCH(Tabel1[[#This Row],[Model]],Tableau2[Model],0)))</f>
        <v/>
      </c>
      <c r="G214" s="4" t="str">
        <f>IF(Tabel1[[#This Row],[Model]]="", "",INDEX(Tableau2[Equipment],MATCH(Tabel1[[#This Row],[Model]],Tableau2[Model],0)))</f>
        <v/>
      </c>
      <c r="I214" s="10"/>
      <c r="K214" s="9"/>
      <c r="L214" s="9"/>
      <c r="M214" s="9"/>
      <c r="N21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14" s="30">
        <f>HOUR(Tabel1[[#This Row],[Total Hours]])+MINUTE(Tabel1[[#This Row],[Total Hours]])/60+SECOND(Tabel1[[#This Row],[Total Hours]])/3600</f>
        <v>0</v>
      </c>
      <c r="P214" s="6">
        <f>Tabel1[[#This Row],[End Time]]+(Tabel1[[#This Row],[End Time]]&lt;Tabel1[[#This Row],[Start time]])</f>
        <v>0</v>
      </c>
      <c r="Q214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15" spans="1:17" x14ac:dyDescent="0.35">
      <c r="A215" s="32"/>
      <c r="B215" s="32">
        <f t="shared" si="3"/>
        <v>208</v>
      </c>
      <c r="C215" s="32" t="str">
        <f>IFERROR(VLOOKUP(Tabel1[[#This Row],[Model]],Tableau2[[Model]:[Parking Number]],2,FALSE)," ")</f>
        <v xml:space="preserve"> </v>
      </c>
      <c r="D215" s="35"/>
      <c r="E215" s="32" t="str">
        <f>IF(Tabel1[[#This Row],[Model]]="", "",INDEX(Tableau2[Equipment Type],MATCH(Tabel1[[#This Row],[Model]],Tableau2[Model],0)))</f>
        <v/>
      </c>
      <c r="G215" s="4" t="str">
        <f>IF(Tabel1[[#This Row],[Model]]="", "",INDEX(Tableau2[Equipment],MATCH(Tabel1[[#This Row],[Model]],Tableau2[Model],0)))</f>
        <v/>
      </c>
      <c r="I215" s="10"/>
      <c r="K215" s="9"/>
      <c r="L215" s="9"/>
      <c r="M215" s="9"/>
      <c r="N21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15" s="30">
        <f>HOUR(Tabel1[[#This Row],[Total Hours]])+MINUTE(Tabel1[[#This Row],[Total Hours]])/60+SECOND(Tabel1[[#This Row],[Total Hours]])/3600</f>
        <v>0</v>
      </c>
      <c r="P215" s="6">
        <f>Tabel1[[#This Row],[End Time]]+(Tabel1[[#This Row],[End Time]]&lt;Tabel1[[#This Row],[Start time]])</f>
        <v>0</v>
      </c>
      <c r="Q215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16" spans="1:17" x14ac:dyDescent="0.35">
      <c r="A216" s="32"/>
      <c r="B216" s="32">
        <f t="shared" si="3"/>
        <v>209</v>
      </c>
      <c r="C216" s="32" t="str">
        <f>IFERROR(VLOOKUP(Tabel1[[#This Row],[Model]],Tableau2[[Model]:[Parking Number]],2,FALSE)," ")</f>
        <v xml:space="preserve"> </v>
      </c>
      <c r="D216" s="35"/>
      <c r="E216" s="32" t="str">
        <f>IF(Tabel1[[#This Row],[Model]]="", "",INDEX(Tableau2[Equipment Type],MATCH(Tabel1[[#This Row],[Model]],Tableau2[Model],0)))</f>
        <v/>
      </c>
      <c r="G216" s="4" t="str">
        <f>IF(Tabel1[[#This Row],[Model]]="", "",INDEX(Tableau2[Equipment],MATCH(Tabel1[[#This Row],[Model]],Tableau2[Model],0)))</f>
        <v/>
      </c>
      <c r="I216" s="10"/>
      <c r="K216" s="9"/>
      <c r="L216" s="9"/>
      <c r="M216" s="9"/>
      <c r="N21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16" s="30">
        <f>HOUR(Tabel1[[#This Row],[Total Hours]])+MINUTE(Tabel1[[#This Row],[Total Hours]])/60+SECOND(Tabel1[[#This Row],[Total Hours]])/3600</f>
        <v>0</v>
      </c>
      <c r="P216" s="6">
        <f>Tabel1[[#This Row],[End Time]]+(Tabel1[[#This Row],[End Time]]&lt;Tabel1[[#This Row],[Start time]])</f>
        <v>0</v>
      </c>
      <c r="Q216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17" spans="1:17" x14ac:dyDescent="0.35">
      <c r="A217" s="32"/>
      <c r="B217" s="32">
        <f t="shared" si="3"/>
        <v>210</v>
      </c>
      <c r="C217" s="32" t="str">
        <f>IFERROR(VLOOKUP(Tabel1[[#This Row],[Model]],Tableau2[[Model]:[Parking Number]],2,FALSE)," ")</f>
        <v xml:space="preserve"> </v>
      </c>
      <c r="D217" s="35"/>
      <c r="E217" s="32" t="str">
        <f>IF(Tabel1[[#This Row],[Model]]="", "",INDEX(Tableau2[Equipment Type],MATCH(Tabel1[[#This Row],[Model]],Tableau2[Model],0)))</f>
        <v/>
      </c>
      <c r="G217" s="4" t="str">
        <f>IF(Tabel1[[#This Row],[Model]]="", "",INDEX(Tableau2[Equipment],MATCH(Tabel1[[#This Row],[Model]],Tableau2[Model],0)))</f>
        <v/>
      </c>
      <c r="I217" s="10"/>
      <c r="K217" s="9"/>
      <c r="L217" s="9"/>
      <c r="M217" s="9"/>
      <c r="N21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17" s="30">
        <f>HOUR(Tabel1[[#This Row],[Total Hours]])+MINUTE(Tabel1[[#This Row],[Total Hours]])/60+SECOND(Tabel1[[#This Row],[Total Hours]])/3600</f>
        <v>0</v>
      </c>
      <c r="P217" s="6">
        <f>Tabel1[[#This Row],[End Time]]+(Tabel1[[#This Row],[End Time]]&lt;Tabel1[[#This Row],[Start time]])</f>
        <v>0</v>
      </c>
      <c r="Q217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18" spans="1:17" x14ac:dyDescent="0.35">
      <c r="A218" s="32"/>
      <c r="B218" s="32">
        <f t="shared" si="3"/>
        <v>211</v>
      </c>
      <c r="C218" s="32" t="str">
        <f>IFERROR(VLOOKUP(Tabel1[[#This Row],[Model]],Tableau2[[Model]:[Parking Number]],2,FALSE)," ")</f>
        <v xml:space="preserve"> </v>
      </c>
      <c r="D218" s="35"/>
      <c r="E218" s="32" t="str">
        <f>IF(Tabel1[[#This Row],[Model]]="", "",INDEX(Tableau2[Equipment Type],MATCH(Tabel1[[#This Row],[Model]],Tableau2[Model],0)))</f>
        <v/>
      </c>
      <c r="G218" s="4" t="str">
        <f>IF(Tabel1[[#This Row],[Model]]="", "",INDEX(Tableau2[Equipment],MATCH(Tabel1[[#This Row],[Model]],Tableau2[Model],0)))</f>
        <v/>
      </c>
      <c r="I218" s="10"/>
      <c r="K218" s="9"/>
      <c r="L218" s="9"/>
      <c r="M218" s="9"/>
      <c r="N21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18" s="30">
        <f>HOUR(Tabel1[[#This Row],[Total Hours]])+MINUTE(Tabel1[[#This Row],[Total Hours]])/60+SECOND(Tabel1[[#This Row],[Total Hours]])/3600</f>
        <v>0</v>
      </c>
      <c r="P218" s="6">
        <f>Tabel1[[#This Row],[End Time]]+(Tabel1[[#This Row],[End Time]]&lt;Tabel1[[#This Row],[Start time]])</f>
        <v>0</v>
      </c>
      <c r="Q218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19" spans="1:17" x14ac:dyDescent="0.35">
      <c r="A219" s="32"/>
      <c r="B219" s="32">
        <f t="shared" si="3"/>
        <v>212</v>
      </c>
      <c r="C219" s="32" t="str">
        <f>IFERROR(VLOOKUP(Tabel1[[#This Row],[Model]],Tableau2[[Model]:[Parking Number]],2,FALSE)," ")</f>
        <v xml:space="preserve"> </v>
      </c>
      <c r="D219" s="35"/>
      <c r="E219" s="32" t="str">
        <f>IF(Tabel1[[#This Row],[Model]]="", "",INDEX(Tableau2[Equipment Type],MATCH(Tabel1[[#This Row],[Model]],Tableau2[Model],0)))</f>
        <v/>
      </c>
      <c r="G219" s="4" t="str">
        <f>IF(Tabel1[[#This Row],[Model]]="", "",INDEX(Tableau2[Equipment],MATCH(Tabel1[[#This Row],[Model]],Tableau2[Model],0)))</f>
        <v/>
      </c>
      <c r="I219" s="10"/>
      <c r="K219" s="9"/>
      <c r="L219" s="9"/>
      <c r="M219" s="9"/>
      <c r="N21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19" s="30">
        <f>HOUR(Tabel1[[#This Row],[Total Hours]])+MINUTE(Tabel1[[#This Row],[Total Hours]])/60+SECOND(Tabel1[[#This Row],[Total Hours]])/3600</f>
        <v>0</v>
      </c>
      <c r="P219" s="6">
        <f>Tabel1[[#This Row],[End Time]]+(Tabel1[[#This Row],[End Time]]&lt;Tabel1[[#This Row],[Start time]])</f>
        <v>0</v>
      </c>
      <c r="Q219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20" spans="1:17" x14ac:dyDescent="0.35">
      <c r="A220" s="32"/>
      <c r="B220" s="32">
        <f t="shared" si="3"/>
        <v>213</v>
      </c>
      <c r="C220" s="32" t="str">
        <f>IFERROR(VLOOKUP(Tabel1[[#This Row],[Model]],Tableau2[[Model]:[Parking Number]],2,FALSE)," ")</f>
        <v xml:space="preserve"> </v>
      </c>
      <c r="D220" s="35"/>
      <c r="E220" s="32" t="str">
        <f>IF(Tabel1[[#This Row],[Model]]="", "",INDEX(Tableau2[Equipment Type],MATCH(Tabel1[[#This Row],[Model]],Tableau2[Model],0)))</f>
        <v/>
      </c>
      <c r="G220" s="4" t="str">
        <f>IF(Tabel1[[#This Row],[Model]]="", "",INDEX(Tableau2[Equipment],MATCH(Tabel1[[#This Row],[Model]],Tableau2[Model],0)))</f>
        <v/>
      </c>
      <c r="I220" s="10"/>
      <c r="K220" s="9"/>
      <c r="L220" s="9"/>
      <c r="M220" s="9"/>
      <c r="N22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20" s="30">
        <f>HOUR(Tabel1[[#This Row],[Total Hours]])+MINUTE(Tabel1[[#This Row],[Total Hours]])/60+SECOND(Tabel1[[#This Row],[Total Hours]])/3600</f>
        <v>0</v>
      </c>
      <c r="P220" s="6">
        <f>Tabel1[[#This Row],[End Time]]+(Tabel1[[#This Row],[End Time]]&lt;Tabel1[[#This Row],[Start time]])</f>
        <v>0</v>
      </c>
      <c r="Q220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21" spans="1:17" x14ac:dyDescent="0.35">
      <c r="A221" s="32"/>
      <c r="B221" s="32">
        <f t="shared" si="3"/>
        <v>214</v>
      </c>
      <c r="C221" s="32" t="str">
        <f>IFERROR(VLOOKUP(Tabel1[[#This Row],[Model]],Tableau2[[Model]:[Parking Number]],2,FALSE)," ")</f>
        <v xml:space="preserve"> </v>
      </c>
      <c r="D221" s="35"/>
      <c r="E221" s="32" t="str">
        <f>IF(Tabel1[[#This Row],[Model]]="", "",INDEX(Tableau2[Equipment Type],MATCH(Tabel1[[#This Row],[Model]],Tableau2[Model],0)))</f>
        <v/>
      </c>
      <c r="G221" s="4" t="str">
        <f>IF(Tabel1[[#This Row],[Model]]="", "",INDEX(Tableau2[Equipment],MATCH(Tabel1[[#This Row],[Model]],Tableau2[Model],0)))</f>
        <v/>
      </c>
      <c r="I221" s="10"/>
      <c r="K221" s="9"/>
      <c r="L221" s="9"/>
      <c r="M221" s="9"/>
      <c r="N22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21" s="30">
        <f>HOUR(Tabel1[[#This Row],[Total Hours]])+MINUTE(Tabel1[[#This Row],[Total Hours]])/60+SECOND(Tabel1[[#This Row],[Total Hours]])/3600</f>
        <v>0</v>
      </c>
      <c r="P221" s="6">
        <f>Tabel1[[#This Row],[End Time]]+(Tabel1[[#This Row],[End Time]]&lt;Tabel1[[#This Row],[Start time]])</f>
        <v>0</v>
      </c>
      <c r="Q221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22" spans="1:17" x14ac:dyDescent="0.35">
      <c r="A222" s="32"/>
      <c r="B222" s="32">
        <f t="shared" si="3"/>
        <v>215</v>
      </c>
      <c r="C222" s="32" t="str">
        <f>IFERROR(VLOOKUP(Tabel1[[#This Row],[Model]],Tableau2[[Model]:[Parking Number]],2,FALSE)," ")</f>
        <v xml:space="preserve"> </v>
      </c>
      <c r="D222" s="35"/>
      <c r="E222" s="32" t="str">
        <f>IF(Tabel1[[#This Row],[Model]]="", "",INDEX(Tableau2[Equipment Type],MATCH(Tabel1[[#This Row],[Model]],Tableau2[Model],0)))</f>
        <v/>
      </c>
      <c r="G222" s="4" t="str">
        <f>IF(Tabel1[[#This Row],[Model]]="", "",INDEX(Tableau2[Equipment],MATCH(Tabel1[[#This Row],[Model]],Tableau2[Model],0)))</f>
        <v/>
      </c>
      <c r="I222" s="10"/>
      <c r="K222" s="9"/>
      <c r="L222" s="9"/>
      <c r="M222" s="9"/>
      <c r="N22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22" s="30">
        <f>HOUR(Tabel1[[#This Row],[Total Hours]])+MINUTE(Tabel1[[#This Row],[Total Hours]])/60+SECOND(Tabel1[[#This Row],[Total Hours]])/3600</f>
        <v>0</v>
      </c>
      <c r="P222" s="6">
        <f>Tabel1[[#This Row],[End Time]]+(Tabel1[[#This Row],[End Time]]&lt;Tabel1[[#This Row],[Start time]])</f>
        <v>0</v>
      </c>
      <c r="Q222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23" spans="1:17" x14ac:dyDescent="0.35">
      <c r="A223" s="32"/>
      <c r="B223" s="32">
        <f t="shared" si="3"/>
        <v>216</v>
      </c>
      <c r="C223" s="32" t="str">
        <f>IFERROR(VLOOKUP(Tabel1[[#This Row],[Model]],Tableau2[[Model]:[Parking Number]],2,FALSE)," ")</f>
        <v xml:space="preserve"> </v>
      </c>
      <c r="D223" s="35"/>
      <c r="E223" s="32" t="str">
        <f>IF(Tabel1[[#This Row],[Model]]="", "",INDEX(Tableau2[Equipment Type],MATCH(Tabel1[[#This Row],[Model]],Tableau2[Model],0)))</f>
        <v/>
      </c>
      <c r="G223" s="4" t="str">
        <f>IF(Tabel1[[#This Row],[Model]]="", "",INDEX(Tableau2[Equipment],MATCH(Tabel1[[#This Row],[Model]],Tableau2[Model],0)))</f>
        <v/>
      </c>
      <c r="I223" s="10"/>
      <c r="K223" s="9"/>
      <c r="L223" s="9"/>
      <c r="M223" s="9"/>
      <c r="N22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23" s="30">
        <f>HOUR(Tabel1[[#This Row],[Total Hours]])+MINUTE(Tabel1[[#This Row],[Total Hours]])/60+SECOND(Tabel1[[#This Row],[Total Hours]])/3600</f>
        <v>0</v>
      </c>
      <c r="P223" s="6">
        <f>Tabel1[[#This Row],[End Time]]+(Tabel1[[#This Row],[End Time]]&lt;Tabel1[[#This Row],[Start time]])</f>
        <v>0</v>
      </c>
      <c r="Q223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24" spans="1:17" x14ac:dyDescent="0.35">
      <c r="A224" s="32"/>
      <c r="B224" s="32">
        <f t="shared" si="3"/>
        <v>217</v>
      </c>
      <c r="C224" s="32" t="str">
        <f>IFERROR(VLOOKUP(Tabel1[[#This Row],[Model]],Tableau2[[Model]:[Parking Number]],2,FALSE)," ")</f>
        <v xml:space="preserve"> </v>
      </c>
      <c r="D224" s="35"/>
      <c r="E224" s="32" t="str">
        <f>IF(Tabel1[[#This Row],[Model]]="", "",INDEX(Tableau2[Equipment Type],MATCH(Tabel1[[#This Row],[Model]],Tableau2[Model],0)))</f>
        <v/>
      </c>
      <c r="G224" s="4" t="str">
        <f>IF(Tabel1[[#This Row],[Model]]="", "",INDEX(Tableau2[Equipment],MATCH(Tabel1[[#This Row],[Model]],Tableau2[Model],0)))</f>
        <v/>
      </c>
      <c r="I224" s="10"/>
      <c r="K224" s="9"/>
      <c r="L224" s="9"/>
      <c r="M224" s="9"/>
      <c r="N22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24" s="30">
        <f>HOUR(Tabel1[[#This Row],[Total Hours]])+MINUTE(Tabel1[[#This Row],[Total Hours]])/60+SECOND(Tabel1[[#This Row],[Total Hours]])/3600</f>
        <v>0</v>
      </c>
      <c r="P224" s="6">
        <f>Tabel1[[#This Row],[End Time]]+(Tabel1[[#This Row],[End Time]]&lt;Tabel1[[#This Row],[Start time]])</f>
        <v>0</v>
      </c>
      <c r="Q224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25" spans="1:17" x14ac:dyDescent="0.35">
      <c r="A225" s="32"/>
      <c r="B225" s="32">
        <f t="shared" si="3"/>
        <v>218</v>
      </c>
      <c r="C225" s="32" t="str">
        <f>IFERROR(VLOOKUP(Tabel1[[#This Row],[Model]],Tableau2[[Model]:[Parking Number]],2,FALSE)," ")</f>
        <v xml:space="preserve"> </v>
      </c>
      <c r="D225" s="35"/>
      <c r="E225" s="32" t="str">
        <f>IF(Tabel1[[#This Row],[Model]]="", "",INDEX(Tableau2[Equipment Type],MATCH(Tabel1[[#This Row],[Model]],Tableau2[Model],0)))</f>
        <v/>
      </c>
      <c r="G225" s="4" t="str">
        <f>IF(Tabel1[[#This Row],[Model]]="", "",INDEX(Tableau2[Equipment],MATCH(Tabel1[[#This Row],[Model]],Tableau2[Model],0)))</f>
        <v/>
      </c>
      <c r="I225" s="10"/>
      <c r="K225" s="9"/>
      <c r="L225" s="9"/>
      <c r="M225" s="9"/>
      <c r="N22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25" s="30">
        <f>HOUR(Tabel1[[#This Row],[Total Hours]])+MINUTE(Tabel1[[#This Row],[Total Hours]])/60+SECOND(Tabel1[[#This Row],[Total Hours]])/3600</f>
        <v>0</v>
      </c>
      <c r="P225" s="6">
        <f>Tabel1[[#This Row],[End Time]]+(Tabel1[[#This Row],[End Time]]&lt;Tabel1[[#This Row],[Start time]])</f>
        <v>0</v>
      </c>
      <c r="Q225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26" spans="1:17" x14ac:dyDescent="0.35">
      <c r="A226" s="32"/>
      <c r="B226" s="32">
        <f t="shared" si="3"/>
        <v>219</v>
      </c>
      <c r="C226" s="32" t="str">
        <f>IFERROR(VLOOKUP(Tabel1[[#This Row],[Model]],Tableau2[[Model]:[Parking Number]],2,FALSE)," ")</f>
        <v xml:space="preserve"> </v>
      </c>
      <c r="D226" s="35"/>
      <c r="E226" s="32" t="str">
        <f>IF(Tabel1[[#This Row],[Model]]="", "",INDEX(Tableau2[Equipment Type],MATCH(Tabel1[[#This Row],[Model]],Tableau2[Model],0)))</f>
        <v/>
      </c>
      <c r="G226" s="4" t="str">
        <f>IF(Tabel1[[#This Row],[Model]]="", "",INDEX(Tableau2[Equipment],MATCH(Tabel1[[#This Row],[Model]],Tableau2[Model],0)))</f>
        <v/>
      </c>
      <c r="I226" s="10"/>
      <c r="K226" s="9"/>
      <c r="L226" s="9"/>
      <c r="M226" s="9"/>
      <c r="N22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26" s="30">
        <f>HOUR(Tabel1[[#This Row],[Total Hours]])+MINUTE(Tabel1[[#This Row],[Total Hours]])/60+SECOND(Tabel1[[#This Row],[Total Hours]])/3600</f>
        <v>0</v>
      </c>
      <c r="P226" s="6">
        <f>Tabel1[[#This Row],[End Time]]+(Tabel1[[#This Row],[End Time]]&lt;Tabel1[[#This Row],[Start time]])</f>
        <v>0</v>
      </c>
      <c r="Q226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27" spans="1:17" x14ac:dyDescent="0.35">
      <c r="A227" s="32"/>
      <c r="B227" s="32">
        <f t="shared" si="3"/>
        <v>220</v>
      </c>
      <c r="C227" s="32" t="str">
        <f>IFERROR(VLOOKUP(Tabel1[[#This Row],[Model]],Tableau2[[Model]:[Parking Number]],2,FALSE)," ")</f>
        <v xml:space="preserve"> </v>
      </c>
      <c r="D227" s="35"/>
      <c r="E227" s="32" t="str">
        <f>IF(Tabel1[[#This Row],[Model]]="", "",INDEX(Tableau2[Equipment Type],MATCH(Tabel1[[#This Row],[Model]],Tableau2[Model],0)))</f>
        <v/>
      </c>
      <c r="G227" s="4" t="str">
        <f>IF(Tabel1[[#This Row],[Model]]="", "",INDEX(Tableau2[Equipment],MATCH(Tabel1[[#This Row],[Model]],Tableau2[Model],0)))</f>
        <v/>
      </c>
      <c r="I227" s="10"/>
      <c r="K227" s="9"/>
      <c r="L227" s="9"/>
      <c r="M227" s="9"/>
      <c r="N22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27" s="30">
        <f>HOUR(Tabel1[[#This Row],[Total Hours]])+MINUTE(Tabel1[[#This Row],[Total Hours]])/60+SECOND(Tabel1[[#This Row],[Total Hours]])/3600</f>
        <v>0</v>
      </c>
      <c r="P227" s="6">
        <f>Tabel1[[#This Row],[End Time]]+(Tabel1[[#This Row],[End Time]]&lt;Tabel1[[#This Row],[Start time]])</f>
        <v>0</v>
      </c>
      <c r="Q227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28" spans="1:17" x14ac:dyDescent="0.35">
      <c r="A228" s="32"/>
      <c r="B228" s="32">
        <f t="shared" si="3"/>
        <v>221</v>
      </c>
      <c r="C228" s="32" t="str">
        <f>IFERROR(VLOOKUP(Tabel1[[#This Row],[Model]],Tableau2[[Model]:[Parking Number]],2,FALSE)," ")</f>
        <v xml:space="preserve"> </v>
      </c>
      <c r="D228" s="35"/>
      <c r="E228" s="32" t="str">
        <f>IF(Tabel1[[#This Row],[Model]]="", "",INDEX(Tableau2[Equipment Type],MATCH(Tabel1[[#This Row],[Model]],Tableau2[Model],0)))</f>
        <v/>
      </c>
      <c r="G228" s="4" t="str">
        <f>IF(Tabel1[[#This Row],[Model]]="", "",INDEX(Tableau2[Equipment],MATCH(Tabel1[[#This Row],[Model]],Tableau2[Model],0)))</f>
        <v/>
      </c>
      <c r="I228" s="10"/>
      <c r="K228" s="9"/>
      <c r="L228" s="9"/>
      <c r="M228" s="9"/>
      <c r="N22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28" s="30">
        <f>HOUR(Tabel1[[#This Row],[Total Hours]])+MINUTE(Tabel1[[#This Row],[Total Hours]])/60+SECOND(Tabel1[[#This Row],[Total Hours]])/3600</f>
        <v>0</v>
      </c>
      <c r="P228" s="6">
        <f>Tabel1[[#This Row],[End Time]]+(Tabel1[[#This Row],[End Time]]&lt;Tabel1[[#This Row],[Start time]])</f>
        <v>0</v>
      </c>
      <c r="Q228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29" spans="1:17" x14ac:dyDescent="0.35">
      <c r="A229" s="32"/>
      <c r="B229" s="32">
        <f t="shared" si="3"/>
        <v>222</v>
      </c>
      <c r="C229" s="32" t="str">
        <f>IFERROR(VLOOKUP(Tabel1[[#This Row],[Model]],Tableau2[[Model]:[Parking Number]],2,FALSE)," ")</f>
        <v xml:space="preserve"> </v>
      </c>
      <c r="D229" s="35"/>
      <c r="E229" s="32" t="str">
        <f>IF(Tabel1[[#This Row],[Model]]="", "",INDEX(Tableau2[Equipment Type],MATCH(Tabel1[[#This Row],[Model]],Tableau2[Model],0)))</f>
        <v/>
      </c>
      <c r="G229" s="4" t="str">
        <f>IF(Tabel1[[#This Row],[Model]]="", "",INDEX(Tableau2[Equipment],MATCH(Tabel1[[#This Row],[Model]],Tableau2[Model],0)))</f>
        <v/>
      </c>
      <c r="I229" s="10"/>
      <c r="K229" s="9"/>
      <c r="L229" s="9"/>
      <c r="M229" s="9"/>
      <c r="N22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29" s="30">
        <f>HOUR(Tabel1[[#This Row],[Total Hours]])+MINUTE(Tabel1[[#This Row],[Total Hours]])/60+SECOND(Tabel1[[#This Row],[Total Hours]])/3600</f>
        <v>0</v>
      </c>
      <c r="P229" s="6">
        <f>Tabel1[[#This Row],[End Time]]+(Tabel1[[#This Row],[End Time]]&lt;Tabel1[[#This Row],[Start time]])</f>
        <v>0</v>
      </c>
      <c r="Q229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30" spans="1:17" x14ac:dyDescent="0.35">
      <c r="A230" s="32"/>
      <c r="B230" s="32">
        <f t="shared" si="3"/>
        <v>223</v>
      </c>
      <c r="C230" s="32" t="str">
        <f>IFERROR(VLOOKUP(Tabel1[[#This Row],[Model]],Tableau2[[Model]:[Parking Number]],2,FALSE)," ")</f>
        <v xml:space="preserve"> </v>
      </c>
      <c r="D230" s="35"/>
      <c r="E230" s="32" t="str">
        <f>IF(Tabel1[[#This Row],[Model]]="", "",INDEX(Tableau2[Equipment Type],MATCH(Tabel1[[#This Row],[Model]],Tableau2[Model],0)))</f>
        <v/>
      </c>
      <c r="G230" s="4" t="str">
        <f>IF(Tabel1[[#This Row],[Model]]="", "",INDEX(Tableau2[Equipment],MATCH(Tabel1[[#This Row],[Model]],Tableau2[Model],0)))</f>
        <v/>
      </c>
      <c r="I230" s="10"/>
      <c r="K230" s="9"/>
      <c r="L230" s="9"/>
      <c r="M230" s="9"/>
      <c r="N23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30" s="30">
        <f>HOUR(Tabel1[[#This Row],[Total Hours]])+MINUTE(Tabel1[[#This Row],[Total Hours]])/60+SECOND(Tabel1[[#This Row],[Total Hours]])/3600</f>
        <v>0</v>
      </c>
      <c r="P230" s="6">
        <f>Tabel1[[#This Row],[End Time]]+(Tabel1[[#This Row],[End Time]]&lt;Tabel1[[#This Row],[Start time]])</f>
        <v>0</v>
      </c>
      <c r="Q230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31" spans="1:17" x14ac:dyDescent="0.35">
      <c r="A231" s="32"/>
      <c r="B231" s="32">
        <f t="shared" si="3"/>
        <v>224</v>
      </c>
      <c r="C231" s="32" t="str">
        <f>IFERROR(VLOOKUP(Tabel1[[#This Row],[Model]],Tableau2[[Model]:[Parking Number]],2,FALSE)," ")</f>
        <v xml:space="preserve"> </v>
      </c>
      <c r="D231" s="35"/>
      <c r="E231" s="32" t="str">
        <f>IF(Tabel1[[#This Row],[Model]]="", "",INDEX(Tableau2[Equipment Type],MATCH(Tabel1[[#This Row],[Model]],Tableau2[Model],0)))</f>
        <v/>
      </c>
      <c r="G231" s="4" t="str">
        <f>IF(Tabel1[[#This Row],[Model]]="", "",INDEX(Tableau2[Equipment],MATCH(Tabel1[[#This Row],[Model]],Tableau2[Model],0)))</f>
        <v/>
      </c>
      <c r="I231" s="10"/>
      <c r="K231" s="9"/>
      <c r="L231" s="9"/>
      <c r="M231" s="9"/>
      <c r="N23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31" s="30">
        <f>HOUR(Tabel1[[#This Row],[Total Hours]])+MINUTE(Tabel1[[#This Row],[Total Hours]])/60+SECOND(Tabel1[[#This Row],[Total Hours]])/3600</f>
        <v>0</v>
      </c>
      <c r="P231" s="6">
        <f>Tabel1[[#This Row],[End Time]]+(Tabel1[[#This Row],[End Time]]&lt;Tabel1[[#This Row],[Start time]])</f>
        <v>0</v>
      </c>
      <c r="Q231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32" spans="1:17" x14ac:dyDescent="0.35">
      <c r="A232" s="32"/>
      <c r="B232" s="32">
        <f t="shared" si="3"/>
        <v>225</v>
      </c>
      <c r="C232" s="32" t="str">
        <f>IFERROR(VLOOKUP(Tabel1[[#This Row],[Model]],Tableau2[[Model]:[Parking Number]],2,FALSE)," ")</f>
        <v xml:space="preserve"> </v>
      </c>
      <c r="D232" s="35"/>
      <c r="E232" s="32" t="str">
        <f>IF(Tabel1[[#This Row],[Model]]="", "",INDEX(Tableau2[Equipment Type],MATCH(Tabel1[[#This Row],[Model]],Tableau2[Model],0)))</f>
        <v/>
      </c>
      <c r="G232" s="4" t="str">
        <f>IF(Tabel1[[#This Row],[Model]]="", "",INDEX(Tableau2[Equipment],MATCH(Tabel1[[#This Row],[Model]],Tableau2[Model],0)))</f>
        <v/>
      </c>
      <c r="I232" s="10"/>
      <c r="K232" s="9"/>
      <c r="L232" s="9"/>
      <c r="M232" s="9"/>
      <c r="N23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32" s="30">
        <f>HOUR(Tabel1[[#This Row],[Total Hours]])+MINUTE(Tabel1[[#This Row],[Total Hours]])/60+SECOND(Tabel1[[#This Row],[Total Hours]])/3600</f>
        <v>0</v>
      </c>
      <c r="P232" s="6">
        <f>Tabel1[[#This Row],[End Time]]+(Tabel1[[#This Row],[End Time]]&lt;Tabel1[[#This Row],[Start time]])</f>
        <v>0</v>
      </c>
      <c r="Q232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33" spans="1:17" x14ac:dyDescent="0.35">
      <c r="A233" s="32"/>
      <c r="B233" s="32">
        <f t="shared" si="3"/>
        <v>226</v>
      </c>
      <c r="C233" s="32" t="str">
        <f>IFERROR(VLOOKUP(Tabel1[[#This Row],[Model]],Tableau2[[Model]:[Parking Number]],2,FALSE)," ")</f>
        <v xml:space="preserve"> </v>
      </c>
      <c r="D233" s="35"/>
      <c r="E233" s="32" t="str">
        <f>IF(Tabel1[[#This Row],[Model]]="", "",INDEX(Tableau2[Equipment Type],MATCH(Tabel1[[#This Row],[Model]],Tableau2[Model],0)))</f>
        <v/>
      </c>
      <c r="G233" s="4" t="str">
        <f>IF(Tabel1[[#This Row],[Model]]="", "",INDEX(Tableau2[Equipment],MATCH(Tabel1[[#This Row],[Model]],Tableau2[Model],0)))</f>
        <v/>
      </c>
      <c r="I233" s="10"/>
      <c r="K233" s="9"/>
      <c r="L233" s="9"/>
      <c r="M233" s="9"/>
      <c r="N23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33" s="30">
        <f>HOUR(Tabel1[[#This Row],[Total Hours]])+MINUTE(Tabel1[[#This Row],[Total Hours]])/60+SECOND(Tabel1[[#This Row],[Total Hours]])/3600</f>
        <v>0</v>
      </c>
      <c r="P233" s="6">
        <f>Tabel1[[#This Row],[End Time]]+(Tabel1[[#This Row],[End Time]]&lt;Tabel1[[#This Row],[Start time]])</f>
        <v>0</v>
      </c>
      <c r="Q233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34" spans="1:17" x14ac:dyDescent="0.35">
      <c r="A234" s="32"/>
      <c r="B234" s="32">
        <f t="shared" si="3"/>
        <v>227</v>
      </c>
      <c r="C234" s="32" t="str">
        <f>IFERROR(VLOOKUP(Tabel1[[#This Row],[Model]],Tableau2[[Model]:[Parking Number]],2,FALSE)," ")</f>
        <v xml:space="preserve"> </v>
      </c>
      <c r="D234" s="35"/>
      <c r="E234" s="32" t="str">
        <f>IF(Tabel1[[#This Row],[Model]]="", "",INDEX(Tableau2[Equipment Type],MATCH(Tabel1[[#This Row],[Model]],Tableau2[Model],0)))</f>
        <v/>
      </c>
      <c r="G234" s="4" t="str">
        <f>IF(Tabel1[[#This Row],[Model]]="", "",INDEX(Tableau2[Equipment],MATCH(Tabel1[[#This Row],[Model]],Tableau2[Model],0)))</f>
        <v/>
      </c>
      <c r="I234" s="10"/>
      <c r="K234" s="9"/>
      <c r="L234" s="9"/>
      <c r="M234" s="9"/>
      <c r="N23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34" s="30">
        <f>HOUR(Tabel1[[#This Row],[Total Hours]])+MINUTE(Tabel1[[#This Row],[Total Hours]])/60+SECOND(Tabel1[[#This Row],[Total Hours]])/3600</f>
        <v>0</v>
      </c>
      <c r="P234" s="6">
        <f>Tabel1[[#This Row],[End Time]]+(Tabel1[[#This Row],[End Time]]&lt;Tabel1[[#This Row],[Start time]])</f>
        <v>0</v>
      </c>
      <c r="Q234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35" spans="1:17" x14ac:dyDescent="0.35">
      <c r="A235" s="32"/>
      <c r="B235" s="32">
        <f t="shared" si="3"/>
        <v>228</v>
      </c>
      <c r="C235" s="32" t="str">
        <f>IFERROR(VLOOKUP(Tabel1[[#This Row],[Model]],Tableau2[[Model]:[Parking Number]],2,FALSE)," ")</f>
        <v xml:space="preserve"> </v>
      </c>
      <c r="D235" s="35"/>
      <c r="E235" s="32" t="str">
        <f>IF(Tabel1[[#This Row],[Model]]="", "",INDEX(Tableau2[Equipment Type],MATCH(Tabel1[[#This Row],[Model]],Tableau2[Model],0)))</f>
        <v/>
      </c>
      <c r="G235" s="4" t="str">
        <f>IF(Tabel1[[#This Row],[Model]]="", "",INDEX(Tableau2[Equipment],MATCH(Tabel1[[#This Row],[Model]],Tableau2[Model],0)))</f>
        <v/>
      </c>
      <c r="I235" s="10"/>
      <c r="K235" s="9"/>
      <c r="L235" s="9"/>
      <c r="M235" s="9"/>
      <c r="N23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35" s="30">
        <f>HOUR(Tabel1[[#This Row],[Total Hours]])+MINUTE(Tabel1[[#This Row],[Total Hours]])/60+SECOND(Tabel1[[#This Row],[Total Hours]])/3600</f>
        <v>0</v>
      </c>
      <c r="P235" s="6">
        <f>Tabel1[[#This Row],[End Time]]+(Tabel1[[#This Row],[End Time]]&lt;Tabel1[[#This Row],[Start time]])</f>
        <v>0</v>
      </c>
      <c r="Q235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36" spans="1:17" x14ac:dyDescent="0.35">
      <c r="A236" s="32"/>
      <c r="B236" s="32">
        <f t="shared" si="3"/>
        <v>229</v>
      </c>
      <c r="C236" s="32" t="str">
        <f>IFERROR(VLOOKUP(Tabel1[[#This Row],[Model]],Tableau2[[Model]:[Parking Number]],2,FALSE)," ")</f>
        <v xml:space="preserve"> </v>
      </c>
      <c r="D236" s="35"/>
      <c r="E236" s="32" t="str">
        <f>IF(Tabel1[[#This Row],[Model]]="", "",INDEX(Tableau2[Equipment Type],MATCH(Tabel1[[#This Row],[Model]],Tableau2[Model],0)))</f>
        <v/>
      </c>
      <c r="G236" s="4" t="str">
        <f>IF(Tabel1[[#This Row],[Model]]="", "",INDEX(Tableau2[Equipment],MATCH(Tabel1[[#This Row],[Model]],Tableau2[Model],0)))</f>
        <v/>
      </c>
      <c r="I236" s="10"/>
      <c r="K236" s="9"/>
      <c r="L236" s="9"/>
      <c r="M236" s="9"/>
      <c r="N23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36" s="30">
        <f>HOUR(Tabel1[[#This Row],[Total Hours]])+MINUTE(Tabel1[[#This Row],[Total Hours]])/60+SECOND(Tabel1[[#This Row],[Total Hours]])/3600</f>
        <v>0</v>
      </c>
      <c r="P236" s="6">
        <f>Tabel1[[#This Row],[End Time]]+(Tabel1[[#This Row],[End Time]]&lt;Tabel1[[#This Row],[Start time]])</f>
        <v>0</v>
      </c>
      <c r="Q236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37" spans="1:17" x14ac:dyDescent="0.35">
      <c r="A237" s="32"/>
      <c r="B237" s="32">
        <f t="shared" si="3"/>
        <v>230</v>
      </c>
      <c r="C237" s="32" t="str">
        <f>IFERROR(VLOOKUP(Tabel1[[#This Row],[Model]],Tableau2[[Model]:[Parking Number]],2,FALSE)," ")</f>
        <v xml:space="preserve"> </v>
      </c>
      <c r="D237" s="35"/>
      <c r="E237" s="32" t="str">
        <f>IF(Tabel1[[#This Row],[Model]]="", "",INDEX(Tableau2[Equipment Type],MATCH(Tabel1[[#This Row],[Model]],Tableau2[Model],0)))</f>
        <v/>
      </c>
      <c r="G237" s="4" t="str">
        <f>IF(Tabel1[[#This Row],[Model]]="", "",INDEX(Tableau2[Equipment],MATCH(Tabel1[[#This Row],[Model]],Tableau2[Model],0)))</f>
        <v/>
      </c>
      <c r="I237" s="10"/>
      <c r="K237" s="9"/>
      <c r="L237" s="9"/>
      <c r="M237" s="9"/>
      <c r="N23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37" s="30">
        <f>HOUR(Tabel1[[#This Row],[Total Hours]])+MINUTE(Tabel1[[#This Row],[Total Hours]])/60+SECOND(Tabel1[[#This Row],[Total Hours]])/3600</f>
        <v>0</v>
      </c>
      <c r="P237" s="6">
        <f>Tabel1[[#This Row],[End Time]]+(Tabel1[[#This Row],[End Time]]&lt;Tabel1[[#This Row],[Start time]])</f>
        <v>0</v>
      </c>
      <c r="Q237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38" spans="1:17" x14ac:dyDescent="0.35">
      <c r="A238" s="32"/>
      <c r="B238" s="32">
        <f t="shared" si="3"/>
        <v>231</v>
      </c>
      <c r="C238" s="32" t="str">
        <f>IFERROR(VLOOKUP(Tabel1[[#This Row],[Model]],Tableau2[[Model]:[Parking Number]],2,FALSE)," ")</f>
        <v xml:space="preserve"> </v>
      </c>
      <c r="D238" s="35"/>
      <c r="E238" s="32" t="str">
        <f>IF(Tabel1[[#This Row],[Model]]="", "",INDEX(Tableau2[Equipment Type],MATCH(Tabel1[[#This Row],[Model]],Tableau2[Model],0)))</f>
        <v/>
      </c>
      <c r="G238" s="4" t="str">
        <f>IF(Tabel1[[#This Row],[Model]]="", "",INDEX(Tableau2[Equipment],MATCH(Tabel1[[#This Row],[Model]],Tableau2[Model],0)))</f>
        <v/>
      </c>
      <c r="I238" s="10"/>
      <c r="K238" s="9"/>
      <c r="L238" s="9"/>
      <c r="M238" s="9"/>
      <c r="N23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38" s="30">
        <f>HOUR(Tabel1[[#This Row],[Total Hours]])+MINUTE(Tabel1[[#This Row],[Total Hours]])/60+SECOND(Tabel1[[#This Row],[Total Hours]])/3600</f>
        <v>0</v>
      </c>
      <c r="P238" s="6">
        <f>Tabel1[[#This Row],[End Time]]+(Tabel1[[#This Row],[End Time]]&lt;Tabel1[[#This Row],[Start time]])</f>
        <v>0</v>
      </c>
      <c r="Q238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39" spans="1:17" x14ac:dyDescent="0.35">
      <c r="A239" s="32"/>
      <c r="B239" s="32">
        <f t="shared" si="3"/>
        <v>232</v>
      </c>
      <c r="C239" s="32" t="str">
        <f>IFERROR(VLOOKUP(Tabel1[[#This Row],[Model]],Tableau2[[Model]:[Parking Number]],2,FALSE)," ")</f>
        <v xml:space="preserve"> </v>
      </c>
      <c r="D239" s="35"/>
      <c r="E239" s="32" t="str">
        <f>IF(Tabel1[[#This Row],[Model]]="", "",INDEX(Tableau2[Equipment Type],MATCH(Tabel1[[#This Row],[Model]],Tableau2[Model],0)))</f>
        <v/>
      </c>
      <c r="G239" s="4" t="str">
        <f>IF(Tabel1[[#This Row],[Model]]="", "",INDEX(Tableau2[Equipment],MATCH(Tabel1[[#This Row],[Model]],Tableau2[Model],0)))</f>
        <v/>
      </c>
      <c r="I239" s="10"/>
      <c r="K239" s="9"/>
      <c r="L239" s="9"/>
      <c r="M239" s="9"/>
      <c r="N23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39" s="30">
        <f>HOUR(Tabel1[[#This Row],[Total Hours]])+MINUTE(Tabel1[[#This Row],[Total Hours]])/60+SECOND(Tabel1[[#This Row],[Total Hours]])/3600</f>
        <v>0</v>
      </c>
      <c r="P239" s="6">
        <f>Tabel1[[#This Row],[End Time]]+(Tabel1[[#This Row],[End Time]]&lt;Tabel1[[#This Row],[Start time]])</f>
        <v>0</v>
      </c>
      <c r="Q239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40" spans="1:17" x14ac:dyDescent="0.35">
      <c r="A240" s="32"/>
      <c r="B240" s="32">
        <f t="shared" si="3"/>
        <v>233</v>
      </c>
      <c r="C240" s="32" t="str">
        <f>IFERROR(VLOOKUP(Tabel1[[#This Row],[Model]],Tableau2[[Model]:[Parking Number]],2,FALSE)," ")</f>
        <v xml:space="preserve"> </v>
      </c>
      <c r="D240" s="35"/>
      <c r="E240" s="32" t="str">
        <f>IF(Tabel1[[#This Row],[Model]]="", "",INDEX(Tableau2[Equipment Type],MATCH(Tabel1[[#This Row],[Model]],Tableau2[Model],0)))</f>
        <v/>
      </c>
      <c r="G240" s="4" t="str">
        <f>IF(Tabel1[[#This Row],[Model]]="", "",INDEX(Tableau2[Equipment],MATCH(Tabel1[[#This Row],[Model]],Tableau2[Model],0)))</f>
        <v/>
      </c>
      <c r="I240" s="10"/>
      <c r="K240" s="9"/>
      <c r="L240" s="9"/>
      <c r="M240" s="9"/>
      <c r="N24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40" s="30">
        <f>HOUR(Tabel1[[#This Row],[Total Hours]])+MINUTE(Tabel1[[#This Row],[Total Hours]])/60+SECOND(Tabel1[[#This Row],[Total Hours]])/3600</f>
        <v>0</v>
      </c>
      <c r="P240" s="6">
        <f>Tabel1[[#This Row],[End Time]]+(Tabel1[[#This Row],[End Time]]&lt;Tabel1[[#This Row],[Start time]])</f>
        <v>0</v>
      </c>
      <c r="Q240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41" spans="1:17" x14ac:dyDescent="0.35">
      <c r="A241" s="32"/>
      <c r="B241" s="32">
        <f t="shared" si="3"/>
        <v>234</v>
      </c>
      <c r="C241" s="32" t="str">
        <f>IFERROR(VLOOKUP(Tabel1[[#This Row],[Model]],Tableau2[[Model]:[Parking Number]],2,FALSE)," ")</f>
        <v xml:space="preserve"> </v>
      </c>
      <c r="D241" s="35"/>
      <c r="E241" s="32" t="str">
        <f>IF(Tabel1[[#This Row],[Model]]="", "",INDEX(Tableau2[Equipment Type],MATCH(Tabel1[[#This Row],[Model]],Tableau2[Model],0)))</f>
        <v/>
      </c>
      <c r="G241" s="4" t="str">
        <f>IF(Tabel1[[#This Row],[Model]]="", "",INDEX(Tableau2[Equipment],MATCH(Tabel1[[#This Row],[Model]],Tableau2[Model],0)))</f>
        <v/>
      </c>
      <c r="I241" s="10"/>
      <c r="K241" s="9"/>
      <c r="L241" s="9"/>
      <c r="M241" s="9"/>
      <c r="N24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41" s="30">
        <f>HOUR(Tabel1[[#This Row],[Total Hours]])+MINUTE(Tabel1[[#This Row],[Total Hours]])/60+SECOND(Tabel1[[#This Row],[Total Hours]])/3600</f>
        <v>0</v>
      </c>
      <c r="P241" s="6">
        <f>Tabel1[[#This Row],[End Time]]+(Tabel1[[#This Row],[End Time]]&lt;Tabel1[[#This Row],[Start time]])</f>
        <v>0</v>
      </c>
      <c r="Q241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42" spans="1:17" x14ac:dyDescent="0.35">
      <c r="A242" s="32"/>
      <c r="B242" s="32">
        <f t="shared" si="3"/>
        <v>235</v>
      </c>
      <c r="C242" s="32" t="str">
        <f>IFERROR(VLOOKUP(Tabel1[[#This Row],[Model]],Tableau2[[Model]:[Parking Number]],2,FALSE)," ")</f>
        <v xml:space="preserve"> </v>
      </c>
      <c r="D242" s="35"/>
      <c r="E242" s="32" t="str">
        <f>IF(Tabel1[[#This Row],[Model]]="", "",INDEX(Tableau2[Equipment Type],MATCH(Tabel1[[#This Row],[Model]],Tableau2[Model],0)))</f>
        <v/>
      </c>
      <c r="G242" s="4" t="str">
        <f>IF(Tabel1[[#This Row],[Model]]="", "",INDEX(Tableau2[Equipment],MATCH(Tabel1[[#This Row],[Model]],Tableau2[Model],0)))</f>
        <v/>
      </c>
      <c r="I242" s="10"/>
      <c r="K242" s="9"/>
      <c r="L242" s="9"/>
      <c r="M242" s="9"/>
      <c r="N24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42" s="30">
        <f>HOUR(Tabel1[[#This Row],[Total Hours]])+MINUTE(Tabel1[[#This Row],[Total Hours]])/60+SECOND(Tabel1[[#This Row],[Total Hours]])/3600</f>
        <v>0</v>
      </c>
      <c r="P242" s="6">
        <f>Tabel1[[#This Row],[End Time]]+(Tabel1[[#This Row],[End Time]]&lt;Tabel1[[#This Row],[Start time]])</f>
        <v>0</v>
      </c>
      <c r="Q242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43" spans="1:17" x14ac:dyDescent="0.35">
      <c r="A243" s="32"/>
      <c r="B243" s="32">
        <f t="shared" si="3"/>
        <v>236</v>
      </c>
      <c r="C243" s="32" t="str">
        <f>IFERROR(VLOOKUP(Tabel1[[#This Row],[Model]],Tableau2[[Model]:[Parking Number]],2,FALSE)," ")</f>
        <v xml:space="preserve"> </v>
      </c>
      <c r="D243" s="35"/>
      <c r="E243" s="32" t="str">
        <f>IF(Tabel1[[#This Row],[Model]]="", "",INDEX(Tableau2[Equipment Type],MATCH(Tabel1[[#This Row],[Model]],Tableau2[Model],0)))</f>
        <v/>
      </c>
      <c r="G243" s="4" t="str">
        <f>IF(Tabel1[[#This Row],[Model]]="", "",INDEX(Tableau2[Equipment],MATCH(Tabel1[[#This Row],[Model]],Tableau2[Model],0)))</f>
        <v/>
      </c>
      <c r="I243" s="10"/>
      <c r="K243" s="9"/>
      <c r="L243" s="9"/>
      <c r="M243" s="9"/>
      <c r="N24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43" s="30">
        <f>HOUR(Tabel1[[#This Row],[Total Hours]])+MINUTE(Tabel1[[#This Row],[Total Hours]])/60+SECOND(Tabel1[[#This Row],[Total Hours]])/3600</f>
        <v>0</v>
      </c>
      <c r="P243" s="6">
        <f>Tabel1[[#This Row],[End Time]]+(Tabel1[[#This Row],[End Time]]&lt;Tabel1[[#This Row],[Start time]])</f>
        <v>0</v>
      </c>
      <c r="Q243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44" spans="1:17" x14ac:dyDescent="0.35">
      <c r="A244" s="32"/>
      <c r="B244" s="32">
        <f t="shared" si="3"/>
        <v>237</v>
      </c>
      <c r="C244" s="32" t="str">
        <f>IFERROR(VLOOKUP(Tabel1[[#This Row],[Model]],Tableau2[[Model]:[Parking Number]],2,FALSE)," ")</f>
        <v xml:space="preserve"> </v>
      </c>
      <c r="D244" s="35"/>
      <c r="E244" s="32" t="str">
        <f>IF(Tabel1[[#This Row],[Model]]="", "",INDEX(Tableau2[Equipment Type],MATCH(Tabel1[[#This Row],[Model]],Tableau2[Model],0)))</f>
        <v/>
      </c>
      <c r="G244" s="4" t="str">
        <f>IF(Tabel1[[#This Row],[Model]]="", "",INDEX(Tableau2[Equipment],MATCH(Tabel1[[#This Row],[Model]],Tableau2[Model],0)))</f>
        <v/>
      </c>
      <c r="I244" s="10"/>
      <c r="K244" s="9"/>
      <c r="L244" s="9"/>
      <c r="M244" s="9"/>
      <c r="N24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44" s="30">
        <f>HOUR(Tabel1[[#This Row],[Total Hours]])+MINUTE(Tabel1[[#This Row],[Total Hours]])/60+SECOND(Tabel1[[#This Row],[Total Hours]])/3600</f>
        <v>0</v>
      </c>
      <c r="P244" s="6">
        <f>Tabel1[[#This Row],[End Time]]+(Tabel1[[#This Row],[End Time]]&lt;Tabel1[[#This Row],[Start time]])</f>
        <v>0</v>
      </c>
      <c r="Q244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45" spans="1:17" x14ac:dyDescent="0.35">
      <c r="A245" s="32"/>
      <c r="B245" s="32">
        <f t="shared" si="3"/>
        <v>238</v>
      </c>
      <c r="C245" s="32" t="str">
        <f>IFERROR(VLOOKUP(Tabel1[[#This Row],[Model]],Tableau2[[Model]:[Parking Number]],2,FALSE)," ")</f>
        <v xml:space="preserve"> </v>
      </c>
      <c r="D245" s="35"/>
      <c r="E245" s="32" t="str">
        <f>IF(Tabel1[[#This Row],[Model]]="", "",INDEX(Tableau2[Equipment Type],MATCH(Tabel1[[#This Row],[Model]],Tableau2[Model],0)))</f>
        <v/>
      </c>
      <c r="G245" s="4" t="str">
        <f>IF(Tabel1[[#This Row],[Model]]="", "",INDEX(Tableau2[Equipment],MATCH(Tabel1[[#This Row],[Model]],Tableau2[Model],0)))</f>
        <v/>
      </c>
      <c r="I245" s="10"/>
      <c r="K245" s="9"/>
      <c r="L245" s="9"/>
      <c r="M245" s="9"/>
      <c r="N24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45" s="30">
        <f>HOUR(Tabel1[[#This Row],[Total Hours]])+MINUTE(Tabel1[[#This Row],[Total Hours]])/60+SECOND(Tabel1[[#This Row],[Total Hours]])/3600</f>
        <v>0</v>
      </c>
      <c r="P245" s="6">
        <f>Tabel1[[#This Row],[End Time]]+(Tabel1[[#This Row],[End Time]]&lt;Tabel1[[#This Row],[Start time]])</f>
        <v>0</v>
      </c>
      <c r="Q245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46" spans="1:17" x14ac:dyDescent="0.35">
      <c r="A246" s="32"/>
      <c r="B246" s="32">
        <f t="shared" si="3"/>
        <v>239</v>
      </c>
      <c r="C246" s="32" t="str">
        <f>IFERROR(VLOOKUP(Tabel1[[#This Row],[Model]],Tableau2[[Model]:[Parking Number]],2,FALSE)," ")</f>
        <v xml:space="preserve"> </v>
      </c>
      <c r="D246" s="35"/>
      <c r="E246" s="32" t="str">
        <f>IF(Tabel1[[#This Row],[Model]]="", "",INDEX(Tableau2[Equipment Type],MATCH(Tabel1[[#This Row],[Model]],Tableau2[Model],0)))</f>
        <v/>
      </c>
      <c r="G246" s="4" t="str">
        <f>IF(Tabel1[[#This Row],[Model]]="", "",INDEX(Tableau2[Equipment],MATCH(Tabel1[[#This Row],[Model]],Tableau2[Model],0)))</f>
        <v/>
      </c>
      <c r="I246" s="10"/>
      <c r="K246" s="9"/>
      <c r="L246" s="9"/>
      <c r="M246" s="9"/>
      <c r="N24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46" s="30">
        <f>HOUR(Tabel1[[#This Row],[Total Hours]])+MINUTE(Tabel1[[#This Row],[Total Hours]])/60+SECOND(Tabel1[[#This Row],[Total Hours]])/3600</f>
        <v>0</v>
      </c>
      <c r="P246" s="6">
        <f>Tabel1[[#This Row],[End Time]]+(Tabel1[[#This Row],[End Time]]&lt;Tabel1[[#This Row],[Start time]])</f>
        <v>0</v>
      </c>
      <c r="Q246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47" spans="1:17" x14ac:dyDescent="0.35">
      <c r="A247" s="32"/>
      <c r="B247" s="32">
        <f t="shared" si="3"/>
        <v>240</v>
      </c>
      <c r="C247" s="32" t="str">
        <f>IFERROR(VLOOKUP(Tabel1[[#This Row],[Model]],Tableau2[[Model]:[Parking Number]],2,FALSE)," ")</f>
        <v xml:space="preserve"> </v>
      </c>
      <c r="D247" s="35"/>
      <c r="E247" s="32" t="str">
        <f>IF(Tabel1[[#This Row],[Model]]="", "",INDEX(Tableau2[Equipment Type],MATCH(Tabel1[[#This Row],[Model]],Tableau2[Model],0)))</f>
        <v/>
      </c>
      <c r="G247" s="4" t="str">
        <f>IF(Tabel1[[#This Row],[Model]]="", "",INDEX(Tableau2[Equipment],MATCH(Tabel1[[#This Row],[Model]],Tableau2[Model],0)))</f>
        <v/>
      </c>
      <c r="I247" s="10"/>
      <c r="K247" s="9"/>
      <c r="L247" s="9"/>
      <c r="M247" s="9"/>
      <c r="N24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47" s="30">
        <f>HOUR(Tabel1[[#This Row],[Total Hours]])+MINUTE(Tabel1[[#This Row],[Total Hours]])/60+SECOND(Tabel1[[#This Row],[Total Hours]])/3600</f>
        <v>0</v>
      </c>
      <c r="P247" s="6">
        <f>Tabel1[[#This Row],[End Time]]+(Tabel1[[#This Row],[End Time]]&lt;Tabel1[[#This Row],[Start time]])</f>
        <v>0</v>
      </c>
      <c r="Q247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48" spans="1:17" x14ac:dyDescent="0.35">
      <c r="A248" s="32"/>
      <c r="B248" s="32">
        <f t="shared" si="3"/>
        <v>241</v>
      </c>
      <c r="C248" s="32" t="str">
        <f>IFERROR(VLOOKUP(Tabel1[[#This Row],[Model]],Tableau2[[Model]:[Parking Number]],2,FALSE)," ")</f>
        <v xml:space="preserve"> </v>
      </c>
      <c r="D248" s="35"/>
      <c r="E248" s="32" t="str">
        <f>IF(Tabel1[[#This Row],[Model]]="", "",INDEX(Tableau2[Equipment Type],MATCH(Tabel1[[#This Row],[Model]],Tableau2[Model],0)))</f>
        <v/>
      </c>
      <c r="G248" s="4" t="str">
        <f>IF(Tabel1[[#This Row],[Model]]="", "",INDEX(Tableau2[Equipment],MATCH(Tabel1[[#This Row],[Model]],Tableau2[Model],0)))</f>
        <v/>
      </c>
      <c r="I248" s="10"/>
      <c r="K248" s="9"/>
      <c r="L248" s="9"/>
      <c r="M248" s="9"/>
      <c r="N24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48" s="30">
        <f>HOUR(Tabel1[[#This Row],[Total Hours]])+MINUTE(Tabel1[[#This Row],[Total Hours]])/60+SECOND(Tabel1[[#This Row],[Total Hours]])/3600</f>
        <v>0</v>
      </c>
      <c r="P248" s="6">
        <f>Tabel1[[#This Row],[End Time]]+(Tabel1[[#This Row],[End Time]]&lt;Tabel1[[#This Row],[Start time]])</f>
        <v>0</v>
      </c>
      <c r="Q248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49" spans="1:17" x14ac:dyDescent="0.35">
      <c r="A249" s="32"/>
      <c r="B249" s="32">
        <f t="shared" si="3"/>
        <v>242</v>
      </c>
      <c r="C249" s="32" t="str">
        <f>IFERROR(VLOOKUP(Tabel1[[#This Row],[Model]],Tableau2[[Model]:[Parking Number]],2,FALSE)," ")</f>
        <v xml:space="preserve"> </v>
      </c>
      <c r="D249" s="35"/>
      <c r="E249" s="32" t="str">
        <f>IF(Tabel1[[#This Row],[Model]]="", "",INDEX(Tableau2[Equipment Type],MATCH(Tabel1[[#This Row],[Model]],Tableau2[Model],0)))</f>
        <v/>
      </c>
      <c r="G249" s="4" t="str">
        <f>IF(Tabel1[[#This Row],[Model]]="", "",INDEX(Tableau2[Equipment],MATCH(Tabel1[[#This Row],[Model]],Tableau2[Model],0)))</f>
        <v/>
      </c>
      <c r="I249" s="10"/>
      <c r="K249" s="9"/>
      <c r="L249" s="9"/>
      <c r="M249" s="9"/>
      <c r="N24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49" s="30">
        <f>HOUR(Tabel1[[#This Row],[Total Hours]])+MINUTE(Tabel1[[#This Row],[Total Hours]])/60+SECOND(Tabel1[[#This Row],[Total Hours]])/3600</f>
        <v>0</v>
      </c>
      <c r="P249" s="6">
        <f>Tabel1[[#This Row],[End Time]]+(Tabel1[[#This Row],[End Time]]&lt;Tabel1[[#This Row],[Start time]])</f>
        <v>0</v>
      </c>
      <c r="Q249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50" spans="1:17" x14ac:dyDescent="0.35">
      <c r="A250" s="32"/>
      <c r="B250" s="32">
        <f t="shared" si="3"/>
        <v>243</v>
      </c>
      <c r="C250" s="32" t="str">
        <f>IFERROR(VLOOKUP(Tabel1[[#This Row],[Model]],Tableau2[[Model]:[Parking Number]],2,FALSE)," ")</f>
        <v xml:space="preserve"> </v>
      </c>
      <c r="D250" s="35"/>
      <c r="E250" s="32" t="str">
        <f>IF(Tabel1[[#This Row],[Model]]="", "",INDEX(Tableau2[Equipment Type],MATCH(Tabel1[[#This Row],[Model]],Tableau2[Model],0)))</f>
        <v/>
      </c>
      <c r="G250" s="4" t="str">
        <f>IF(Tabel1[[#This Row],[Model]]="", "",INDEX(Tableau2[Equipment],MATCH(Tabel1[[#This Row],[Model]],Tableau2[Model],0)))</f>
        <v/>
      </c>
      <c r="I250" s="10"/>
      <c r="K250" s="9"/>
      <c r="L250" s="9"/>
      <c r="M250" s="9"/>
      <c r="N25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50" s="30">
        <f>HOUR(Tabel1[[#This Row],[Total Hours]])+MINUTE(Tabel1[[#This Row],[Total Hours]])/60+SECOND(Tabel1[[#This Row],[Total Hours]])/3600</f>
        <v>0</v>
      </c>
      <c r="P250" s="6">
        <f>Tabel1[[#This Row],[End Time]]+(Tabel1[[#This Row],[End Time]]&lt;Tabel1[[#This Row],[Start time]])</f>
        <v>0</v>
      </c>
      <c r="Q250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51" spans="1:17" x14ac:dyDescent="0.35">
      <c r="A251" s="32"/>
      <c r="B251" s="32">
        <f t="shared" si="3"/>
        <v>244</v>
      </c>
      <c r="C251" s="32" t="str">
        <f>IFERROR(VLOOKUP(Tabel1[[#This Row],[Model]],Tableau2[[Model]:[Parking Number]],2,FALSE)," ")</f>
        <v xml:space="preserve"> </v>
      </c>
      <c r="D251" s="35"/>
      <c r="E251" s="32" t="str">
        <f>IF(Tabel1[[#This Row],[Model]]="", "",INDEX(Tableau2[Equipment Type],MATCH(Tabel1[[#This Row],[Model]],Tableau2[Model],0)))</f>
        <v/>
      </c>
      <c r="G251" s="4" t="str">
        <f>IF(Tabel1[[#This Row],[Model]]="", "",INDEX(Tableau2[Equipment],MATCH(Tabel1[[#This Row],[Model]],Tableau2[Model],0)))</f>
        <v/>
      </c>
      <c r="I251" s="10"/>
      <c r="K251" s="9"/>
      <c r="L251" s="9"/>
      <c r="M251" s="9"/>
      <c r="N25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51" s="30">
        <f>HOUR(Tabel1[[#This Row],[Total Hours]])+MINUTE(Tabel1[[#This Row],[Total Hours]])/60+SECOND(Tabel1[[#This Row],[Total Hours]])/3600</f>
        <v>0</v>
      </c>
      <c r="P251" s="6">
        <f>Tabel1[[#This Row],[End Time]]+(Tabel1[[#This Row],[End Time]]&lt;Tabel1[[#This Row],[Start time]])</f>
        <v>0</v>
      </c>
      <c r="Q251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52" spans="1:17" x14ac:dyDescent="0.35">
      <c r="A252" s="32"/>
      <c r="B252" s="32">
        <f t="shared" si="3"/>
        <v>245</v>
      </c>
      <c r="C252" s="32" t="str">
        <f>IFERROR(VLOOKUP(Tabel1[[#This Row],[Model]],Tableau2[[Model]:[Parking Number]],2,FALSE)," ")</f>
        <v xml:space="preserve"> </v>
      </c>
      <c r="D252" s="35"/>
      <c r="E252" s="32" t="str">
        <f>IF(Tabel1[[#This Row],[Model]]="", "",INDEX(Tableau2[Equipment Type],MATCH(Tabel1[[#This Row],[Model]],Tableau2[Model],0)))</f>
        <v/>
      </c>
      <c r="G252" s="4" t="str">
        <f>IF(Tabel1[[#This Row],[Model]]="", "",INDEX(Tableau2[Equipment],MATCH(Tabel1[[#This Row],[Model]],Tableau2[Model],0)))</f>
        <v/>
      </c>
      <c r="I252" s="10"/>
      <c r="K252" s="9"/>
      <c r="L252" s="9"/>
      <c r="M252" s="9"/>
      <c r="N25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52" s="30">
        <f>HOUR(Tabel1[[#This Row],[Total Hours]])+MINUTE(Tabel1[[#This Row],[Total Hours]])/60+SECOND(Tabel1[[#This Row],[Total Hours]])/3600</f>
        <v>0</v>
      </c>
      <c r="P252" s="6">
        <f>Tabel1[[#This Row],[End Time]]+(Tabel1[[#This Row],[End Time]]&lt;Tabel1[[#This Row],[Start time]])</f>
        <v>0</v>
      </c>
      <c r="Q252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53" spans="1:17" x14ac:dyDescent="0.35">
      <c r="A253" s="32"/>
      <c r="B253" s="32">
        <f t="shared" si="3"/>
        <v>246</v>
      </c>
      <c r="C253" s="32" t="str">
        <f>IFERROR(VLOOKUP(Tabel1[[#This Row],[Model]],Tableau2[[Model]:[Parking Number]],2,FALSE)," ")</f>
        <v xml:space="preserve"> </v>
      </c>
      <c r="D253" s="35"/>
      <c r="E253" s="32" t="str">
        <f>IF(Tabel1[[#This Row],[Model]]="", "",INDEX(Tableau2[Equipment Type],MATCH(Tabel1[[#This Row],[Model]],Tableau2[Model],0)))</f>
        <v/>
      </c>
      <c r="G253" s="4" t="str">
        <f>IF(Tabel1[[#This Row],[Model]]="", "",INDEX(Tableau2[Equipment],MATCH(Tabel1[[#This Row],[Model]],Tableau2[Model],0)))</f>
        <v/>
      </c>
      <c r="I253" s="10"/>
      <c r="K253" s="9"/>
      <c r="L253" s="9"/>
      <c r="M253" s="9"/>
      <c r="N25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53" s="30">
        <f>HOUR(Tabel1[[#This Row],[Total Hours]])+MINUTE(Tabel1[[#This Row],[Total Hours]])/60+SECOND(Tabel1[[#This Row],[Total Hours]])/3600</f>
        <v>0</v>
      </c>
      <c r="P253" s="6">
        <f>Tabel1[[#This Row],[End Time]]+(Tabel1[[#This Row],[End Time]]&lt;Tabel1[[#This Row],[Start time]])</f>
        <v>0</v>
      </c>
      <c r="Q253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54" spans="1:17" x14ac:dyDescent="0.35">
      <c r="A254" s="32"/>
      <c r="B254" s="32">
        <f t="shared" si="3"/>
        <v>247</v>
      </c>
      <c r="C254" s="32" t="str">
        <f>IFERROR(VLOOKUP(Tabel1[[#This Row],[Model]],Tableau2[[Model]:[Parking Number]],2,FALSE)," ")</f>
        <v xml:space="preserve"> </v>
      </c>
      <c r="D254" s="35"/>
      <c r="E254" s="32" t="str">
        <f>IF(Tabel1[[#This Row],[Model]]="", "",INDEX(Tableau2[Equipment Type],MATCH(Tabel1[[#This Row],[Model]],Tableau2[Model],0)))</f>
        <v/>
      </c>
      <c r="G254" s="4" t="str">
        <f>IF(Tabel1[[#This Row],[Model]]="", "",INDEX(Tableau2[Equipment],MATCH(Tabel1[[#This Row],[Model]],Tableau2[Model],0)))</f>
        <v/>
      </c>
      <c r="I254" s="10"/>
      <c r="K254" s="9"/>
      <c r="L254" s="9"/>
      <c r="M254" s="9"/>
      <c r="N25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54" s="30">
        <f>HOUR(Tabel1[[#This Row],[Total Hours]])+MINUTE(Tabel1[[#This Row],[Total Hours]])/60+SECOND(Tabel1[[#This Row],[Total Hours]])/3600</f>
        <v>0</v>
      </c>
      <c r="P254" s="6">
        <f>Tabel1[[#This Row],[End Time]]+(Tabel1[[#This Row],[End Time]]&lt;Tabel1[[#This Row],[Start time]])</f>
        <v>0</v>
      </c>
      <c r="Q254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55" spans="1:17" x14ac:dyDescent="0.35">
      <c r="A255" s="32"/>
      <c r="B255" s="32">
        <f t="shared" si="3"/>
        <v>248</v>
      </c>
      <c r="C255" s="32" t="str">
        <f>IFERROR(VLOOKUP(Tabel1[[#This Row],[Model]],Tableau2[[Model]:[Parking Number]],2,FALSE)," ")</f>
        <v xml:space="preserve"> </v>
      </c>
      <c r="D255" s="35"/>
      <c r="E255" s="32" t="str">
        <f>IF(Tabel1[[#This Row],[Model]]="", "",INDEX(Tableau2[Equipment Type],MATCH(Tabel1[[#This Row],[Model]],Tableau2[Model],0)))</f>
        <v/>
      </c>
      <c r="G255" s="4" t="str">
        <f>IF(Tabel1[[#This Row],[Model]]="", "",INDEX(Tableau2[Equipment],MATCH(Tabel1[[#This Row],[Model]],Tableau2[Model],0)))</f>
        <v/>
      </c>
      <c r="I255" s="10"/>
      <c r="K255" s="9"/>
      <c r="L255" s="9"/>
      <c r="M255" s="9"/>
      <c r="N25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55" s="30">
        <f>HOUR(Tabel1[[#This Row],[Total Hours]])+MINUTE(Tabel1[[#This Row],[Total Hours]])/60+SECOND(Tabel1[[#This Row],[Total Hours]])/3600</f>
        <v>0</v>
      </c>
      <c r="P255" s="6">
        <f>Tabel1[[#This Row],[End Time]]+(Tabel1[[#This Row],[End Time]]&lt;Tabel1[[#This Row],[Start time]])</f>
        <v>0</v>
      </c>
      <c r="Q255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56" spans="1:17" x14ac:dyDescent="0.35">
      <c r="A256" s="32"/>
      <c r="B256" s="32">
        <f t="shared" si="3"/>
        <v>249</v>
      </c>
      <c r="C256" s="32" t="str">
        <f>IFERROR(VLOOKUP(Tabel1[[#This Row],[Model]],Tableau2[[Model]:[Parking Number]],2,FALSE)," ")</f>
        <v xml:space="preserve"> </v>
      </c>
      <c r="D256" s="35"/>
      <c r="E256" s="32" t="str">
        <f>IF(Tabel1[[#This Row],[Model]]="", "",INDEX(Tableau2[Equipment Type],MATCH(Tabel1[[#This Row],[Model]],Tableau2[Model],0)))</f>
        <v/>
      </c>
      <c r="G256" s="4" t="str">
        <f>IF(Tabel1[[#This Row],[Model]]="", "",INDEX(Tableau2[Equipment],MATCH(Tabel1[[#This Row],[Model]],Tableau2[Model],0)))</f>
        <v/>
      </c>
      <c r="I256" s="10"/>
      <c r="K256" s="9"/>
      <c r="L256" s="9"/>
      <c r="M256" s="9"/>
      <c r="N25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56" s="30">
        <f>HOUR(Tabel1[[#This Row],[Total Hours]])+MINUTE(Tabel1[[#This Row],[Total Hours]])/60+SECOND(Tabel1[[#This Row],[Total Hours]])/3600</f>
        <v>0</v>
      </c>
      <c r="P256" s="6">
        <f>Tabel1[[#This Row],[End Time]]+(Tabel1[[#This Row],[End Time]]&lt;Tabel1[[#This Row],[Start time]])</f>
        <v>0</v>
      </c>
      <c r="Q256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57" spans="1:17" x14ac:dyDescent="0.35">
      <c r="A257" s="32"/>
      <c r="B257" s="32">
        <f t="shared" si="3"/>
        <v>250</v>
      </c>
      <c r="C257" s="32" t="str">
        <f>IFERROR(VLOOKUP(Tabel1[[#This Row],[Model]],Tableau2[[Model]:[Parking Number]],2,FALSE)," ")</f>
        <v xml:space="preserve"> </v>
      </c>
      <c r="D257" s="35"/>
      <c r="E257" s="32" t="str">
        <f>IF(Tabel1[[#This Row],[Model]]="", "",INDEX(Tableau2[Equipment Type],MATCH(Tabel1[[#This Row],[Model]],Tableau2[Model],0)))</f>
        <v/>
      </c>
      <c r="G257" s="4" t="str">
        <f>IF(Tabel1[[#This Row],[Model]]="", "",INDEX(Tableau2[Equipment],MATCH(Tabel1[[#This Row],[Model]],Tableau2[Model],0)))</f>
        <v/>
      </c>
      <c r="I257" s="10"/>
      <c r="K257" s="9"/>
      <c r="L257" s="9"/>
      <c r="M257" s="9"/>
      <c r="N25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57" s="30">
        <f>HOUR(Tabel1[[#This Row],[Total Hours]])+MINUTE(Tabel1[[#This Row],[Total Hours]])/60+SECOND(Tabel1[[#This Row],[Total Hours]])/3600</f>
        <v>0</v>
      </c>
      <c r="P257" s="6">
        <f>Tabel1[[#This Row],[End Time]]+(Tabel1[[#This Row],[End Time]]&lt;Tabel1[[#This Row],[Start time]])</f>
        <v>0</v>
      </c>
      <c r="Q257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58" spans="1:17" x14ac:dyDescent="0.35">
      <c r="A258" s="32"/>
      <c r="B258" s="32">
        <f t="shared" si="3"/>
        <v>251</v>
      </c>
      <c r="C258" s="32" t="str">
        <f>IFERROR(VLOOKUP(Tabel1[[#This Row],[Model]],Tableau2[[Model]:[Parking Number]],2,FALSE)," ")</f>
        <v xml:space="preserve"> </v>
      </c>
      <c r="D258" s="35"/>
      <c r="E258" s="32" t="str">
        <f>IF(Tabel1[[#This Row],[Model]]="", "",INDEX(Tableau2[Equipment Type],MATCH(Tabel1[[#This Row],[Model]],Tableau2[Model],0)))</f>
        <v/>
      </c>
      <c r="G258" s="4" t="str">
        <f>IF(Tabel1[[#This Row],[Model]]="", "",INDEX(Tableau2[Equipment],MATCH(Tabel1[[#This Row],[Model]],Tableau2[Model],0)))</f>
        <v/>
      </c>
      <c r="I258" s="10"/>
      <c r="K258" s="9"/>
      <c r="L258" s="9"/>
      <c r="M258" s="9"/>
      <c r="N25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58" s="30">
        <f>HOUR(Tabel1[[#This Row],[Total Hours]])+MINUTE(Tabel1[[#This Row],[Total Hours]])/60+SECOND(Tabel1[[#This Row],[Total Hours]])/3600</f>
        <v>0</v>
      </c>
      <c r="P258" s="6">
        <f>Tabel1[[#This Row],[End Time]]+(Tabel1[[#This Row],[End Time]]&lt;Tabel1[[#This Row],[Start time]])</f>
        <v>0</v>
      </c>
      <c r="Q258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59" spans="1:17" x14ac:dyDescent="0.35">
      <c r="A259" s="32"/>
      <c r="B259" s="32">
        <f t="shared" si="3"/>
        <v>252</v>
      </c>
      <c r="C259" s="32" t="str">
        <f>IFERROR(VLOOKUP(Tabel1[[#This Row],[Model]],Tableau2[[Model]:[Parking Number]],2,FALSE)," ")</f>
        <v xml:space="preserve"> </v>
      </c>
      <c r="D259" s="35"/>
      <c r="E259" s="32" t="str">
        <f>IF(Tabel1[[#This Row],[Model]]="", "",INDEX(Tableau2[Equipment Type],MATCH(Tabel1[[#This Row],[Model]],Tableau2[Model],0)))</f>
        <v/>
      </c>
      <c r="G259" s="4" t="str">
        <f>IF(Tabel1[[#This Row],[Model]]="", "",INDEX(Tableau2[Equipment],MATCH(Tabel1[[#This Row],[Model]],Tableau2[Model],0)))</f>
        <v/>
      </c>
      <c r="I259" s="10"/>
      <c r="K259" s="9"/>
      <c r="L259" s="9"/>
      <c r="M259" s="9"/>
      <c r="N25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59" s="30">
        <f>HOUR(Tabel1[[#This Row],[Total Hours]])+MINUTE(Tabel1[[#This Row],[Total Hours]])/60+SECOND(Tabel1[[#This Row],[Total Hours]])/3600</f>
        <v>0</v>
      </c>
      <c r="P259" s="6">
        <f>Tabel1[[#This Row],[End Time]]+(Tabel1[[#This Row],[End Time]]&lt;Tabel1[[#This Row],[Start time]])</f>
        <v>0</v>
      </c>
      <c r="Q259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60" spans="1:17" x14ac:dyDescent="0.35">
      <c r="A260" s="32"/>
      <c r="B260" s="32">
        <f t="shared" si="3"/>
        <v>253</v>
      </c>
      <c r="C260" s="32" t="str">
        <f>IFERROR(VLOOKUP(Tabel1[[#This Row],[Model]],Tableau2[[Model]:[Parking Number]],2,FALSE)," ")</f>
        <v xml:space="preserve"> </v>
      </c>
      <c r="D260" s="35"/>
      <c r="E260" s="32" t="str">
        <f>IF(Tabel1[[#This Row],[Model]]="", "",INDEX(Tableau2[Equipment Type],MATCH(Tabel1[[#This Row],[Model]],Tableau2[Model],0)))</f>
        <v/>
      </c>
      <c r="G260" s="4" t="str">
        <f>IF(Tabel1[[#This Row],[Model]]="", "",INDEX(Tableau2[Equipment],MATCH(Tabel1[[#This Row],[Model]],Tableau2[Model],0)))</f>
        <v/>
      </c>
      <c r="I260" s="10"/>
      <c r="K260" s="9"/>
      <c r="L260" s="9"/>
      <c r="M260" s="9"/>
      <c r="N26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60" s="30">
        <f>HOUR(Tabel1[[#This Row],[Total Hours]])+MINUTE(Tabel1[[#This Row],[Total Hours]])/60+SECOND(Tabel1[[#This Row],[Total Hours]])/3600</f>
        <v>0</v>
      </c>
      <c r="P260" s="6">
        <f>Tabel1[[#This Row],[End Time]]+(Tabel1[[#This Row],[End Time]]&lt;Tabel1[[#This Row],[Start time]])</f>
        <v>0</v>
      </c>
      <c r="Q260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61" spans="1:17" x14ac:dyDescent="0.35">
      <c r="A261" s="32"/>
      <c r="B261" s="32">
        <f t="shared" si="3"/>
        <v>254</v>
      </c>
      <c r="C261" s="32" t="str">
        <f>IFERROR(VLOOKUP(Tabel1[[#This Row],[Model]],Tableau2[[Model]:[Parking Number]],2,FALSE)," ")</f>
        <v xml:space="preserve"> </v>
      </c>
      <c r="D261" s="35"/>
      <c r="E261" s="32" t="str">
        <f>IF(Tabel1[[#This Row],[Model]]="", "",INDEX(Tableau2[Equipment Type],MATCH(Tabel1[[#This Row],[Model]],Tableau2[Model],0)))</f>
        <v/>
      </c>
      <c r="G261" s="4" t="str">
        <f>IF(Tabel1[[#This Row],[Model]]="", "",INDEX(Tableau2[Equipment],MATCH(Tabel1[[#This Row],[Model]],Tableau2[Model],0)))</f>
        <v/>
      </c>
      <c r="I261" s="10"/>
      <c r="K261" s="9"/>
      <c r="L261" s="9"/>
      <c r="M261" s="9"/>
      <c r="N26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61" s="30">
        <f>HOUR(Tabel1[[#This Row],[Total Hours]])+MINUTE(Tabel1[[#This Row],[Total Hours]])/60+SECOND(Tabel1[[#This Row],[Total Hours]])/3600</f>
        <v>0</v>
      </c>
      <c r="P261" s="6">
        <f>Tabel1[[#This Row],[End Time]]+(Tabel1[[#This Row],[End Time]]&lt;Tabel1[[#This Row],[Start time]])</f>
        <v>0</v>
      </c>
      <c r="Q261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62" spans="1:17" x14ac:dyDescent="0.35">
      <c r="A262" s="32"/>
      <c r="B262" s="32">
        <f t="shared" si="3"/>
        <v>255</v>
      </c>
      <c r="C262" s="32" t="str">
        <f>IFERROR(VLOOKUP(Tabel1[[#This Row],[Model]],Tableau2[[Model]:[Parking Number]],2,FALSE)," ")</f>
        <v xml:space="preserve"> </v>
      </c>
      <c r="D262" s="35"/>
      <c r="E262" s="32" t="str">
        <f>IF(Tabel1[[#This Row],[Model]]="", "",INDEX(Tableau2[Equipment Type],MATCH(Tabel1[[#This Row],[Model]],Tableau2[Model],0)))</f>
        <v/>
      </c>
      <c r="G262" s="4" t="str">
        <f>IF(Tabel1[[#This Row],[Model]]="", "",INDEX(Tableau2[Equipment],MATCH(Tabel1[[#This Row],[Model]],Tableau2[Model],0)))</f>
        <v/>
      </c>
      <c r="I262" s="10"/>
      <c r="K262" s="9"/>
      <c r="L262" s="9"/>
      <c r="M262" s="9"/>
      <c r="N26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62" s="30">
        <f>HOUR(Tabel1[[#This Row],[Total Hours]])+MINUTE(Tabel1[[#This Row],[Total Hours]])/60+SECOND(Tabel1[[#This Row],[Total Hours]])/3600</f>
        <v>0</v>
      </c>
      <c r="P262" s="6">
        <f>Tabel1[[#This Row],[End Time]]+(Tabel1[[#This Row],[End Time]]&lt;Tabel1[[#This Row],[Start time]])</f>
        <v>0</v>
      </c>
      <c r="Q262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63" spans="1:17" x14ac:dyDescent="0.35">
      <c r="A263" s="32"/>
      <c r="B263" s="32">
        <f t="shared" si="3"/>
        <v>256</v>
      </c>
      <c r="C263" s="32" t="str">
        <f>IFERROR(VLOOKUP(Tabel1[[#This Row],[Model]],Tableau2[[Model]:[Parking Number]],2,FALSE)," ")</f>
        <v xml:space="preserve"> </v>
      </c>
      <c r="D263" s="35"/>
      <c r="E263" s="32" t="str">
        <f>IF(Tabel1[[#This Row],[Model]]="", "",INDEX(Tableau2[Equipment Type],MATCH(Tabel1[[#This Row],[Model]],Tableau2[Model],0)))</f>
        <v/>
      </c>
      <c r="G263" s="4" t="str">
        <f>IF(Tabel1[[#This Row],[Model]]="", "",INDEX(Tableau2[Equipment],MATCH(Tabel1[[#This Row],[Model]],Tableau2[Model],0)))</f>
        <v/>
      </c>
      <c r="I263" s="10"/>
      <c r="K263" s="9"/>
      <c r="L263" s="9"/>
      <c r="M263" s="9"/>
      <c r="N26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63" s="30">
        <f>HOUR(Tabel1[[#This Row],[Total Hours]])+MINUTE(Tabel1[[#This Row],[Total Hours]])/60+SECOND(Tabel1[[#This Row],[Total Hours]])/3600</f>
        <v>0</v>
      </c>
      <c r="P263" s="6">
        <f>Tabel1[[#This Row],[End Time]]+(Tabel1[[#This Row],[End Time]]&lt;Tabel1[[#This Row],[Start time]])</f>
        <v>0</v>
      </c>
      <c r="Q263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64" spans="1:17" x14ac:dyDescent="0.35">
      <c r="A264" s="32"/>
      <c r="B264" s="32">
        <f t="shared" si="3"/>
        <v>257</v>
      </c>
      <c r="C264" s="32" t="str">
        <f>IFERROR(VLOOKUP(Tabel1[[#This Row],[Model]],Tableau2[[Model]:[Parking Number]],2,FALSE)," ")</f>
        <v xml:space="preserve"> </v>
      </c>
      <c r="D264" s="35"/>
      <c r="E264" s="32" t="str">
        <f>IF(Tabel1[[#This Row],[Model]]="", "",INDEX(Tableau2[Equipment Type],MATCH(Tabel1[[#This Row],[Model]],Tableau2[Model],0)))</f>
        <v/>
      </c>
      <c r="G264" s="4" t="str">
        <f>IF(Tabel1[[#This Row],[Model]]="", "",INDEX(Tableau2[Equipment],MATCH(Tabel1[[#This Row],[Model]],Tableau2[Model],0)))</f>
        <v/>
      </c>
      <c r="I264" s="10"/>
      <c r="K264" s="9"/>
      <c r="L264" s="9"/>
      <c r="M264" s="9"/>
      <c r="N26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64" s="30">
        <f>HOUR(Tabel1[[#This Row],[Total Hours]])+MINUTE(Tabel1[[#This Row],[Total Hours]])/60+SECOND(Tabel1[[#This Row],[Total Hours]])/3600</f>
        <v>0</v>
      </c>
      <c r="P264" s="6">
        <f>Tabel1[[#This Row],[End Time]]+(Tabel1[[#This Row],[End Time]]&lt;Tabel1[[#This Row],[Start time]])</f>
        <v>0</v>
      </c>
      <c r="Q264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65" spans="1:17" x14ac:dyDescent="0.35">
      <c r="A265" s="32"/>
      <c r="B265" s="32">
        <f t="shared" ref="B265:B328" si="4">B264+1</f>
        <v>258</v>
      </c>
      <c r="C265" s="32" t="str">
        <f>IFERROR(VLOOKUP(Tabel1[[#This Row],[Model]],Tableau2[[Model]:[Parking Number]],2,FALSE)," ")</f>
        <v xml:space="preserve"> </v>
      </c>
      <c r="D265" s="35"/>
      <c r="E265" s="32" t="str">
        <f>IF(Tabel1[[#This Row],[Model]]="", "",INDEX(Tableau2[Equipment Type],MATCH(Tabel1[[#This Row],[Model]],Tableau2[Model],0)))</f>
        <v/>
      </c>
      <c r="G265" s="4" t="str">
        <f>IF(Tabel1[[#This Row],[Model]]="", "",INDEX(Tableau2[Equipment],MATCH(Tabel1[[#This Row],[Model]],Tableau2[Model],0)))</f>
        <v/>
      </c>
      <c r="I265" s="10"/>
      <c r="K265" s="9"/>
      <c r="L265" s="9"/>
      <c r="M265" s="9"/>
      <c r="N26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65" s="30">
        <f>HOUR(Tabel1[[#This Row],[Total Hours]])+MINUTE(Tabel1[[#This Row],[Total Hours]])/60+SECOND(Tabel1[[#This Row],[Total Hours]])/3600</f>
        <v>0</v>
      </c>
      <c r="P265" s="6">
        <f>Tabel1[[#This Row],[End Time]]+(Tabel1[[#This Row],[End Time]]&lt;Tabel1[[#This Row],[Start time]])</f>
        <v>0</v>
      </c>
      <c r="Q265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66" spans="1:17" x14ac:dyDescent="0.35">
      <c r="A266" s="32"/>
      <c r="B266" s="32">
        <f t="shared" si="4"/>
        <v>259</v>
      </c>
      <c r="C266" s="32" t="str">
        <f>IFERROR(VLOOKUP(Tabel1[[#This Row],[Model]],Tableau2[[Model]:[Parking Number]],2,FALSE)," ")</f>
        <v xml:space="preserve"> </v>
      </c>
      <c r="D266" s="35"/>
      <c r="E266" s="32" t="str">
        <f>IF(Tabel1[[#This Row],[Model]]="", "",INDEX(Tableau2[Equipment Type],MATCH(Tabel1[[#This Row],[Model]],Tableau2[Model],0)))</f>
        <v/>
      </c>
      <c r="G266" s="4" t="str">
        <f>IF(Tabel1[[#This Row],[Model]]="", "",INDEX(Tableau2[Equipment],MATCH(Tabel1[[#This Row],[Model]],Tableau2[Model],0)))</f>
        <v/>
      </c>
      <c r="I266" s="10"/>
      <c r="K266" s="9"/>
      <c r="L266" s="9"/>
      <c r="M266" s="9"/>
      <c r="N26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66" s="30">
        <f>HOUR(Tabel1[[#This Row],[Total Hours]])+MINUTE(Tabel1[[#This Row],[Total Hours]])/60+SECOND(Tabel1[[#This Row],[Total Hours]])/3600</f>
        <v>0</v>
      </c>
      <c r="P266" s="6">
        <f>Tabel1[[#This Row],[End Time]]+(Tabel1[[#This Row],[End Time]]&lt;Tabel1[[#This Row],[Start time]])</f>
        <v>0</v>
      </c>
      <c r="Q266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67" spans="1:17" x14ac:dyDescent="0.35">
      <c r="A267" s="32"/>
      <c r="B267" s="32">
        <f t="shared" si="4"/>
        <v>260</v>
      </c>
      <c r="C267" s="32" t="str">
        <f>IFERROR(VLOOKUP(Tabel1[[#This Row],[Model]],Tableau2[[Model]:[Parking Number]],2,FALSE)," ")</f>
        <v xml:space="preserve"> </v>
      </c>
      <c r="D267" s="35"/>
      <c r="E267" s="32" t="str">
        <f>IF(Tabel1[[#This Row],[Model]]="", "",INDEX(Tableau2[Equipment Type],MATCH(Tabel1[[#This Row],[Model]],Tableau2[Model],0)))</f>
        <v/>
      </c>
      <c r="G267" s="4" t="str">
        <f>IF(Tabel1[[#This Row],[Model]]="", "",INDEX(Tableau2[Equipment],MATCH(Tabel1[[#This Row],[Model]],Tableau2[Model],0)))</f>
        <v/>
      </c>
      <c r="I267" s="10"/>
      <c r="K267" s="9"/>
      <c r="L267" s="9"/>
      <c r="M267" s="9"/>
      <c r="N26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67" s="30">
        <f>HOUR(Tabel1[[#This Row],[Total Hours]])+MINUTE(Tabel1[[#This Row],[Total Hours]])/60+SECOND(Tabel1[[#This Row],[Total Hours]])/3600</f>
        <v>0</v>
      </c>
      <c r="P267" s="6">
        <f>Tabel1[[#This Row],[End Time]]+(Tabel1[[#This Row],[End Time]]&lt;Tabel1[[#This Row],[Start time]])</f>
        <v>0</v>
      </c>
      <c r="Q267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68" spans="1:17" x14ac:dyDescent="0.35">
      <c r="A268" s="32"/>
      <c r="B268" s="32">
        <f t="shared" si="4"/>
        <v>261</v>
      </c>
      <c r="C268" s="32" t="str">
        <f>IFERROR(VLOOKUP(Tabel1[[#This Row],[Model]],Tableau2[[Model]:[Parking Number]],2,FALSE)," ")</f>
        <v xml:space="preserve"> </v>
      </c>
      <c r="D268" s="35"/>
      <c r="E268" s="32" t="str">
        <f>IF(Tabel1[[#This Row],[Model]]="", "",INDEX(Tableau2[Equipment Type],MATCH(Tabel1[[#This Row],[Model]],Tableau2[Model],0)))</f>
        <v/>
      </c>
      <c r="G268" s="4" t="str">
        <f>IF(Tabel1[[#This Row],[Model]]="", "",INDEX(Tableau2[Equipment],MATCH(Tabel1[[#This Row],[Model]],Tableau2[Model],0)))</f>
        <v/>
      </c>
      <c r="I268" s="10"/>
      <c r="K268" s="9"/>
      <c r="L268" s="9"/>
      <c r="M268" s="9"/>
      <c r="N26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68" s="30">
        <f>HOUR(Tabel1[[#This Row],[Total Hours]])+MINUTE(Tabel1[[#This Row],[Total Hours]])/60+SECOND(Tabel1[[#This Row],[Total Hours]])/3600</f>
        <v>0</v>
      </c>
      <c r="P268" s="6">
        <f>Tabel1[[#This Row],[End Time]]+(Tabel1[[#This Row],[End Time]]&lt;Tabel1[[#This Row],[Start time]])</f>
        <v>0</v>
      </c>
      <c r="Q268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69" spans="1:17" x14ac:dyDescent="0.35">
      <c r="A269" s="32"/>
      <c r="B269" s="32">
        <f t="shared" si="4"/>
        <v>262</v>
      </c>
      <c r="C269" s="32" t="str">
        <f>IFERROR(VLOOKUP(Tabel1[[#This Row],[Model]],Tableau2[[Model]:[Parking Number]],2,FALSE)," ")</f>
        <v xml:space="preserve"> </v>
      </c>
      <c r="D269" s="35"/>
      <c r="E269" s="32" t="str">
        <f>IF(Tabel1[[#This Row],[Model]]="", "",INDEX(Tableau2[Equipment Type],MATCH(Tabel1[[#This Row],[Model]],Tableau2[Model],0)))</f>
        <v/>
      </c>
      <c r="G269" s="4" t="str">
        <f>IF(Tabel1[[#This Row],[Model]]="", "",INDEX(Tableau2[Equipment],MATCH(Tabel1[[#This Row],[Model]],Tableau2[Model],0)))</f>
        <v/>
      </c>
      <c r="I269" s="10"/>
      <c r="K269" s="9"/>
      <c r="L269" s="9"/>
      <c r="M269" s="9"/>
      <c r="N26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69" s="30">
        <f>HOUR(Tabel1[[#This Row],[Total Hours]])+MINUTE(Tabel1[[#This Row],[Total Hours]])/60+SECOND(Tabel1[[#This Row],[Total Hours]])/3600</f>
        <v>0</v>
      </c>
      <c r="P269" s="6">
        <f>Tabel1[[#This Row],[End Time]]+(Tabel1[[#This Row],[End Time]]&lt;Tabel1[[#This Row],[Start time]])</f>
        <v>0</v>
      </c>
      <c r="Q269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70" spans="1:17" x14ac:dyDescent="0.35">
      <c r="A270" s="32"/>
      <c r="B270" s="32">
        <f t="shared" si="4"/>
        <v>263</v>
      </c>
      <c r="C270" s="32" t="str">
        <f>IFERROR(VLOOKUP(Tabel1[[#This Row],[Model]],Tableau2[[Model]:[Parking Number]],2,FALSE)," ")</f>
        <v xml:space="preserve"> </v>
      </c>
      <c r="D270" s="35"/>
      <c r="E270" s="32" t="str">
        <f>IF(Tabel1[[#This Row],[Model]]="", "",INDEX(Tableau2[Equipment Type],MATCH(Tabel1[[#This Row],[Model]],Tableau2[Model],0)))</f>
        <v/>
      </c>
      <c r="G270" s="4" t="str">
        <f>IF(Tabel1[[#This Row],[Model]]="", "",INDEX(Tableau2[Equipment],MATCH(Tabel1[[#This Row],[Model]],Tableau2[Model],0)))</f>
        <v/>
      </c>
      <c r="I270" s="10"/>
      <c r="K270" s="9"/>
      <c r="L270" s="9"/>
      <c r="M270" s="9"/>
      <c r="N27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70" s="30">
        <f>HOUR(Tabel1[[#This Row],[Total Hours]])+MINUTE(Tabel1[[#This Row],[Total Hours]])/60+SECOND(Tabel1[[#This Row],[Total Hours]])/3600</f>
        <v>0</v>
      </c>
      <c r="P270" s="6">
        <f>Tabel1[[#This Row],[End Time]]+(Tabel1[[#This Row],[End Time]]&lt;Tabel1[[#This Row],[Start time]])</f>
        <v>0</v>
      </c>
      <c r="Q270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71" spans="1:17" x14ac:dyDescent="0.35">
      <c r="A271" s="32"/>
      <c r="B271" s="32">
        <f t="shared" si="4"/>
        <v>264</v>
      </c>
      <c r="C271" s="32" t="str">
        <f>IFERROR(VLOOKUP(Tabel1[[#This Row],[Model]],Tableau2[[Model]:[Parking Number]],2,FALSE)," ")</f>
        <v xml:space="preserve"> </v>
      </c>
      <c r="D271" s="35"/>
      <c r="E271" s="32" t="str">
        <f>IF(Tabel1[[#This Row],[Model]]="", "",INDEX(Tableau2[Equipment Type],MATCH(Tabel1[[#This Row],[Model]],Tableau2[Model],0)))</f>
        <v/>
      </c>
      <c r="G271" s="4" t="str">
        <f>IF(Tabel1[[#This Row],[Model]]="", "",INDEX(Tableau2[Equipment],MATCH(Tabel1[[#This Row],[Model]],Tableau2[Model],0)))</f>
        <v/>
      </c>
      <c r="I271" s="10"/>
      <c r="K271" s="9"/>
      <c r="L271" s="9"/>
      <c r="M271" s="9"/>
      <c r="N27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71" s="30">
        <f>HOUR(Tabel1[[#This Row],[Total Hours]])+MINUTE(Tabel1[[#This Row],[Total Hours]])/60+SECOND(Tabel1[[#This Row],[Total Hours]])/3600</f>
        <v>0</v>
      </c>
      <c r="P271" s="6">
        <f>Tabel1[[#This Row],[End Time]]+(Tabel1[[#This Row],[End Time]]&lt;Tabel1[[#This Row],[Start time]])</f>
        <v>0</v>
      </c>
      <c r="Q271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72" spans="1:17" x14ac:dyDescent="0.35">
      <c r="A272" s="32"/>
      <c r="B272" s="32">
        <f t="shared" si="4"/>
        <v>265</v>
      </c>
      <c r="C272" s="32" t="str">
        <f>IFERROR(VLOOKUP(Tabel1[[#This Row],[Model]],Tableau2[[Model]:[Parking Number]],2,FALSE)," ")</f>
        <v xml:space="preserve"> </v>
      </c>
      <c r="D272" s="35"/>
      <c r="E272" s="32" t="str">
        <f>IF(Tabel1[[#This Row],[Model]]="", "",INDEX(Tableau2[Equipment Type],MATCH(Tabel1[[#This Row],[Model]],Tableau2[Model],0)))</f>
        <v/>
      </c>
      <c r="G272" s="4" t="str">
        <f>IF(Tabel1[[#This Row],[Model]]="", "",INDEX(Tableau2[Equipment],MATCH(Tabel1[[#This Row],[Model]],Tableau2[Model],0)))</f>
        <v/>
      </c>
      <c r="I272" s="10"/>
      <c r="K272" s="9"/>
      <c r="L272" s="9"/>
      <c r="M272" s="9"/>
      <c r="N27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72" s="30">
        <f>HOUR(Tabel1[[#This Row],[Total Hours]])+MINUTE(Tabel1[[#This Row],[Total Hours]])/60+SECOND(Tabel1[[#This Row],[Total Hours]])/3600</f>
        <v>0</v>
      </c>
      <c r="P272" s="6">
        <f>Tabel1[[#This Row],[End Time]]+(Tabel1[[#This Row],[End Time]]&lt;Tabel1[[#This Row],[Start time]])</f>
        <v>0</v>
      </c>
      <c r="Q272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73" spans="1:17" x14ac:dyDescent="0.35">
      <c r="A273" s="32"/>
      <c r="B273" s="32">
        <f t="shared" si="4"/>
        <v>266</v>
      </c>
      <c r="C273" s="32" t="str">
        <f>IFERROR(VLOOKUP(Tabel1[[#This Row],[Model]],Tableau2[[Model]:[Parking Number]],2,FALSE)," ")</f>
        <v xml:space="preserve"> </v>
      </c>
      <c r="D273" s="35"/>
      <c r="E273" s="32" t="str">
        <f>IF(Tabel1[[#This Row],[Model]]="", "",INDEX(Tableau2[Equipment Type],MATCH(Tabel1[[#This Row],[Model]],Tableau2[Model],0)))</f>
        <v/>
      </c>
      <c r="G273" s="4" t="str">
        <f>IF(Tabel1[[#This Row],[Model]]="", "",INDEX(Tableau2[Equipment],MATCH(Tabel1[[#This Row],[Model]],Tableau2[Model],0)))</f>
        <v/>
      </c>
      <c r="I273" s="10"/>
      <c r="K273" s="9"/>
      <c r="L273" s="9"/>
      <c r="M273" s="9"/>
      <c r="N27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73" s="30">
        <f>HOUR(Tabel1[[#This Row],[Total Hours]])+MINUTE(Tabel1[[#This Row],[Total Hours]])/60+SECOND(Tabel1[[#This Row],[Total Hours]])/3600</f>
        <v>0</v>
      </c>
      <c r="P273" s="6">
        <f>Tabel1[[#This Row],[End Time]]+(Tabel1[[#This Row],[End Time]]&lt;Tabel1[[#This Row],[Start time]])</f>
        <v>0</v>
      </c>
      <c r="Q273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74" spans="1:17" x14ac:dyDescent="0.35">
      <c r="A274" s="32"/>
      <c r="B274" s="32">
        <f t="shared" si="4"/>
        <v>267</v>
      </c>
      <c r="C274" s="32" t="str">
        <f>IFERROR(VLOOKUP(Tabel1[[#This Row],[Model]],Tableau2[[Model]:[Parking Number]],2,FALSE)," ")</f>
        <v xml:space="preserve"> </v>
      </c>
      <c r="D274" s="35"/>
      <c r="E274" s="32" t="str">
        <f>IF(Tabel1[[#This Row],[Model]]="", "",INDEX(Tableau2[Equipment Type],MATCH(Tabel1[[#This Row],[Model]],Tableau2[Model],0)))</f>
        <v/>
      </c>
      <c r="G274" s="4" t="str">
        <f>IF(Tabel1[[#This Row],[Model]]="", "",INDEX(Tableau2[Equipment],MATCH(Tabel1[[#This Row],[Model]],Tableau2[Model],0)))</f>
        <v/>
      </c>
      <c r="I274" s="10"/>
      <c r="K274" s="9"/>
      <c r="L274" s="9"/>
      <c r="M274" s="9"/>
      <c r="N27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74" s="30">
        <f>HOUR(Tabel1[[#This Row],[Total Hours]])+MINUTE(Tabel1[[#This Row],[Total Hours]])/60+SECOND(Tabel1[[#This Row],[Total Hours]])/3600</f>
        <v>0</v>
      </c>
      <c r="P274" s="6">
        <f>Tabel1[[#This Row],[End Time]]+(Tabel1[[#This Row],[End Time]]&lt;Tabel1[[#This Row],[Start time]])</f>
        <v>0</v>
      </c>
      <c r="Q274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75" spans="1:17" x14ac:dyDescent="0.35">
      <c r="A275" s="32"/>
      <c r="B275" s="32">
        <f t="shared" si="4"/>
        <v>268</v>
      </c>
      <c r="C275" s="32" t="str">
        <f>IFERROR(VLOOKUP(Tabel1[[#This Row],[Model]],Tableau2[[Model]:[Parking Number]],2,FALSE)," ")</f>
        <v xml:space="preserve"> </v>
      </c>
      <c r="D275" s="35"/>
      <c r="E275" s="32" t="str">
        <f>IF(Tabel1[[#This Row],[Model]]="", "",INDEX(Tableau2[Equipment Type],MATCH(Tabel1[[#This Row],[Model]],Tableau2[Model],0)))</f>
        <v/>
      </c>
      <c r="G275" s="4" t="str">
        <f>IF(Tabel1[[#This Row],[Model]]="", "",INDEX(Tableau2[Equipment],MATCH(Tabel1[[#This Row],[Model]],Tableau2[Model],0)))</f>
        <v/>
      </c>
      <c r="I275" s="10"/>
      <c r="K275" s="9"/>
      <c r="L275" s="9"/>
      <c r="M275" s="9"/>
      <c r="N27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75" s="30">
        <f>HOUR(Tabel1[[#This Row],[Total Hours]])+MINUTE(Tabel1[[#This Row],[Total Hours]])/60+SECOND(Tabel1[[#This Row],[Total Hours]])/3600</f>
        <v>0</v>
      </c>
      <c r="P275" s="6">
        <f>Tabel1[[#This Row],[End Time]]+(Tabel1[[#This Row],[End Time]]&lt;Tabel1[[#This Row],[Start time]])</f>
        <v>0</v>
      </c>
      <c r="Q275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76" spans="1:17" x14ac:dyDescent="0.35">
      <c r="A276" s="32"/>
      <c r="B276" s="32">
        <f t="shared" si="4"/>
        <v>269</v>
      </c>
      <c r="C276" s="32" t="str">
        <f>IFERROR(VLOOKUP(Tabel1[[#This Row],[Model]],Tableau2[[Model]:[Parking Number]],2,FALSE)," ")</f>
        <v xml:space="preserve"> </v>
      </c>
      <c r="D276" s="35"/>
      <c r="E276" s="32" t="str">
        <f>IF(Tabel1[[#This Row],[Model]]="", "",INDEX(Tableau2[Equipment Type],MATCH(Tabel1[[#This Row],[Model]],Tableau2[Model],0)))</f>
        <v/>
      </c>
      <c r="G276" s="4" t="str">
        <f>IF(Tabel1[[#This Row],[Model]]="", "",INDEX(Tableau2[Equipment],MATCH(Tabel1[[#This Row],[Model]],Tableau2[Model],0)))</f>
        <v/>
      </c>
      <c r="I276" s="10"/>
      <c r="K276" s="9"/>
      <c r="L276" s="9"/>
      <c r="M276" s="9"/>
      <c r="N27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76" s="30">
        <f>HOUR(Tabel1[[#This Row],[Total Hours]])+MINUTE(Tabel1[[#This Row],[Total Hours]])/60+SECOND(Tabel1[[#This Row],[Total Hours]])/3600</f>
        <v>0</v>
      </c>
      <c r="P276" s="6">
        <f>Tabel1[[#This Row],[End Time]]+(Tabel1[[#This Row],[End Time]]&lt;Tabel1[[#This Row],[Start time]])</f>
        <v>0</v>
      </c>
      <c r="Q276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77" spans="1:17" x14ac:dyDescent="0.35">
      <c r="A277" s="32"/>
      <c r="B277" s="32">
        <f t="shared" si="4"/>
        <v>270</v>
      </c>
      <c r="C277" s="32" t="str">
        <f>IFERROR(VLOOKUP(Tabel1[[#This Row],[Model]],Tableau2[[Model]:[Parking Number]],2,FALSE)," ")</f>
        <v xml:space="preserve"> </v>
      </c>
      <c r="D277" s="35"/>
      <c r="E277" s="32" t="str">
        <f>IF(Tabel1[[#This Row],[Model]]="", "",INDEX(Tableau2[Equipment Type],MATCH(Tabel1[[#This Row],[Model]],Tableau2[Model],0)))</f>
        <v/>
      </c>
      <c r="G277" s="4" t="str">
        <f>IF(Tabel1[[#This Row],[Model]]="", "",INDEX(Tableau2[Equipment],MATCH(Tabel1[[#This Row],[Model]],Tableau2[Model],0)))</f>
        <v/>
      </c>
      <c r="I277" s="10"/>
      <c r="K277" s="9"/>
      <c r="L277" s="9"/>
      <c r="M277" s="9"/>
      <c r="N27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77" s="30">
        <f>HOUR(Tabel1[[#This Row],[Total Hours]])+MINUTE(Tabel1[[#This Row],[Total Hours]])/60+SECOND(Tabel1[[#This Row],[Total Hours]])/3600</f>
        <v>0</v>
      </c>
      <c r="P277" s="6">
        <f>Tabel1[[#This Row],[End Time]]+(Tabel1[[#This Row],[End Time]]&lt;Tabel1[[#This Row],[Start time]])</f>
        <v>0</v>
      </c>
      <c r="Q277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78" spans="1:17" x14ac:dyDescent="0.35">
      <c r="A278" s="32"/>
      <c r="B278" s="32">
        <f t="shared" si="4"/>
        <v>271</v>
      </c>
      <c r="C278" s="32" t="str">
        <f>IFERROR(VLOOKUP(Tabel1[[#This Row],[Model]],Tableau2[[Model]:[Parking Number]],2,FALSE)," ")</f>
        <v xml:space="preserve"> </v>
      </c>
      <c r="D278" s="35"/>
      <c r="E278" s="32" t="str">
        <f>IF(Tabel1[[#This Row],[Model]]="", "",INDEX(Tableau2[Equipment Type],MATCH(Tabel1[[#This Row],[Model]],Tableau2[Model],0)))</f>
        <v/>
      </c>
      <c r="G278" s="4" t="str">
        <f>IF(Tabel1[[#This Row],[Model]]="", "",INDEX(Tableau2[Equipment],MATCH(Tabel1[[#This Row],[Model]],Tableau2[Model],0)))</f>
        <v/>
      </c>
      <c r="I278" s="10"/>
      <c r="K278" s="9"/>
      <c r="L278" s="9"/>
      <c r="M278" s="9"/>
      <c r="N27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78" s="30">
        <f>HOUR(Tabel1[[#This Row],[Total Hours]])+MINUTE(Tabel1[[#This Row],[Total Hours]])/60+SECOND(Tabel1[[#This Row],[Total Hours]])/3600</f>
        <v>0</v>
      </c>
      <c r="P278" s="6">
        <f>Tabel1[[#This Row],[End Time]]+(Tabel1[[#This Row],[End Time]]&lt;Tabel1[[#This Row],[Start time]])</f>
        <v>0</v>
      </c>
      <c r="Q278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79" spans="1:17" x14ac:dyDescent="0.35">
      <c r="A279" s="32"/>
      <c r="B279" s="32">
        <f t="shared" si="4"/>
        <v>272</v>
      </c>
      <c r="C279" s="32" t="str">
        <f>IFERROR(VLOOKUP(Tabel1[[#This Row],[Model]],Tableau2[[Model]:[Parking Number]],2,FALSE)," ")</f>
        <v xml:space="preserve"> </v>
      </c>
      <c r="D279" s="35"/>
      <c r="E279" s="32" t="str">
        <f>IF(Tabel1[[#This Row],[Model]]="", "",INDEX(Tableau2[Equipment Type],MATCH(Tabel1[[#This Row],[Model]],Tableau2[Model],0)))</f>
        <v/>
      </c>
      <c r="G279" s="4" t="str">
        <f>IF(Tabel1[[#This Row],[Model]]="", "",INDEX(Tableau2[Equipment],MATCH(Tabel1[[#This Row],[Model]],Tableau2[Model],0)))</f>
        <v/>
      </c>
      <c r="I279" s="10"/>
      <c r="K279" s="9"/>
      <c r="L279" s="9"/>
      <c r="M279" s="9"/>
      <c r="N27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79" s="30">
        <f>HOUR(Tabel1[[#This Row],[Total Hours]])+MINUTE(Tabel1[[#This Row],[Total Hours]])/60+SECOND(Tabel1[[#This Row],[Total Hours]])/3600</f>
        <v>0</v>
      </c>
      <c r="P279" s="6">
        <f>Tabel1[[#This Row],[End Time]]+(Tabel1[[#This Row],[End Time]]&lt;Tabel1[[#This Row],[Start time]])</f>
        <v>0</v>
      </c>
      <c r="Q279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80" spans="1:17" x14ac:dyDescent="0.35">
      <c r="A280" s="32"/>
      <c r="B280" s="32">
        <f t="shared" si="4"/>
        <v>273</v>
      </c>
      <c r="C280" s="32" t="str">
        <f>IFERROR(VLOOKUP(Tabel1[[#This Row],[Model]],Tableau2[[Model]:[Parking Number]],2,FALSE)," ")</f>
        <v xml:space="preserve"> </v>
      </c>
      <c r="D280" s="35"/>
      <c r="E280" s="32" t="str">
        <f>IF(Tabel1[[#This Row],[Model]]="", "",INDEX(Tableau2[Equipment Type],MATCH(Tabel1[[#This Row],[Model]],Tableau2[Model],0)))</f>
        <v/>
      </c>
      <c r="G280" s="4" t="str">
        <f>IF(Tabel1[[#This Row],[Model]]="", "",INDEX(Tableau2[Equipment],MATCH(Tabel1[[#This Row],[Model]],Tableau2[Model],0)))</f>
        <v/>
      </c>
      <c r="I280" s="10"/>
      <c r="K280" s="9"/>
      <c r="L280" s="9"/>
      <c r="M280" s="9"/>
      <c r="N28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80" s="30">
        <f>HOUR(Tabel1[[#This Row],[Total Hours]])+MINUTE(Tabel1[[#This Row],[Total Hours]])/60+SECOND(Tabel1[[#This Row],[Total Hours]])/3600</f>
        <v>0</v>
      </c>
      <c r="P280" s="6">
        <f>Tabel1[[#This Row],[End Time]]+(Tabel1[[#This Row],[End Time]]&lt;Tabel1[[#This Row],[Start time]])</f>
        <v>0</v>
      </c>
      <c r="Q280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81" spans="1:17" x14ac:dyDescent="0.35">
      <c r="A281" s="32"/>
      <c r="B281" s="32">
        <f t="shared" si="4"/>
        <v>274</v>
      </c>
      <c r="C281" s="32" t="str">
        <f>IFERROR(VLOOKUP(Tabel1[[#This Row],[Model]],Tableau2[[Model]:[Parking Number]],2,FALSE)," ")</f>
        <v xml:space="preserve"> </v>
      </c>
      <c r="D281" s="35"/>
      <c r="E281" s="32" t="str">
        <f>IF(Tabel1[[#This Row],[Model]]="", "",INDEX(Tableau2[Equipment Type],MATCH(Tabel1[[#This Row],[Model]],Tableau2[Model],0)))</f>
        <v/>
      </c>
      <c r="G281" s="4" t="str">
        <f>IF(Tabel1[[#This Row],[Model]]="", "",INDEX(Tableau2[Equipment],MATCH(Tabel1[[#This Row],[Model]],Tableau2[Model],0)))</f>
        <v/>
      </c>
      <c r="I281" s="10"/>
      <c r="K281" s="9"/>
      <c r="L281" s="9"/>
      <c r="M281" s="9"/>
      <c r="N28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81" s="30">
        <f>HOUR(Tabel1[[#This Row],[Total Hours]])+MINUTE(Tabel1[[#This Row],[Total Hours]])/60+SECOND(Tabel1[[#This Row],[Total Hours]])/3600</f>
        <v>0</v>
      </c>
      <c r="P281" s="6">
        <f>Tabel1[[#This Row],[End Time]]+(Tabel1[[#This Row],[End Time]]&lt;Tabel1[[#This Row],[Start time]])</f>
        <v>0</v>
      </c>
      <c r="Q281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82" spans="1:17" x14ac:dyDescent="0.35">
      <c r="A282" s="32"/>
      <c r="B282" s="32">
        <f t="shared" si="4"/>
        <v>275</v>
      </c>
      <c r="C282" s="32" t="str">
        <f>IFERROR(VLOOKUP(Tabel1[[#This Row],[Model]],Tableau2[[Model]:[Parking Number]],2,FALSE)," ")</f>
        <v xml:space="preserve"> </v>
      </c>
      <c r="D282" s="35"/>
      <c r="E282" s="32" t="str">
        <f>IF(Tabel1[[#This Row],[Model]]="", "",INDEX(Tableau2[Equipment Type],MATCH(Tabel1[[#This Row],[Model]],Tableau2[Model],0)))</f>
        <v/>
      </c>
      <c r="G282" s="4" t="str">
        <f>IF(Tabel1[[#This Row],[Model]]="", "",INDEX(Tableau2[Equipment],MATCH(Tabel1[[#This Row],[Model]],Tableau2[Model],0)))</f>
        <v/>
      </c>
      <c r="I282" s="10"/>
      <c r="K282" s="9"/>
      <c r="L282" s="9"/>
      <c r="M282" s="9"/>
      <c r="N28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82" s="30">
        <f>HOUR(Tabel1[[#This Row],[Total Hours]])+MINUTE(Tabel1[[#This Row],[Total Hours]])/60+SECOND(Tabel1[[#This Row],[Total Hours]])/3600</f>
        <v>0</v>
      </c>
      <c r="P282" s="6">
        <f>Tabel1[[#This Row],[End Time]]+(Tabel1[[#This Row],[End Time]]&lt;Tabel1[[#This Row],[Start time]])</f>
        <v>0</v>
      </c>
      <c r="Q282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83" spans="1:17" x14ac:dyDescent="0.35">
      <c r="A283" s="32"/>
      <c r="B283" s="32">
        <f t="shared" si="4"/>
        <v>276</v>
      </c>
      <c r="C283" s="32" t="str">
        <f>IFERROR(VLOOKUP(Tabel1[[#This Row],[Model]],Tableau2[[Model]:[Parking Number]],2,FALSE)," ")</f>
        <v xml:space="preserve"> </v>
      </c>
      <c r="D283" s="35"/>
      <c r="E283" s="32" t="str">
        <f>IF(Tabel1[[#This Row],[Model]]="", "",INDEX(Tableau2[Equipment Type],MATCH(Tabel1[[#This Row],[Model]],Tableau2[Model],0)))</f>
        <v/>
      </c>
      <c r="G283" s="4" t="str">
        <f>IF(Tabel1[[#This Row],[Model]]="", "",INDEX(Tableau2[Equipment],MATCH(Tabel1[[#This Row],[Model]],Tableau2[Model],0)))</f>
        <v/>
      </c>
      <c r="I283" s="10"/>
      <c r="K283" s="9"/>
      <c r="L283" s="9"/>
      <c r="M283" s="9"/>
      <c r="N28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83" s="30">
        <f>HOUR(Tabel1[[#This Row],[Total Hours]])+MINUTE(Tabel1[[#This Row],[Total Hours]])/60+SECOND(Tabel1[[#This Row],[Total Hours]])/3600</f>
        <v>0</v>
      </c>
      <c r="P283" s="6">
        <f>Tabel1[[#This Row],[End Time]]+(Tabel1[[#This Row],[End Time]]&lt;Tabel1[[#This Row],[Start time]])</f>
        <v>0</v>
      </c>
      <c r="Q283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84" spans="1:17" x14ac:dyDescent="0.35">
      <c r="A284" s="32"/>
      <c r="B284" s="32">
        <f t="shared" si="4"/>
        <v>277</v>
      </c>
      <c r="C284" s="32" t="str">
        <f>IFERROR(VLOOKUP(Tabel1[[#This Row],[Model]],Tableau2[[Model]:[Parking Number]],2,FALSE)," ")</f>
        <v xml:space="preserve"> </v>
      </c>
      <c r="D284" s="35"/>
      <c r="E284" s="32" t="str">
        <f>IF(Tabel1[[#This Row],[Model]]="", "",INDEX(Tableau2[Equipment Type],MATCH(Tabel1[[#This Row],[Model]],Tableau2[Model],0)))</f>
        <v/>
      </c>
      <c r="G284" s="4" t="str">
        <f>IF(Tabel1[[#This Row],[Model]]="", "",INDEX(Tableau2[Equipment],MATCH(Tabel1[[#This Row],[Model]],Tableau2[Model],0)))</f>
        <v/>
      </c>
      <c r="I284" s="10"/>
      <c r="K284" s="9"/>
      <c r="L284" s="9"/>
      <c r="M284" s="9"/>
      <c r="N28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84" s="30">
        <f>HOUR(Tabel1[[#This Row],[Total Hours]])+MINUTE(Tabel1[[#This Row],[Total Hours]])/60+SECOND(Tabel1[[#This Row],[Total Hours]])/3600</f>
        <v>0</v>
      </c>
      <c r="P284" s="6">
        <f>Tabel1[[#This Row],[End Time]]+(Tabel1[[#This Row],[End Time]]&lt;Tabel1[[#This Row],[Start time]])</f>
        <v>0</v>
      </c>
      <c r="Q284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85" spans="1:17" x14ac:dyDescent="0.35">
      <c r="A285" s="32"/>
      <c r="B285" s="32">
        <f t="shared" si="4"/>
        <v>278</v>
      </c>
      <c r="C285" s="32" t="str">
        <f>IFERROR(VLOOKUP(Tabel1[[#This Row],[Model]],Tableau2[[Model]:[Parking Number]],2,FALSE)," ")</f>
        <v xml:space="preserve"> </v>
      </c>
      <c r="D285" s="35"/>
      <c r="E285" s="32" t="str">
        <f>IF(Tabel1[[#This Row],[Model]]="", "",INDEX(Tableau2[Equipment Type],MATCH(Tabel1[[#This Row],[Model]],Tableau2[Model],0)))</f>
        <v/>
      </c>
      <c r="G285" s="4" t="str">
        <f>IF(Tabel1[[#This Row],[Model]]="", "",INDEX(Tableau2[Equipment],MATCH(Tabel1[[#This Row],[Model]],Tableau2[Model],0)))</f>
        <v/>
      </c>
      <c r="I285" s="10"/>
      <c r="K285" s="9"/>
      <c r="L285" s="9"/>
      <c r="M285" s="9"/>
      <c r="N28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85" s="30">
        <f>HOUR(Tabel1[[#This Row],[Total Hours]])+MINUTE(Tabel1[[#This Row],[Total Hours]])/60+SECOND(Tabel1[[#This Row],[Total Hours]])/3600</f>
        <v>0</v>
      </c>
      <c r="P285" s="6">
        <f>Tabel1[[#This Row],[End Time]]+(Tabel1[[#This Row],[End Time]]&lt;Tabel1[[#This Row],[Start time]])</f>
        <v>0</v>
      </c>
      <c r="Q285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86" spans="1:17" x14ac:dyDescent="0.35">
      <c r="A286" s="32"/>
      <c r="B286" s="32">
        <f t="shared" si="4"/>
        <v>279</v>
      </c>
      <c r="C286" s="32" t="str">
        <f>IFERROR(VLOOKUP(Tabel1[[#This Row],[Model]],Tableau2[[Model]:[Parking Number]],2,FALSE)," ")</f>
        <v xml:space="preserve"> </v>
      </c>
      <c r="D286" s="35"/>
      <c r="E286" s="32" t="str">
        <f>IF(Tabel1[[#This Row],[Model]]="", "",INDEX(Tableau2[Equipment Type],MATCH(Tabel1[[#This Row],[Model]],Tableau2[Model],0)))</f>
        <v/>
      </c>
      <c r="G286" s="4" t="str">
        <f>IF(Tabel1[[#This Row],[Model]]="", "",INDEX(Tableau2[Equipment],MATCH(Tabel1[[#This Row],[Model]],Tableau2[Model],0)))</f>
        <v/>
      </c>
      <c r="I286" s="10"/>
      <c r="K286" s="9"/>
      <c r="L286" s="9"/>
      <c r="M286" s="9"/>
      <c r="N28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86" s="30">
        <f>HOUR(Tabel1[[#This Row],[Total Hours]])+MINUTE(Tabel1[[#This Row],[Total Hours]])/60+SECOND(Tabel1[[#This Row],[Total Hours]])/3600</f>
        <v>0</v>
      </c>
      <c r="P286" s="6">
        <f>Tabel1[[#This Row],[End Time]]+(Tabel1[[#This Row],[End Time]]&lt;Tabel1[[#This Row],[Start time]])</f>
        <v>0</v>
      </c>
      <c r="Q286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87" spans="1:17" x14ac:dyDescent="0.35">
      <c r="A287" s="32"/>
      <c r="B287" s="32">
        <f t="shared" si="4"/>
        <v>280</v>
      </c>
      <c r="C287" s="32" t="str">
        <f>IFERROR(VLOOKUP(Tabel1[[#This Row],[Model]],Tableau2[[Model]:[Parking Number]],2,FALSE)," ")</f>
        <v xml:space="preserve"> </v>
      </c>
      <c r="D287" s="35"/>
      <c r="E287" s="32" t="str">
        <f>IF(Tabel1[[#This Row],[Model]]="", "",INDEX(Tableau2[Equipment Type],MATCH(Tabel1[[#This Row],[Model]],Tableau2[Model],0)))</f>
        <v/>
      </c>
      <c r="G287" s="4" t="str">
        <f>IF(Tabel1[[#This Row],[Model]]="", "",INDEX(Tableau2[Equipment],MATCH(Tabel1[[#This Row],[Model]],Tableau2[Model],0)))</f>
        <v/>
      </c>
      <c r="I287" s="10"/>
      <c r="K287" s="9"/>
      <c r="L287" s="9"/>
      <c r="M287" s="9"/>
      <c r="N28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87" s="30">
        <f>HOUR(Tabel1[[#This Row],[Total Hours]])+MINUTE(Tabel1[[#This Row],[Total Hours]])/60+SECOND(Tabel1[[#This Row],[Total Hours]])/3600</f>
        <v>0</v>
      </c>
      <c r="P287" s="6">
        <f>Tabel1[[#This Row],[End Time]]+(Tabel1[[#This Row],[End Time]]&lt;Tabel1[[#This Row],[Start time]])</f>
        <v>0</v>
      </c>
      <c r="Q287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88" spans="1:17" x14ac:dyDescent="0.35">
      <c r="A288" s="32"/>
      <c r="B288" s="32">
        <f t="shared" si="4"/>
        <v>281</v>
      </c>
      <c r="C288" s="32" t="str">
        <f>IFERROR(VLOOKUP(Tabel1[[#This Row],[Model]],Tableau2[[Model]:[Parking Number]],2,FALSE)," ")</f>
        <v xml:space="preserve"> </v>
      </c>
      <c r="D288" s="35"/>
      <c r="E288" s="32" t="str">
        <f>IF(Tabel1[[#This Row],[Model]]="", "",INDEX(Tableau2[Equipment Type],MATCH(Tabel1[[#This Row],[Model]],Tableau2[Model],0)))</f>
        <v/>
      </c>
      <c r="G288" s="4" t="str">
        <f>IF(Tabel1[[#This Row],[Model]]="", "",INDEX(Tableau2[Equipment],MATCH(Tabel1[[#This Row],[Model]],Tableau2[Model],0)))</f>
        <v/>
      </c>
      <c r="I288" s="10"/>
      <c r="K288" s="9"/>
      <c r="L288" s="9"/>
      <c r="M288" s="9"/>
      <c r="N28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88" s="30">
        <f>HOUR(Tabel1[[#This Row],[Total Hours]])+MINUTE(Tabel1[[#This Row],[Total Hours]])/60+SECOND(Tabel1[[#This Row],[Total Hours]])/3600</f>
        <v>0</v>
      </c>
      <c r="P288" s="6">
        <f>Tabel1[[#This Row],[End Time]]+(Tabel1[[#This Row],[End Time]]&lt;Tabel1[[#This Row],[Start time]])</f>
        <v>0</v>
      </c>
      <c r="Q288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89" spans="1:17" x14ac:dyDescent="0.35">
      <c r="A289" s="32"/>
      <c r="B289" s="32">
        <f t="shared" si="4"/>
        <v>282</v>
      </c>
      <c r="C289" s="32" t="str">
        <f>IFERROR(VLOOKUP(Tabel1[[#This Row],[Model]],Tableau2[[Model]:[Parking Number]],2,FALSE)," ")</f>
        <v xml:space="preserve"> </v>
      </c>
      <c r="D289" s="35"/>
      <c r="E289" s="32" t="str">
        <f>IF(Tabel1[[#This Row],[Model]]="", "",INDEX(Tableau2[Equipment Type],MATCH(Tabel1[[#This Row],[Model]],Tableau2[Model],0)))</f>
        <v/>
      </c>
      <c r="G289" s="4" t="str">
        <f>IF(Tabel1[[#This Row],[Model]]="", "",INDEX(Tableau2[Equipment],MATCH(Tabel1[[#This Row],[Model]],Tableau2[Model],0)))</f>
        <v/>
      </c>
      <c r="I289" s="10"/>
      <c r="K289" s="9"/>
      <c r="L289" s="9"/>
      <c r="M289" s="9"/>
      <c r="N28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89" s="30">
        <f>HOUR(Tabel1[[#This Row],[Total Hours]])+MINUTE(Tabel1[[#This Row],[Total Hours]])/60+SECOND(Tabel1[[#This Row],[Total Hours]])/3600</f>
        <v>0</v>
      </c>
      <c r="P289" s="6">
        <f>Tabel1[[#This Row],[End Time]]+(Tabel1[[#This Row],[End Time]]&lt;Tabel1[[#This Row],[Start time]])</f>
        <v>0</v>
      </c>
      <c r="Q289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90" spans="1:17" x14ac:dyDescent="0.35">
      <c r="A290" s="32"/>
      <c r="B290" s="32">
        <f t="shared" si="4"/>
        <v>283</v>
      </c>
      <c r="C290" s="32" t="str">
        <f>IFERROR(VLOOKUP(Tabel1[[#This Row],[Model]],Tableau2[[Model]:[Parking Number]],2,FALSE)," ")</f>
        <v xml:space="preserve"> </v>
      </c>
      <c r="D290" s="35"/>
      <c r="E290" s="32" t="str">
        <f>IF(Tabel1[[#This Row],[Model]]="", "",INDEX(Tableau2[Equipment Type],MATCH(Tabel1[[#This Row],[Model]],Tableau2[Model],0)))</f>
        <v/>
      </c>
      <c r="G290" s="4" t="str">
        <f>IF(Tabel1[[#This Row],[Model]]="", "",INDEX(Tableau2[Equipment],MATCH(Tabel1[[#This Row],[Model]],Tableau2[Model],0)))</f>
        <v/>
      </c>
      <c r="I290" s="10"/>
      <c r="K290" s="9"/>
      <c r="L290" s="9"/>
      <c r="M290" s="9"/>
      <c r="N29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90" s="30">
        <f>HOUR(Tabel1[[#This Row],[Total Hours]])+MINUTE(Tabel1[[#This Row],[Total Hours]])/60+SECOND(Tabel1[[#This Row],[Total Hours]])/3600</f>
        <v>0</v>
      </c>
      <c r="P290" s="6">
        <f>Tabel1[[#This Row],[End Time]]+(Tabel1[[#This Row],[End Time]]&lt;Tabel1[[#This Row],[Start time]])</f>
        <v>0</v>
      </c>
      <c r="Q290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91" spans="1:17" x14ac:dyDescent="0.35">
      <c r="A291" s="32"/>
      <c r="B291" s="32">
        <f t="shared" si="4"/>
        <v>284</v>
      </c>
      <c r="C291" s="32" t="str">
        <f>IFERROR(VLOOKUP(Tabel1[[#This Row],[Model]],Tableau2[[Model]:[Parking Number]],2,FALSE)," ")</f>
        <v xml:space="preserve"> </v>
      </c>
      <c r="D291" s="35"/>
      <c r="E291" s="32" t="str">
        <f>IF(Tabel1[[#This Row],[Model]]="", "",INDEX(Tableau2[Equipment Type],MATCH(Tabel1[[#This Row],[Model]],Tableau2[Model],0)))</f>
        <v/>
      </c>
      <c r="G291" s="4" t="str">
        <f>IF(Tabel1[[#This Row],[Model]]="", "",INDEX(Tableau2[Equipment],MATCH(Tabel1[[#This Row],[Model]],Tableau2[Model],0)))</f>
        <v/>
      </c>
      <c r="I291" s="10"/>
      <c r="K291" s="9"/>
      <c r="L291" s="9"/>
      <c r="M291" s="9"/>
      <c r="N29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91" s="30">
        <f>HOUR(Tabel1[[#This Row],[Total Hours]])+MINUTE(Tabel1[[#This Row],[Total Hours]])/60+SECOND(Tabel1[[#This Row],[Total Hours]])/3600</f>
        <v>0</v>
      </c>
      <c r="P291" s="6">
        <f>Tabel1[[#This Row],[End Time]]+(Tabel1[[#This Row],[End Time]]&lt;Tabel1[[#This Row],[Start time]])</f>
        <v>0</v>
      </c>
      <c r="Q291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92" spans="1:17" x14ac:dyDescent="0.35">
      <c r="A292" s="32"/>
      <c r="B292" s="32">
        <f t="shared" si="4"/>
        <v>285</v>
      </c>
      <c r="C292" s="32" t="str">
        <f>IFERROR(VLOOKUP(Tabel1[[#This Row],[Model]],Tableau2[[Model]:[Parking Number]],2,FALSE)," ")</f>
        <v xml:space="preserve"> </v>
      </c>
      <c r="D292" s="35"/>
      <c r="E292" s="32" t="str">
        <f>IF(Tabel1[[#This Row],[Model]]="", "",INDEX(Tableau2[Equipment Type],MATCH(Tabel1[[#This Row],[Model]],Tableau2[Model],0)))</f>
        <v/>
      </c>
      <c r="G292" s="4" t="str">
        <f>IF(Tabel1[[#This Row],[Model]]="", "",INDEX(Tableau2[Equipment],MATCH(Tabel1[[#This Row],[Model]],Tableau2[Model],0)))</f>
        <v/>
      </c>
      <c r="I292" s="10"/>
      <c r="K292" s="9"/>
      <c r="L292" s="9"/>
      <c r="M292" s="9"/>
      <c r="N29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92" s="30">
        <f>HOUR(Tabel1[[#This Row],[Total Hours]])+MINUTE(Tabel1[[#This Row],[Total Hours]])/60+SECOND(Tabel1[[#This Row],[Total Hours]])/3600</f>
        <v>0</v>
      </c>
      <c r="P292" s="6">
        <f>Tabel1[[#This Row],[End Time]]+(Tabel1[[#This Row],[End Time]]&lt;Tabel1[[#This Row],[Start time]])</f>
        <v>0</v>
      </c>
      <c r="Q292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93" spans="1:17" x14ac:dyDescent="0.35">
      <c r="A293" s="32"/>
      <c r="B293" s="32">
        <f t="shared" si="4"/>
        <v>286</v>
      </c>
      <c r="C293" s="32" t="str">
        <f>IFERROR(VLOOKUP(Tabel1[[#This Row],[Model]],Tableau2[[Model]:[Parking Number]],2,FALSE)," ")</f>
        <v xml:space="preserve"> </v>
      </c>
      <c r="D293" s="35"/>
      <c r="E293" s="32" t="str">
        <f>IF(Tabel1[[#This Row],[Model]]="", "",INDEX(Tableau2[Equipment Type],MATCH(Tabel1[[#This Row],[Model]],Tableau2[Model],0)))</f>
        <v/>
      </c>
      <c r="G293" s="4" t="str">
        <f>IF(Tabel1[[#This Row],[Model]]="", "",INDEX(Tableau2[Equipment],MATCH(Tabel1[[#This Row],[Model]],Tableau2[Model],0)))</f>
        <v/>
      </c>
      <c r="I293" s="10"/>
      <c r="K293" s="9"/>
      <c r="L293" s="9"/>
      <c r="M293" s="9"/>
      <c r="N29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93" s="30">
        <f>HOUR(Tabel1[[#This Row],[Total Hours]])+MINUTE(Tabel1[[#This Row],[Total Hours]])/60+SECOND(Tabel1[[#This Row],[Total Hours]])/3600</f>
        <v>0</v>
      </c>
      <c r="P293" s="6">
        <f>Tabel1[[#This Row],[End Time]]+(Tabel1[[#This Row],[End Time]]&lt;Tabel1[[#This Row],[Start time]])</f>
        <v>0</v>
      </c>
      <c r="Q293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94" spans="1:17" x14ac:dyDescent="0.35">
      <c r="A294" s="32"/>
      <c r="B294" s="32">
        <f t="shared" si="4"/>
        <v>287</v>
      </c>
      <c r="C294" s="32" t="str">
        <f>IFERROR(VLOOKUP(Tabel1[[#This Row],[Model]],Tableau2[[Model]:[Parking Number]],2,FALSE)," ")</f>
        <v xml:space="preserve"> </v>
      </c>
      <c r="D294" s="35"/>
      <c r="E294" s="32" t="str">
        <f>IF(Tabel1[[#This Row],[Model]]="", "",INDEX(Tableau2[Equipment Type],MATCH(Tabel1[[#This Row],[Model]],Tableau2[Model],0)))</f>
        <v/>
      </c>
      <c r="G294" s="4" t="str">
        <f>IF(Tabel1[[#This Row],[Model]]="", "",INDEX(Tableau2[Equipment],MATCH(Tabel1[[#This Row],[Model]],Tableau2[Model],0)))</f>
        <v/>
      </c>
      <c r="I294" s="10"/>
      <c r="K294" s="9"/>
      <c r="L294" s="9"/>
      <c r="M294" s="9"/>
      <c r="N29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94" s="30">
        <f>HOUR(Tabel1[[#This Row],[Total Hours]])+MINUTE(Tabel1[[#This Row],[Total Hours]])/60+SECOND(Tabel1[[#This Row],[Total Hours]])/3600</f>
        <v>0</v>
      </c>
      <c r="P294" s="6">
        <f>Tabel1[[#This Row],[End Time]]+(Tabel1[[#This Row],[End Time]]&lt;Tabel1[[#This Row],[Start time]])</f>
        <v>0</v>
      </c>
      <c r="Q294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95" spans="1:17" x14ac:dyDescent="0.35">
      <c r="A295" s="32"/>
      <c r="B295" s="32">
        <f t="shared" si="4"/>
        <v>288</v>
      </c>
      <c r="C295" s="32" t="str">
        <f>IFERROR(VLOOKUP(Tabel1[[#This Row],[Model]],Tableau2[[Model]:[Parking Number]],2,FALSE)," ")</f>
        <v xml:space="preserve"> </v>
      </c>
      <c r="D295" s="35"/>
      <c r="E295" s="32" t="str">
        <f>IF(Tabel1[[#This Row],[Model]]="", "",INDEX(Tableau2[Equipment Type],MATCH(Tabel1[[#This Row],[Model]],Tableau2[Model],0)))</f>
        <v/>
      </c>
      <c r="G295" s="4" t="str">
        <f>IF(Tabel1[[#This Row],[Model]]="", "",INDEX(Tableau2[Equipment],MATCH(Tabel1[[#This Row],[Model]],Tableau2[Model],0)))</f>
        <v/>
      </c>
      <c r="I295" s="10"/>
      <c r="K295" s="9"/>
      <c r="L295" s="9"/>
      <c r="M295" s="9"/>
      <c r="N29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95" s="30">
        <f>HOUR(Tabel1[[#This Row],[Total Hours]])+MINUTE(Tabel1[[#This Row],[Total Hours]])/60+SECOND(Tabel1[[#This Row],[Total Hours]])/3600</f>
        <v>0</v>
      </c>
      <c r="P295" s="6">
        <f>Tabel1[[#This Row],[End Time]]+(Tabel1[[#This Row],[End Time]]&lt;Tabel1[[#This Row],[Start time]])</f>
        <v>0</v>
      </c>
      <c r="Q295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96" spans="1:17" x14ac:dyDescent="0.35">
      <c r="A296" s="32"/>
      <c r="B296" s="32">
        <f t="shared" si="4"/>
        <v>289</v>
      </c>
      <c r="C296" s="32" t="str">
        <f>IFERROR(VLOOKUP(Tabel1[[#This Row],[Model]],Tableau2[[Model]:[Parking Number]],2,FALSE)," ")</f>
        <v xml:space="preserve"> </v>
      </c>
      <c r="D296" s="35"/>
      <c r="E296" s="32" t="str">
        <f>IF(Tabel1[[#This Row],[Model]]="", "",INDEX(Tableau2[Equipment Type],MATCH(Tabel1[[#This Row],[Model]],Tableau2[Model],0)))</f>
        <v/>
      </c>
      <c r="G296" s="4" t="str">
        <f>IF(Tabel1[[#This Row],[Model]]="", "",INDEX(Tableau2[Equipment],MATCH(Tabel1[[#This Row],[Model]],Tableau2[Model],0)))</f>
        <v/>
      </c>
      <c r="I296" s="10"/>
      <c r="K296" s="9"/>
      <c r="L296" s="9"/>
      <c r="M296" s="9"/>
      <c r="N29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96" s="30">
        <f>HOUR(Tabel1[[#This Row],[Total Hours]])+MINUTE(Tabel1[[#This Row],[Total Hours]])/60+SECOND(Tabel1[[#This Row],[Total Hours]])/3600</f>
        <v>0</v>
      </c>
      <c r="P296" s="6">
        <f>Tabel1[[#This Row],[End Time]]+(Tabel1[[#This Row],[End Time]]&lt;Tabel1[[#This Row],[Start time]])</f>
        <v>0</v>
      </c>
      <c r="Q296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97" spans="1:17" x14ac:dyDescent="0.35">
      <c r="A297" s="32"/>
      <c r="B297" s="32">
        <f t="shared" si="4"/>
        <v>290</v>
      </c>
      <c r="C297" s="32" t="str">
        <f>IFERROR(VLOOKUP(Tabel1[[#This Row],[Model]],Tableau2[[Model]:[Parking Number]],2,FALSE)," ")</f>
        <v xml:space="preserve"> </v>
      </c>
      <c r="D297" s="35"/>
      <c r="E297" s="32" t="str">
        <f>IF(Tabel1[[#This Row],[Model]]="", "",INDEX(Tableau2[Equipment Type],MATCH(Tabel1[[#This Row],[Model]],Tableau2[Model],0)))</f>
        <v/>
      </c>
      <c r="G297" s="4" t="str">
        <f>IF(Tabel1[[#This Row],[Model]]="", "",INDEX(Tableau2[Equipment],MATCH(Tabel1[[#This Row],[Model]],Tableau2[Model],0)))</f>
        <v/>
      </c>
      <c r="I297" s="10"/>
      <c r="K297" s="9"/>
      <c r="L297" s="9"/>
      <c r="M297" s="9"/>
      <c r="N29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97" s="30">
        <f>HOUR(Tabel1[[#This Row],[Total Hours]])+MINUTE(Tabel1[[#This Row],[Total Hours]])/60+SECOND(Tabel1[[#This Row],[Total Hours]])/3600</f>
        <v>0</v>
      </c>
      <c r="P297" s="6">
        <f>Tabel1[[#This Row],[End Time]]+(Tabel1[[#This Row],[End Time]]&lt;Tabel1[[#This Row],[Start time]])</f>
        <v>0</v>
      </c>
      <c r="Q297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98" spans="1:17" x14ac:dyDescent="0.35">
      <c r="A298" s="32"/>
      <c r="B298" s="32">
        <f t="shared" si="4"/>
        <v>291</v>
      </c>
      <c r="C298" s="32" t="str">
        <f>IFERROR(VLOOKUP(Tabel1[[#This Row],[Model]],Tableau2[[Model]:[Parking Number]],2,FALSE)," ")</f>
        <v xml:space="preserve"> </v>
      </c>
      <c r="D298" s="35"/>
      <c r="E298" s="32" t="str">
        <f>IF(Tabel1[[#This Row],[Model]]="", "",INDEX(Tableau2[Equipment Type],MATCH(Tabel1[[#This Row],[Model]],Tableau2[Model],0)))</f>
        <v/>
      </c>
      <c r="G298" s="4" t="str">
        <f>IF(Tabel1[[#This Row],[Model]]="", "",INDEX(Tableau2[Equipment],MATCH(Tabel1[[#This Row],[Model]],Tableau2[Model],0)))</f>
        <v/>
      </c>
      <c r="I298" s="10"/>
      <c r="K298" s="9"/>
      <c r="L298" s="9"/>
      <c r="M298" s="9"/>
      <c r="N29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98" s="30">
        <f>HOUR(Tabel1[[#This Row],[Total Hours]])+MINUTE(Tabel1[[#This Row],[Total Hours]])/60+SECOND(Tabel1[[#This Row],[Total Hours]])/3600</f>
        <v>0</v>
      </c>
      <c r="P298" s="6">
        <f>Tabel1[[#This Row],[End Time]]+(Tabel1[[#This Row],[End Time]]&lt;Tabel1[[#This Row],[Start time]])</f>
        <v>0</v>
      </c>
      <c r="Q298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299" spans="1:17" x14ac:dyDescent="0.35">
      <c r="A299" s="32"/>
      <c r="B299" s="32">
        <f t="shared" si="4"/>
        <v>292</v>
      </c>
      <c r="C299" s="32" t="str">
        <f>IFERROR(VLOOKUP(Tabel1[[#This Row],[Model]],Tableau2[[Model]:[Parking Number]],2,FALSE)," ")</f>
        <v xml:space="preserve"> </v>
      </c>
      <c r="D299" s="35"/>
      <c r="E299" s="32" t="str">
        <f>IF(Tabel1[[#This Row],[Model]]="", "",INDEX(Tableau2[Equipment Type],MATCH(Tabel1[[#This Row],[Model]],Tableau2[Model],0)))</f>
        <v/>
      </c>
      <c r="G299" s="4" t="str">
        <f>IF(Tabel1[[#This Row],[Model]]="", "",INDEX(Tableau2[Equipment],MATCH(Tabel1[[#This Row],[Model]],Tableau2[Model],0)))</f>
        <v/>
      </c>
      <c r="I299" s="10"/>
      <c r="K299" s="9"/>
      <c r="L299" s="9"/>
      <c r="M299" s="9"/>
      <c r="N29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299" s="30">
        <f>HOUR(Tabel1[[#This Row],[Total Hours]])+MINUTE(Tabel1[[#This Row],[Total Hours]])/60+SECOND(Tabel1[[#This Row],[Total Hours]])/3600</f>
        <v>0</v>
      </c>
      <c r="P299" s="6">
        <f>Tabel1[[#This Row],[End Time]]+(Tabel1[[#This Row],[End Time]]&lt;Tabel1[[#This Row],[Start time]])</f>
        <v>0</v>
      </c>
      <c r="Q299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00" spans="1:17" x14ac:dyDescent="0.35">
      <c r="A300" s="32"/>
      <c r="B300" s="32">
        <f t="shared" si="4"/>
        <v>293</v>
      </c>
      <c r="C300" s="32" t="str">
        <f>IFERROR(VLOOKUP(Tabel1[[#This Row],[Model]],Tableau2[[Model]:[Parking Number]],2,FALSE)," ")</f>
        <v xml:space="preserve"> </v>
      </c>
      <c r="D300" s="35"/>
      <c r="E300" s="32" t="str">
        <f>IF(Tabel1[[#This Row],[Model]]="", "",INDEX(Tableau2[Equipment Type],MATCH(Tabel1[[#This Row],[Model]],Tableau2[Model],0)))</f>
        <v/>
      </c>
      <c r="G300" s="4" t="str">
        <f>IF(Tabel1[[#This Row],[Model]]="", "",INDEX(Tableau2[Equipment],MATCH(Tabel1[[#This Row],[Model]],Tableau2[Model],0)))</f>
        <v/>
      </c>
      <c r="I300" s="10"/>
      <c r="K300" s="9"/>
      <c r="L300" s="9"/>
      <c r="M300" s="9"/>
      <c r="N30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00" s="30">
        <f>HOUR(Tabel1[[#This Row],[Total Hours]])+MINUTE(Tabel1[[#This Row],[Total Hours]])/60+SECOND(Tabel1[[#This Row],[Total Hours]])/3600</f>
        <v>0</v>
      </c>
      <c r="P300" s="6">
        <f>Tabel1[[#This Row],[End Time]]+(Tabel1[[#This Row],[End Time]]&lt;Tabel1[[#This Row],[Start time]])</f>
        <v>0</v>
      </c>
      <c r="Q300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01" spans="1:17" x14ac:dyDescent="0.35">
      <c r="A301" s="32"/>
      <c r="B301" s="32">
        <f t="shared" si="4"/>
        <v>294</v>
      </c>
      <c r="C301" s="32" t="str">
        <f>IFERROR(VLOOKUP(Tabel1[[#This Row],[Model]],Tableau2[[Model]:[Parking Number]],2,FALSE)," ")</f>
        <v xml:space="preserve"> </v>
      </c>
      <c r="D301" s="35"/>
      <c r="E301" s="32" t="str">
        <f>IF(Tabel1[[#This Row],[Model]]="", "",INDEX(Tableau2[Equipment Type],MATCH(Tabel1[[#This Row],[Model]],Tableau2[Model],0)))</f>
        <v/>
      </c>
      <c r="G301" s="4" t="str">
        <f>IF(Tabel1[[#This Row],[Model]]="", "",INDEX(Tableau2[Equipment],MATCH(Tabel1[[#This Row],[Model]],Tableau2[Model],0)))</f>
        <v/>
      </c>
      <c r="I301" s="10"/>
      <c r="K301" s="9"/>
      <c r="L301" s="9"/>
      <c r="M301" s="9"/>
      <c r="N30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01" s="30">
        <f>HOUR(Tabel1[[#This Row],[Total Hours]])+MINUTE(Tabel1[[#This Row],[Total Hours]])/60+SECOND(Tabel1[[#This Row],[Total Hours]])/3600</f>
        <v>0</v>
      </c>
      <c r="P301" s="6">
        <f>Tabel1[[#This Row],[End Time]]+(Tabel1[[#This Row],[End Time]]&lt;Tabel1[[#This Row],[Start time]])</f>
        <v>0</v>
      </c>
      <c r="Q301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02" spans="1:17" x14ac:dyDescent="0.35">
      <c r="A302" s="32"/>
      <c r="B302" s="32">
        <f t="shared" si="4"/>
        <v>295</v>
      </c>
      <c r="C302" s="32" t="str">
        <f>IFERROR(VLOOKUP(Tabel1[[#This Row],[Model]],Tableau2[[Model]:[Parking Number]],2,FALSE)," ")</f>
        <v xml:space="preserve"> </v>
      </c>
      <c r="D302" s="35"/>
      <c r="E302" s="32" t="str">
        <f>IF(Tabel1[[#This Row],[Model]]="", "",INDEX(Tableau2[Equipment Type],MATCH(Tabel1[[#This Row],[Model]],Tableau2[Model],0)))</f>
        <v/>
      </c>
      <c r="G302" s="4" t="str">
        <f>IF(Tabel1[[#This Row],[Model]]="", "",INDEX(Tableau2[Equipment],MATCH(Tabel1[[#This Row],[Model]],Tableau2[Model],0)))</f>
        <v/>
      </c>
      <c r="I302" s="10"/>
      <c r="K302" s="9"/>
      <c r="L302" s="9"/>
      <c r="M302" s="9"/>
      <c r="N30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02" s="30">
        <f>HOUR(Tabel1[[#This Row],[Total Hours]])+MINUTE(Tabel1[[#This Row],[Total Hours]])/60+SECOND(Tabel1[[#This Row],[Total Hours]])/3600</f>
        <v>0</v>
      </c>
      <c r="P302" s="6">
        <f>Tabel1[[#This Row],[End Time]]+(Tabel1[[#This Row],[End Time]]&lt;Tabel1[[#This Row],[Start time]])</f>
        <v>0</v>
      </c>
      <c r="Q302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03" spans="1:17" x14ac:dyDescent="0.35">
      <c r="A303" s="32"/>
      <c r="B303" s="32">
        <f t="shared" si="4"/>
        <v>296</v>
      </c>
      <c r="C303" s="32" t="str">
        <f>IFERROR(VLOOKUP(Tabel1[[#This Row],[Model]],Tableau2[[Model]:[Parking Number]],2,FALSE)," ")</f>
        <v xml:space="preserve"> </v>
      </c>
      <c r="D303" s="35"/>
      <c r="E303" s="32" t="str">
        <f>IF(Tabel1[[#This Row],[Model]]="", "",INDEX(Tableau2[Equipment Type],MATCH(Tabel1[[#This Row],[Model]],Tableau2[Model],0)))</f>
        <v/>
      </c>
      <c r="G303" s="4" t="str">
        <f>IF(Tabel1[[#This Row],[Model]]="", "",INDEX(Tableau2[Equipment],MATCH(Tabel1[[#This Row],[Model]],Tableau2[Model],0)))</f>
        <v/>
      </c>
      <c r="I303" s="10"/>
      <c r="K303" s="9"/>
      <c r="L303" s="9"/>
      <c r="M303" s="9"/>
      <c r="N30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03" s="30">
        <f>HOUR(Tabel1[[#This Row],[Total Hours]])+MINUTE(Tabel1[[#This Row],[Total Hours]])/60+SECOND(Tabel1[[#This Row],[Total Hours]])/3600</f>
        <v>0</v>
      </c>
      <c r="P303" s="6">
        <f>Tabel1[[#This Row],[End Time]]+(Tabel1[[#This Row],[End Time]]&lt;Tabel1[[#This Row],[Start time]])</f>
        <v>0</v>
      </c>
      <c r="Q303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04" spans="1:17" x14ac:dyDescent="0.35">
      <c r="A304" s="32"/>
      <c r="B304" s="32">
        <f t="shared" si="4"/>
        <v>297</v>
      </c>
      <c r="C304" s="32" t="str">
        <f>IFERROR(VLOOKUP(Tabel1[[#This Row],[Model]],Tableau2[[Model]:[Parking Number]],2,FALSE)," ")</f>
        <v xml:space="preserve"> </v>
      </c>
      <c r="D304" s="35"/>
      <c r="E304" s="32" t="str">
        <f>IF(Tabel1[[#This Row],[Model]]="", "",INDEX(Tableau2[Equipment Type],MATCH(Tabel1[[#This Row],[Model]],Tableau2[Model],0)))</f>
        <v/>
      </c>
      <c r="G304" s="4" t="str">
        <f>IF(Tabel1[[#This Row],[Model]]="", "",INDEX(Tableau2[Equipment],MATCH(Tabel1[[#This Row],[Model]],Tableau2[Model],0)))</f>
        <v/>
      </c>
      <c r="I304" s="10"/>
      <c r="K304" s="9"/>
      <c r="L304" s="9"/>
      <c r="M304" s="9"/>
      <c r="N30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04" s="30">
        <f>HOUR(Tabel1[[#This Row],[Total Hours]])+MINUTE(Tabel1[[#This Row],[Total Hours]])/60+SECOND(Tabel1[[#This Row],[Total Hours]])/3600</f>
        <v>0</v>
      </c>
      <c r="P304" s="6">
        <f>Tabel1[[#This Row],[End Time]]+(Tabel1[[#This Row],[End Time]]&lt;Tabel1[[#This Row],[Start time]])</f>
        <v>0</v>
      </c>
      <c r="Q304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05" spans="1:17" x14ac:dyDescent="0.35">
      <c r="A305" s="32"/>
      <c r="B305" s="32">
        <f t="shared" si="4"/>
        <v>298</v>
      </c>
      <c r="C305" s="32" t="str">
        <f>IFERROR(VLOOKUP(Tabel1[[#This Row],[Model]],Tableau2[[Model]:[Parking Number]],2,FALSE)," ")</f>
        <v xml:space="preserve"> </v>
      </c>
      <c r="D305" s="35"/>
      <c r="E305" s="32" t="str">
        <f>IF(Tabel1[[#This Row],[Model]]="", "",INDEX(Tableau2[Equipment Type],MATCH(Tabel1[[#This Row],[Model]],Tableau2[Model],0)))</f>
        <v/>
      </c>
      <c r="G305" s="4" t="str">
        <f>IF(Tabel1[[#This Row],[Model]]="", "",INDEX(Tableau2[Equipment],MATCH(Tabel1[[#This Row],[Model]],Tableau2[Model],0)))</f>
        <v/>
      </c>
      <c r="I305" s="10"/>
      <c r="K305" s="9"/>
      <c r="L305" s="9"/>
      <c r="M305" s="9"/>
      <c r="N30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05" s="30">
        <f>HOUR(Tabel1[[#This Row],[Total Hours]])+MINUTE(Tabel1[[#This Row],[Total Hours]])/60+SECOND(Tabel1[[#This Row],[Total Hours]])/3600</f>
        <v>0</v>
      </c>
      <c r="P305" s="6">
        <f>Tabel1[[#This Row],[End Time]]+(Tabel1[[#This Row],[End Time]]&lt;Tabel1[[#This Row],[Start time]])</f>
        <v>0</v>
      </c>
      <c r="Q305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06" spans="1:17" x14ac:dyDescent="0.35">
      <c r="A306" s="32"/>
      <c r="B306" s="32">
        <f t="shared" si="4"/>
        <v>299</v>
      </c>
      <c r="C306" s="32" t="str">
        <f>IFERROR(VLOOKUP(Tabel1[[#This Row],[Model]],Tableau2[[Model]:[Parking Number]],2,FALSE)," ")</f>
        <v xml:space="preserve"> </v>
      </c>
      <c r="D306" s="35"/>
      <c r="E306" s="32" t="str">
        <f>IF(Tabel1[[#This Row],[Model]]="", "",INDEX(Tableau2[Equipment Type],MATCH(Tabel1[[#This Row],[Model]],Tableau2[Model],0)))</f>
        <v/>
      </c>
      <c r="G306" s="4" t="str">
        <f>IF(Tabel1[[#This Row],[Model]]="", "",INDEX(Tableau2[Equipment],MATCH(Tabel1[[#This Row],[Model]],Tableau2[Model],0)))</f>
        <v/>
      </c>
      <c r="I306" s="10"/>
      <c r="K306" s="9"/>
      <c r="L306" s="9"/>
      <c r="M306" s="9"/>
      <c r="N30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06" s="30">
        <f>HOUR(Tabel1[[#This Row],[Total Hours]])+MINUTE(Tabel1[[#This Row],[Total Hours]])/60+SECOND(Tabel1[[#This Row],[Total Hours]])/3600</f>
        <v>0</v>
      </c>
      <c r="P306" s="6">
        <f>Tabel1[[#This Row],[End Time]]+(Tabel1[[#This Row],[End Time]]&lt;Tabel1[[#This Row],[Start time]])</f>
        <v>0</v>
      </c>
      <c r="Q306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07" spans="1:17" x14ac:dyDescent="0.35">
      <c r="A307" s="32"/>
      <c r="B307" s="32">
        <f t="shared" si="4"/>
        <v>300</v>
      </c>
      <c r="C307" s="32" t="str">
        <f>IFERROR(VLOOKUP(Tabel1[[#This Row],[Model]],Tableau2[[Model]:[Parking Number]],2,FALSE)," ")</f>
        <v xml:space="preserve"> </v>
      </c>
      <c r="D307" s="35"/>
      <c r="E307" s="32" t="str">
        <f>IF(Tabel1[[#This Row],[Model]]="", "",INDEX(Tableau2[Equipment Type],MATCH(Tabel1[[#This Row],[Model]],Tableau2[Model],0)))</f>
        <v/>
      </c>
      <c r="G307" s="4" t="str">
        <f>IF(Tabel1[[#This Row],[Model]]="", "",INDEX(Tableau2[Equipment],MATCH(Tabel1[[#This Row],[Model]],Tableau2[Model],0)))</f>
        <v/>
      </c>
      <c r="I307" s="10"/>
      <c r="K307" s="9"/>
      <c r="L307" s="9"/>
      <c r="M307" s="9"/>
      <c r="N30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07" s="30">
        <f>HOUR(Tabel1[[#This Row],[Total Hours]])+MINUTE(Tabel1[[#This Row],[Total Hours]])/60+SECOND(Tabel1[[#This Row],[Total Hours]])/3600</f>
        <v>0</v>
      </c>
      <c r="P307" s="6">
        <f>Tabel1[[#This Row],[End Time]]+(Tabel1[[#This Row],[End Time]]&lt;Tabel1[[#This Row],[Start time]])</f>
        <v>0</v>
      </c>
      <c r="Q307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08" spans="1:17" x14ac:dyDescent="0.35">
      <c r="A308" s="32"/>
      <c r="B308" s="32">
        <f t="shared" si="4"/>
        <v>301</v>
      </c>
      <c r="C308" s="32" t="str">
        <f>IFERROR(VLOOKUP(Tabel1[[#This Row],[Model]],Tableau2[[Model]:[Parking Number]],2,FALSE)," ")</f>
        <v xml:space="preserve"> </v>
      </c>
      <c r="D308" s="35"/>
      <c r="E308" s="32" t="str">
        <f>IF(Tabel1[[#This Row],[Model]]="", "",INDEX(Tableau2[Equipment Type],MATCH(Tabel1[[#This Row],[Model]],Tableau2[Model],0)))</f>
        <v/>
      </c>
      <c r="G308" s="4" t="str">
        <f>IF(Tabel1[[#This Row],[Model]]="", "",INDEX(Tableau2[Equipment],MATCH(Tabel1[[#This Row],[Model]],Tableau2[Model],0)))</f>
        <v/>
      </c>
      <c r="I308" s="10"/>
      <c r="K308" s="9"/>
      <c r="L308" s="9"/>
      <c r="M308" s="9"/>
      <c r="N30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08" s="30">
        <f>HOUR(Tabel1[[#This Row],[Total Hours]])+MINUTE(Tabel1[[#This Row],[Total Hours]])/60+SECOND(Tabel1[[#This Row],[Total Hours]])/3600</f>
        <v>0</v>
      </c>
      <c r="P308" s="6">
        <f>Tabel1[[#This Row],[End Time]]+(Tabel1[[#This Row],[End Time]]&lt;Tabel1[[#This Row],[Start time]])</f>
        <v>0</v>
      </c>
      <c r="Q308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09" spans="1:17" x14ac:dyDescent="0.35">
      <c r="A309" s="32"/>
      <c r="B309" s="32">
        <f t="shared" si="4"/>
        <v>302</v>
      </c>
      <c r="C309" s="32" t="str">
        <f>IFERROR(VLOOKUP(Tabel1[[#This Row],[Model]],Tableau2[[Model]:[Parking Number]],2,FALSE)," ")</f>
        <v xml:space="preserve"> </v>
      </c>
      <c r="D309" s="35"/>
      <c r="E309" s="32" t="str">
        <f>IF(Tabel1[[#This Row],[Model]]="", "",INDEX(Tableau2[Equipment Type],MATCH(Tabel1[[#This Row],[Model]],Tableau2[Model],0)))</f>
        <v/>
      </c>
      <c r="G309" s="4" t="str">
        <f>IF(Tabel1[[#This Row],[Model]]="", "",INDEX(Tableau2[Equipment],MATCH(Tabel1[[#This Row],[Model]],Tableau2[Model],0)))</f>
        <v/>
      </c>
      <c r="I309" s="10"/>
      <c r="K309" s="9"/>
      <c r="L309" s="9"/>
      <c r="M309" s="9"/>
      <c r="N30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09" s="30">
        <f>HOUR(Tabel1[[#This Row],[Total Hours]])+MINUTE(Tabel1[[#This Row],[Total Hours]])/60+SECOND(Tabel1[[#This Row],[Total Hours]])/3600</f>
        <v>0</v>
      </c>
      <c r="P309" s="6">
        <f>Tabel1[[#This Row],[End Time]]+(Tabel1[[#This Row],[End Time]]&lt;Tabel1[[#This Row],[Start time]])</f>
        <v>0</v>
      </c>
      <c r="Q309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10" spans="1:17" x14ac:dyDescent="0.35">
      <c r="A310" s="32"/>
      <c r="B310" s="32">
        <f t="shared" si="4"/>
        <v>303</v>
      </c>
      <c r="C310" s="32" t="str">
        <f>IFERROR(VLOOKUP(Tabel1[[#This Row],[Model]],Tableau2[[Model]:[Parking Number]],2,FALSE)," ")</f>
        <v xml:space="preserve"> </v>
      </c>
      <c r="D310" s="35"/>
      <c r="E310" s="32" t="str">
        <f>IF(Tabel1[[#This Row],[Model]]="", "",INDEX(Tableau2[Equipment Type],MATCH(Tabel1[[#This Row],[Model]],Tableau2[Model],0)))</f>
        <v/>
      </c>
      <c r="G310" s="4" t="str">
        <f>IF(Tabel1[[#This Row],[Model]]="", "",INDEX(Tableau2[Equipment],MATCH(Tabel1[[#This Row],[Model]],Tableau2[Model],0)))</f>
        <v/>
      </c>
      <c r="I310" s="10"/>
      <c r="K310" s="9"/>
      <c r="L310" s="9"/>
      <c r="M310" s="9"/>
      <c r="N31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10" s="30">
        <f>HOUR(Tabel1[[#This Row],[Total Hours]])+MINUTE(Tabel1[[#This Row],[Total Hours]])/60+SECOND(Tabel1[[#This Row],[Total Hours]])/3600</f>
        <v>0</v>
      </c>
      <c r="P310" s="6">
        <f>Tabel1[[#This Row],[End Time]]+(Tabel1[[#This Row],[End Time]]&lt;Tabel1[[#This Row],[Start time]])</f>
        <v>0</v>
      </c>
      <c r="Q310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11" spans="1:17" x14ac:dyDescent="0.35">
      <c r="A311" s="32"/>
      <c r="B311" s="32">
        <f t="shared" si="4"/>
        <v>304</v>
      </c>
      <c r="C311" s="32" t="str">
        <f>IFERROR(VLOOKUP(Tabel1[[#This Row],[Model]],Tableau2[[Model]:[Parking Number]],2,FALSE)," ")</f>
        <v xml:space="preserve"> </v>
      </c>
      <c r="D311" s="35"/>
      <c r="E311" s="32" t="str">
        <f>IF(Tabel1[[#This Row],[Model]]="", "",INDEX(Tableau2[Equipment Type],MATCH(Tabel1[[#This Row],[Model]],Tableau2[Model],0)))</f>
        <v/>
      </c>
      <c r="G311" s="4" t="str">
        <f>IF(Tabel1[[#This Row],[Model]]="", "",INDEX(Tableau2[Equipment],MATCH(Tabel1[[#This Row],[Model]],Tableau2[Model],0)))</f>
        <v/>
      </c>
      <c r="I311" s="10"/>
      <c r="K311" s="9"/>
      <c r="L311" s="9"/>
      <c r="M311" s="9"/>
      <c r="N31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11" s="30">
        <f>HOUR(Tabel1[[#This Row],[Total Hours]])+MINUTE(Tabel1[[#This Row],[Total Hours]])/60+SECOND(Tabel1[[#This Row],[Total Hours]])/3600</f>
        <v>0</v>
      </c>
      <c r="P311" s="6">
        <f>Tabel1[[#This Row],[End Time]]+(Tabel1[[#This Row],[End Time]]&lt;Tabel1[[#This Row],[Start time]])</f>
        <v>0</v>
      </c>
      <c r="Q311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12" spans="1:17" x14ac:dyDescent="0.35">
      <c r="A312" s="32"/>
      <c r="B312" s="32">
        <f t="shared" si="4"/>
        <v>305</v>
      </c>
      <c r="C312" s="32" t="str">
        <f>IFERROR(VLOOKUP(Tabel1[[#This Row],[Model]],Tableau2[[Model]:[Parking Number]],2,FALSE)," ")</f>
        <v xml:space="preserve"> </v>
      </c>
      <c r="D312" s="35"/>
      <c r="E312" s="32" t="str">
        <f>IF(Tabel1[[#This Row],[Model]]="", "",INDEX(Tableau2[Equipment Type],MATCH(Tabel1[[#This Row],[Model]],Tableau2[Model],0)))</f>
        <v/>
      </c>
      <c r="G312" s="4" t="str">
        <f>IF(Tabel1[[#This Row],[Model]]="", "",INDEX(Tableau2[Equipment],MATCH(Tabel1[[#This Row],[Model]],Tableau2[Model],0)))</f>
        <v/>
      </c>
      <c r="I312" s="10"/>
      <c r="K312" s="9"/>
      <c r="L312" s="9"/>
      <c r="M312" s="9"/>
      <c r="N31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12" s="30">
        <f>HOUR(Tabel1[[#This Row],[Total Hours]])+MINUTE(Tabel1[[#This Row],[Total Hours]])/60+SECOND(Tabel1[[#This Row],[Total Hours]])/3600</f>
        <v>0</v>
      </c>
      <c r="P312" s="6">
        <f>Tabel1[[#This Row],[End Time]]+(Tabel1[[#This Row],[End Time]]&lt;Tabel1[[#This Row],[Start time]])</f>
        <v>0</v>
      </c>
      <c r="Q312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13" spans="1:17" x14ac:dyDescent="0.35">
      <c r="A313" s="32"/>
      <c r="B313" s="32">
        <f t="shared" si="4"/>
        <v>306</v>
      </c>
      <c r="C313" s="32" t="str">
        <f>IFERROR(VLOOKUP(Tabel1[[#This Row],[Model]],Tableau2[[Model]:[Parking Number]],2,FALSE)," ")</f>
        <v xml:space="preserve"> </v>
      </c>
      <c r="D313" s="35"/>
      <c r="E313" s="32" t="str">
        <f>IF(Tabel1[[#This Row],[Model]]="", "",INDEX(Tableau2[Equipment Type],MATCH(Tabel1[[#This Row],[Model]],Tableau2[Model],0)))</f>
        <v/>
      </c>
      <c r="G313" s="4" t="str">
        <f>IF(Tabel1[[#This Row],[Model]]="", "",INDEX(Tableau2[Equipment],MATCH(Tabel1[[#This Row],[Model]],Tableau2[Model],0)))</f>
        <v/>
      </c>
      <c r="I313" s="10"/>
      <c r="K313" s="9"/>
      <c r="L313" s="9"/>
      <c r="M313" s="9"/>
      <c r="N31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13" s="30">
        <f>HOUR(Tabel1[[#This Row],[Total Hours]])+MINUTE(Tabel1[[#This Row],[Total Hours]])/60+SECOND(Tabel1[[#This Row],[Total Hours]])/3600</f>
        <v>0</v>
      </c>
      <c r="P313" s="6">
        <f>Tabel1[[#This Row],[End Time]]+(Tabel1[[#This Row],[End Time]]&lt;Tabel1[[#This Row],[Start time]])</f>
        <v>0</v>
      </c>
      <c r="Q313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14" spans="1:17" x14ac:dyDescent="0.35">
      <c r="A314" s="32"/>
      <c r="B314" s="32">
        <f t="shared" si="4"/>
        <v>307</v>
      </c>
      <c r="C314" s="32" t="str">
        <f>IFERROR(VLOOKUP(Tabel1[[#This Row],[Model]],Tableau2[[Model]:[Parking Number]],2,FALSE)," ")</f>
        <v xml:space="preserve"> </v>
      </c>
      <c r="D314" s="35"/>
      <c r="E314" s="32" t="str">
        <f>IF(Tabel1[[#This Row],[Model]]="", "",INDEX(Tableau2[Equipment Type],MATCH(Tabel1[[#This Row],[Model]],Tableau2[Model],0)))</f>
        <v/>
      </c>
      <c r="G314" s="4" t="str">
        <f>IF(Tabel1[[#This Row],[Model]]="", "",INDEX(Tableau2[Equipment],MATCH(Tabel1[[#This Row],[Model]],Tableau2[Model],0)))</f>
        <v/>
      </c>
      <c r="I314" s="10"/>
      <c r="K314" s="9"/>
      <c r="L314" s="9"/>
      <c r="M314" s="9"/>
      <c r="N31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14" s="30">
        <f>HOUR(Tabel1[[#This Row],[Total Hours]])+MINUTE(Tabel1[[#This Row],[Total Hours]])/60+SECOND(Tabel1[[#This Row],[Total Hours]])/3600</f>
        <v>0</v>
      </c>
      <c r="P314" s="6">
        <f>Tabel1[[#This Row],[End Time]]+(Tabel1[[#This Row],[End Time]]&lt;Tabel1[[#This Row],[Start time]])</f>
        <v>0</v>
      </c>
      <c r="Q314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15" spans="1:17" x14ac:dyDescent="0.35">
      <c r="A315" s="32"/>
      <c r="B315" s="32">
        <f t="shared" si="4"/>
        <v>308</v>
      </c>
      <c r="C315" s="32" t="str">
        <f>IFERROR(VLOOKUP(Tabel1[[#This Row],[Model]],Tableau2[[Model]:[Parking Number]],2,FALSE)," ")</f>
        <v xml:space="preserve"> </v>
      </c>
      <c r="D315" s="35"/>
      <c r="E315" s="32" t="str">
        <f>IF(Tabel1[[#This Row],[Model]]="", "",INDEX(Tableau2[Equipment Type],MATCH(Tabel1[[#This Row],[Model]],Tableau2[Model],0)))</f>
        <v/>
      </c>
      <c r="G315" s="4" t="str">
        <f>IF(Tabel1[[#This Row],[Model]]="", "",INDEX(Tableau2[Equipment],MATCH(Tabel1[[#This Row],[Model]],Tableau2[Model],0)))</f>
        <v/>
      </c>
      <c r="I315" s="10"/>
      <c r="K315" s="9"/>
      <c r="L315" s="9"/>
      <c r="M315" s="9"/>
      <c r="N31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15" s="30">
        <f>HOUR(Tabel1[[#This Row],[Total Hours]])+MINUTE(Tabel1[[#This Row],[Total Hours]])/60+SECOND(Tabel1[[#This Row],[Total Hours]])/3600</f>
        <v>0</v>
      </c>
      <c r="P315" s="6">
        <f>Tabel1[[#This Row],[End Time]]+(Tabel1[[#This Row],[End Time]]&lt;Tabel1[[#This Row],[Start time]])</f>
        <v>0</v>
      </c>
      <c r="Q315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16" spans="1:17" x14ac:dyDescent="0.35">
      <c r="A316" s="32"/>
      <c r="B316" s="32">
        <f t="shared" si="4"/>
        <v>309</v>
      </c>
      <c r="C316" s="32" t="str">
        <f>IFERROR(VLOOKUP(Tabel1[[#This Row],[Model]],Tableau2[[Model]:[Parking Number]],2,FALSE)," ")</f>
        <v xml:space="preserve"> </v>
      </c>
      <c r="D316" s="35"/>
      <c r="E316" s="32" t="str">
        <f>IF(Tabel1[[#This Row],[Model]]="", "",INDEX(Tableau2[Equipment Type],MATCH(Tabel1[[#This Row],[Model]],Tableau2[Model],0)))</f>
        <v/>
      </c>
      <c r="G316" s="4" t="str">
        <f>IF(Tabel1[[#This Row],[Model]]="", "",INDEX(Tableau2[Equipment],MATCH(Tabel1[[#This Row],[Model]],Tableau2[Model],0)))</f>
        <v/>
      </c>
      <c r="I316" s="10"/>
      <c r="K316" s="9"/>
      <c r="L316" s="9"/>
      <c r="M316" s="9"/>
      <c r="N31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16" s="30">
        <f>HOUR(Tabel1[[#This Row],[Total Hours]])+MINUTE(Tabel1[[#This Row],[Total Hours]])/60+SECOND(Tabel1[[#This Row],[Total Hours]])/3600</f>
        <v>0</v>
      </c>
      <c r="P316" s="6">
        <f>Tabel1[[#This Row],[End Time]]+(Tabel1[[#This Row],[End Time]]&lt;Tabel1[[#This Row],[Start time]])</f>
        <v>0</v>
      </c>
      <c r="Q316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17" spans="1:17" x14ac:dyDescent="0.35">
      <c r="A317" s="32"/>
      <c r="B317" s="32">
        <f t="shared" si="4"/>
        <v>310</v>
      </c>
      <c r="C317" s="32" t="str">
        <f>IFERROR(VLOOKUP(Tabel1[[#This Row],[Model]],Tableau2[[Model]:[Parking Number]],2,FALSE)," ")</f>
        <v xml:space="preserve"> </v>
      </c>
      <c r="D317" s="35"/>
      <c r="E317" s="32" t="str">
        <f>IF(Tabel1[[#This Row],[Model]]="", "",INDEX(Tableau2[Equipment Type],MATCH(Tabel1[[#This Row],[Model]],Tableau2[Model],0)))</f>
        <v/>
      </c>
      <c r="G317" s="4" t="str">
        <f>IF(Tabel1[[#This Row],[Model]]="", "",INDEX(Tableau2[Equipment],MATCH(Tabel1[[#This Row],[Model]],Tableau2[Model],0)))</f>
        <v/>
      </c>
      <c r="I317" s="10"/>
      <c r="K317" s="9"/>
      <c r="L317" s="9"/>
      <c r="M317" s="9"/>
      <c r="N31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17" s="30">
        <f>HOUR(Tabel1[[#This Row],[Total Hours]])+MINUTE(Tabel1[[#This Row],[Total Hours]])/60+SECOND(Tabel1[[#This Row],[Total Hours]])/3600</f>
        <v>0</v>
      </c>
      <c r="P317" s="6">
        <f>Tabel1[[#This Row],[End Time]]+(Tabel1[[#This Row],[End Time]]&lt;Tabel1[[#This Row],[Start time]])</f>
        <v>0</v>
      </c>
      <c r="Q317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18" spans="1:17" x14ac:dyDescent="0.35">
      <c r="A318" s="32"/>
      <c r="B318" s="32">
        <f t="shared" si="4"/>
        <v>311</v>
      </c>
      <c r="C318" s="32" t="str">
        <f>IFERROR(VLOOKUP(Tabel1[[#This Row],[Model]],Tableau2[[Model]:[Parking Number]],2,FALSE)," ")</f>
        <v xml:space="preserve"> </v>
      </c>
      <c r="D318" s="35"/>
      <c r="E318" s="32" t="str">
        <f>IF(Tabel1[[#This Row],[Model]]="", "",INDEX(Tableau2[Equipment Type],MATCH(Tabel1[[#This Row],[Model]],Tableau2[Model],0)))</f>
        <v/>
      </c>
      <c r="G318" s="4" t="str">
        <f>IF(Tabel1[[#This Row],[Model]]="", "",INDEX(Tableau2[Equipment],MATCH(Tabel1[[#This Row],[Model]],Tableau2[Model],0)))</f>
        <v/>
      </c>
      <c r="I318" s="10"/>
      <c r="K318" s="9"/>
      <c r="L318" s="9"/>
      <c r="M318" s="9"/>
      <c r="N31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18" s="30">
        <f>HOUR(Tabel1[[#This Row],[Total Hours]])+MINUTE(Tabel1[[#This Row],[Total Hours]])/60+SECOND(Tabel1[[#This Row],[Total Hours]])/3600</f>
        <v>0</v>
      </c>
      <c r="P318" s="6">
        <f>Tabel1[[#This Row],[End Time]]+(Tabel1[[#This Row],[End Time]]&lt;Tabel1[[#This Row],[Start time]])</f>
        <v>0</v>
      </c>
      <c r="Q318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19" spans="1:17" x14ac:dyDescent="0.35">
      <c r="A319" s="32"/>
      <c r="B319" s="32">
        <f t="shared" si="4"/>
        <v>312</v>
      </c>
      <c r="C319" s="32" t="str">
        <f>IFERROR(VLOOKUP(Tabel1[[#This Row],[Model]],Tableau2[[Model]:[Parking Number]],2,FALSE)," ")</f>
        <v xml:space="preserve"> </v>
      </c>
      <c r="D319" s="35"/>
      <c r="E319" s="32" t="str">
        <f>IF(Tabel1[[#This Row],[Model]]="", "",INDEX(Tableau2[Equipment Type],MATCH(Tabel1[[#This Row],[Model]],Tableau2[Model],0)))</f>
        <v/>
      </c>
      <c r="G319" s="4" t="str">
        <f>IF(Tabel1[[#This Row],[Model]]="", "",INDEX(Tableau2[Equipment],MATCH(Tabel1[[#This Row],[Model]],Tableau2[Model],0)))</f>
        <v/>
      </c>
      <c r="I319" s="10"/>
      <c r="K319" s="9"/>
      <c r="L319" s="9"/>
      <c r="M319" s="9"/>
      <c r="N31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19" s="30">
        <f>HOUR(Tabel1[[#This Row],[Total Hours]])+MINUTE(Tabel1[[#This Row],[Total Hours]])/60+SECOND(Tabel1[[#This Row],[Total Hours]])/3600</f>
        <v>0</v>
      </c>
      <c r="P319" s="6">
        <f>Tabel1[[#This Row],[End Time]]+(Tabel1[[#This Row],[End Time]]&lt;Tabel1[[#This Row],[Start time]])</f>
        <v>0</v>
      </c>
      <c r="Q319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20" spans="1:17" x14ac:dyDescent="0.35">
      <c r="A320" s="32"/>
      <c r="B320" s="32">
        <f t="shared" si="4"/>
        <v>313</v>
      </c>
      <c r="C320" s="32" t="str">
        <f>IFERROR(VLOOKUP(Tabel1[[#This Row],[Model]],Tableau2[[Model]:[Parking Number]],2,FALSE)," ")</f>
        <v xml:space="preserve"> </v>
      </c>
      <c r="D320" s="35"/>
      <c r="E320" s="32" t="str">
        <f>IF(Tabel1[[#This Row],[Model]]="", "",INDEX(Tableau2[Equipment Type],MATCH(Tabel1[[#This Row],[Model]],Tableau2[Model],0)))</f>
        <v/>
      </c>
      <c r="G320" s="4" t="str">
        <f>IF(Tabel1[[#This Row],[Model]]="", "",INDEX(Tableau2[Equipment],MATCH(Tabel1[[#This Row],[Model]],Tableau2[Model],0)))</f>
        <v/>
      </c>
      <c r="I320" s="10"/>
      <c r="K320" s="9"/>
      <c r="L320" s="9"/>
      <c r="M320" s="9"/>
      <c r="N32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20" s="30">
        <f>HOUR(Tabel1[[#This Row],[Total Hours]])+MINUTE(Tabel1[[#This Row],[Total Hours]])/60+SECOND(Tabel1[[#This Row],[Total Hours]])/3600</f>
        <v>0</v>
      </c>
      <c r="P320" s="6">
        <f>Tabel1[[#This Row],[End Time]]+(Tabel1[[#This Row],[End Time]]&lt;Tabel1[[#This Row],[Start time]])</f>
        <v>0</v>
      </c>
      <c r="Q320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21" spans="1:17" x14ac:dyDescent="0.35">
      <c r="A321" s="32"/>
      <c r="B321" s="32">
        <f t="shared" si="4"/>
        <v>314</v>
      </c>
      <c r="C321" s="32" t="str">
        <f>IFERROR(VLOOKUP(Tabel1[[#This Row],[Model]],Tableau2[[Model]:[Parking Number]],2,FALSE)," ")</f>
        <v xml:space="preserve"> </v>
      </c>
      <c r="D321" s="35"/>
      <c r="E321" s="32" t="str">
        <f>IF(Tabel1[[#This Row],[Model]]="", "",INDEX(Tableau2[Equipment Type],MATCH(Tabel1[[#This Row],[Model]],Tableau2[Model],0)))</f>
        <v/>
      </c>
      <c r="G321" s="4" t="str">
        <f>IF(Tabel1[[#This Row],[Model]]="", "",INDEX(Tableau2[Equipment],MATCH(Tabel1[[#This Row],[Model]],Tableau2[Model],0)))</f>
        <v/>
      </c>
      <c r="I321" s="10"/>
      <c r="K321" s="9"/>
      <c r="L321" s="9"/>
      <c r="M321" s="9"/>
      <c r="N32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21" s="30">
        <f>HOUR(Tabel1[[#This Row],[Total Hours]])+MINUTE(Tabel1[[#This Row],[Total Hours]])/60+SECOND(Tabel1[[#This Row],[Total Hours]])/3600</f>
        <v>0</v>
      </c>
      <c r="P321" s="6">
        <f>Tabel1[[#This Row],[End Time]]+(Tabel1[[#This Row],[End Time]]&lt;Tabel1[[#This Row],[Start time]])</f>
        <v>0</v>
      </c>
      <c r="Q321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22" spans="1:17" x14ac:dyDescent="0.35">
      <c r="A322" s="32"/>
      <c r="B322" s="32">
        <f t="shared" si="4"/>
        <v>315</v>
      </c>
      <c r="C322" s="32" t="str">
        <f>IFERROR(VLOOKUP(Tabel1[[#This Row],[Model]],Tableau2[[Model]:[Parking Number]],2,FALSE)," ")</f>
        <v xml:space="preserve"> </v>
      </c>
      <c r="D322" s="35"/>
      <c r="E322" s="32" t="str">
        <f>IF(Tabel1[[#This Row],[Model]]="", "",INDEX(Tableau2[Equipment Type],MATCH(Tabel1[[#This Row],[Model]],Tableau2[Model],0)))</f>
        <v/>
      </c>
      <c r="G322" s="4" t="str">
        <f>IF(Tabel1[[#This Row],[Model]]="", "",INDEX(Tableau2[Equipment],MATCH(Tabel1[[#This Row],[Model]],Tableau2[Model],0)))</f>
        <v/>
      </c>
      <c r="I322" s="10"/>
      <c r="K322" s="9"/>
      <c r="L322" s="9"/>
      <c r="M322" s="9"/>
      <c r="N32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22" s="30">
        <f>HOUR(Tabel1[[#This Row],[Total Hours]])+MINUTE(Tabel1[[#This Row],[Total Hours]])/60+SECOND(Tabel1[[#This Row],[Total Hours]])/3600</f>
        <v>0</v>
      </c>
      <c r="P322" s="6">
        <f>Tabel1[[#This Row],[End Time]]+(Tabel1[[#This Row],[End Time]]&lt;Tabel1[[#This Row],[Start time]])</f>
        <v>0</v>
      </c>
      <c r="Q322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23" spans="1:17" x14ac:dyDescent="0.35">
      <c r="A323" s="32"/>
      <c r="B323" s="32">
        <f t="shared" si="4"/>
        <v>316</v>
      </c>
      <c r="C323" s="32" t="str">
        <f>IFERROR(VLOOKUP(Tabel1[[#This Row],[Model]],Tableau2[[Model]:[Parking Number]],2,FALSE)," ")</f>
        <v xml:space="preserve"> </v>
      </c>
      <c r="D323" s="35"/>
      <c r="E323" s="32" t="str">
        <f>IF(Tabel1[[#This Row],[Model]]="", "",INDEX(Tableau2[Equipment Type],MATCH(Tabel1[[#This Row],[Model]],Tableau2[Model],0)))</f>
        <v/>
      </c>
      <c r="G323" s="4" t="str">
        <f>IF(Tabel1[[#This Row],[Model]]="", "",INDEX(Tableau2[Equipment],MATCH(Tabel1[[#This Row],[Model]],Tableau2[Model],0)))</f>
        <v/>
      </c>
      <c r="I323" s="10"/>
      <c r="K323" s="9"/>
      <c r="L323" s="9"/>
      <c r="M323" s="9"/>
      <c r="N32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23" s="30">
        <f>HOUR(Tabel1[[#This Row],[Total Hours]])+MINUTE(Tabel1[[#This Row],[Total Hours]])/60+SECOND(Tabel1[[#This Row],[Total Hours]])/3600</f>
        <v>0</v>
      </c>
      <c r="P323" s="6">
        <f>Tabel1[[#This Row],[End Time]]+(Tabel1[[#This Row],[End Time]]&lt;Tabel1[[#This Row],[Start time]])</f>
        <v>0</v>
      </c>
      <c r="Q323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24" spans="1:17" x14ac:dyDescent="0.35">
      <c r="A324" s="32"/>
      <c r="B324" s="32">
        <f t="shared" si="4"/>
        <v>317</v>
      </c>
      <c r="C324" s="32" t="str">
        <f>IFERROR(VLOOKUP(Tabel1[[#This Row],[Model]],Tableau2[[Model]:[Parking Number]],2,FALSE)," ")</f>
        <v xml:space="preserve"> </v>
      </c>
      <c r="D324" s="35"/>
      <c r="E324" s="32" t="str">
        <f>IF(Tabel1[[#This Row],[Model]]="", "",INDEX(Tableau2[Equipment Type],MATCH(Tabel1[[#This Row],[Model]],Tableau2[Model],0)))</f>
        <v/>
      </c>
      <c r="G324" s="4" t="str">
        <f>IF(Tabel1[[#This Row],[Model]]="", "",INDEX(Tableau2[Equipment],MATCH(Tabel1[[#This Row],[Model]],Tableau2[Model],0)))</f>
        <v/>
      </c>
      <c r="I324" s="10"/>
      <c r="K324" s="9"/>
      <c r="L324" s="9"/>
      <c r="M324" s="9"/>
      <c r="N32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24" s="30">
        <f>HOUR(Tabel1[[#This Row],[Total Hours]])+MINUTE(Tabel1[[#This Row],[Total Hours]])/60+SECOND(Tabel1[[#This Row],[Total Hours]])/3600</f>
        <v>0</v>
      </c>
      <c r="P324" s="6">
        <f>Tabel1[[#This Row],[End Time]]+(Tabel1[[#This Row],[End Time]]&lt;Tabel1[[#This Row],[Start time]])</f>
        <v>0</v>
      </c>
      <c r="Q324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25" spans="1:17" x14ac:dyDescent="0.35">
      <c r="A325" s="32"/>
      <c r="B325" s="32">
        <f t="shared" si="4"/>
        <v>318</v>
      </c>
      <c r="C325" s="32" t="str">
        <f>IFERROR(VLOOKUP(Tabel1[[#This Row],[Model]],Tableau2[[Model]:[Parking Number]],2,FALSE)," ")</f>
        <v xml:space="preserve"> </v>
      </c>
      <c r="D325" s="35"/>
      <c r="E325" s="32" t="str">
        <f>IF(Tabel1[[#This Row],[Model]]="", "",INDEX(Tableau2[Equipment Type],MATCH(Tabel1[[#This Row],[Model]],Tableau2[Model],0)))</f>
        <v/>
      </c>
      <c r="G325" s="4" t="str">
        <f>IF(Tabel1[[#This Row],[Model]]="", "",INDEX(Tableau2[Equipment],MATCH(Tabel1[[#This Row],[Model]],Tableau2[Model],0)))</f>
        <v/>
      </c>
      <c r="I325" s="10"/>
      <c r="K325" s="9"/>
      <c r="L325" s="9"/>
      <c r="M325" s="9"/>
      <c r="N32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25" s="30">
        <f>HOUR(Tabel1[[#This Row],[Total Hours]])+MINUTE(Tabel1[[#This Row],[Total Hours]])/60+SECOND(Tabel1[[#This Row],[Total Hours]])/3600</f>
        <v>0</v>
      </c>
      <c r="P325" s="6">
        <f>Tabel1[[#This Row],[End Time]]+(Tabel1[[#This Row],[End Time]]&lt;Tabel1[[#This Row],[Start time]])</f>
        <v>0</v>
      </c>
      <c r="Q325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26" spans="1:17" x14ac:dyDescent="0.35">
      <c r="A326" s="32"/>
      <c r="B326" s="32">
        <f t="shared" si="4"/>
        <v>319</v>
      </c>
      <c r="C326" s="32" t="str">
        <f>IFERROR(VLOOKUP(Tabel1[[#This Row],[Model]],Tableau2[[Model]:[Parking Number]],2,FALSE)," ")</f>
        <v xml:space="preserve"> </v>
      </c>
      <c r="D326" s="35"/>
      <c r="E326" s="32" t="str">
        <f>IF(Tabel1[[#This Row],[Model]]="", "",INDEX(Tableau2[Equipment Type],MATCH(Tabel1[[#This Row],[Model]],Tableau2[Model],0)))</f>
        <v/>
      </c>
      <c r="G326" s="4" t="str">
        <f>IF(Tabel1[[#This Row],[Model]]="", "",INDEX(Tableau2[Equipment],MATCH(Tabel1[[#This Row],[Model]],Tableau2[Model],0)))</f>
        <v/>
      </c>
      <c r="I326" s="10"/>
      <c r="K326" s="9"/>
      <c r="L326" s="9"/>
      <c r="M326" s="9"/>
      <c r="N32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26" s="30">
        <f>HOUR(Tabel1[[#This Row],[Total Hours]])+MINUTE(Tabel1[[#This Row],[Total Hours]])/60+SECOND(Tabel1[[#This Row],[Total Hours]])/3600</f>
        <v>0</v>
      </c>
      <c r="P326" s="6">
        <f>Tabel1[[#This Row],[End Time]]+(Tabel1[[#This Row],[End Time]]&lt;Tabel1[[#This Row],[Start time]])</f>
        <v>0</v>
      </c>
      <c r="Q326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27" spans="1:17" x14ac:dyDescent="0.35">
      <c r="A327" s="32"/>
      <c r="B327" s="32">
        <f t="shared" si="4"/>
        <v>320</v>
      </c>
      <c r="C327" s="32" t="str">
        <f>IFERROR(VLOOKUP(Tabel1[[#This Row],[Model]],Tableau2[[Model]:[Parking Number]],2,FALSE)," ")</f>
        <v xml:space="preserve"> </v>
      </c>
      <c r="D327" s="35"/>
      <c r="E327" s="32" t="str">
        <f>IF(Tabel1[[#This Row],[Model]]="", "",INDEX(Tableau2[Equipment Type],MATCH(Tabel1[[#This Row],[Model]],Tableau2[Model],0)))</f>
        <v/>
      </c>
      <c r="G327" s="4" t="str">
        <f>IF(Tabel1[[#This Row],[Model]]="", "",INDEX(Tableau2[Equipment],MATCH(Tabel1[[#This Row],[Model]],Tableau2[Model],0)))</f>
        <v/>
      </c>
      <c r="I327" s="10"/>
      <c r="K327" s="9"/>
      <c r="L327" s="9"/>
      <c r="M327" s="9"/>
      <c r="N32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27" s="30">
        <f>HOUR(Tabel1[[#This Row],[Total Hours]])+MINUTE(Tabel1[[#This Row],[Total Hours]])/60+SECOND(Tabel1[[#This Row],[Total Hours]])/3600</f>
        <v>0</v>
      </c>
      <c r="P327" s="6">
        <f>Tabel1[[#This Row],[End Time]]+(Tabel1[[#This Row],[End Time]]&lt;Tabel1[[#This Row],[Start time]])</f>
        <v>0</v>
      </c>
      <c r="Q327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28" spans="1:17" x14ac:dyDescent="0.35">
      <c r="A328" s="32"/>
      <c r="B328" s="32">
        <f t="shared" si="4"/>
        <v>321</v>
      </c>
      <c r="C328" s="32" t="str">
        <f>IFERROR(VLOOKUP(Tabel1[[#This Row],[Model]],Tableau2[[Model]:[Parking Number]],2,FALSE)," ")</f>
        <v xml:space="preserve"> </v>
      </c>
      <c r="D328" s="35"/>
      <c r="E328" s="32" t="str">
        <f>IF(Tabel1[[#This Row],[Model]]="", "",INDEX(Tableau2[Equipment Type],MATCH(Tabel1[[#This Row],[Model]],Tableau2[Model],0)))</f>
        <v/>
      </c>
      <c r="G328" s="4" t="str">
        <f>IF(Tabel1[[#This Row],[Model]]="", "",INDEX(Tableau2[Equipment],MATCH(Tabel1[[#This Row],[Model]],Tableau2[Model],0)))</f>
        <v/>
      </c>
      <c r="I328" s="10"/>
      <c r="K328" s="9"/>
      <c r="L328" s="9"/>
      <c r="M328" s="9"/>
      <c r="N32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28" s="30">
        <f>HOUR(Tabel1[[#This Row],[Total Hours]])+MINUTE(Tabel1[[#This Row],[Total Hours]])/60+SECOND(Tabel1[[#This Row],[Total Hours]])/3600</f>
        <v>0</v>
      </c>
      <c r="P328" s="6">
        <f>Tabel1[[#This Row],[End Time]]+(Tabel1[[#This Row],[End Time]]&lt;Tabel1[[#This Row],[Start time]])</f>
        <v>0</v>
      </c>
      <c r="Q328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29" spans="1:17" x14ac:dyDescent="0.35">
      <c r="A329" s="32"/>
      <c r="B329" s="32">
        <f t="shared" ref="B329:B363" si="5">B328+1</f>
        <v>322</v>
      </c>
      <c r="C329" s="32" t="str">
        <f>IFERROR(VLOOKUP(Tabel1[[#This Row],[Model]],Tableau2[[Model]:[Parking Number]],2,FALSE)," ")</f>
        <v xml:space="preserve"> </v>
      </c>
      <c r="D329" s="35"/>
      <c r="E329" s="32" t="str">
        <f>IF(Tabel1[[#This Row],[Model]]="", "",INDEX(Tableau2[Equipment Type],MATCH(Tabel1[[#This Row],[Model]],Tableau2[Model],0)))</f>
        <v/>
      </c>
      <c r="G329" s="4" t="str">
        <f>IF(Tabel1[[#This Row],[Model]]="", "",INDEX(Tableau2[Equipment],MATCH(Tabel1[[#This Row],[Model]],Tableau2[Model],0)))</f>
        <v/>
      </c>
      <c r="I329" s="10"/>
      <c r="K329" s="9"/>
      <c r="L329" s="9"/>
      <c r="M329" s="9"/>
      <c r="N32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29" s="30">
        <f>HOUR(Tabel1[[#This Row],[Total Hours]])+MINUTE(Tabel1[[#This Row],[Total Hours]])/60+SECOND(Tabel1[[#This Row],[Total Hours]])/3600</f>
        <v>0</v>
      </c>
      <c r="P329" s="6">
        <f>Tabel1[[#This Row],[End Time]]+(Tabel1[[#This Row],[End Time]]&lt;Tabel1[[#This Row],[Start time]])</f>
        <v>0</v>
      </c>
      <c r="Q329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30" spans="1:17" x14ac:dyDescent="0.35">
      <c r="A330" s="32"/>
      <c r="B330" s="32">
        <f t="shared" si="5"/>
        <v>323</v>
      </c>
      <c r="C330" s="32" t="str">
        <f>IFERROR(VLOOKUP(Tabel1[[#This Row],[Model]],Tableau2[[Model]:[Parking Number]],2,FALSE)," ")</f>
        <v xml:space="preserve"> </v>
      </c>
      <c r="D330" s="35"/>
      <c r="E330" s="32" t="str">
        <f>IF(Tabel1[[#This Row],[Model]]="", "",INDEX(Tableau2[Equipment Type],MATCH(Tabel1[[#This Row],[Model]],Tableau2[Model],0)))</f>
        <v/>
      </c>
      <c r="G330" s="4" t="str">
        <f>IF(Tabel1[[#This Row],[Model]]="", "",INDEX(Tableau2[Equipment],MATCH(Tabel1[[#This Row],[Model]],Tableau2[Model],0)))</f>
        <v/>
      </c>
      <c r="I330" s="10"/>
      <c r="K330" s="9"/>
      <c r="L330" s="9"/>
      <c r="M330" s="9"/>
      <c r="N33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30" s="30">
        <f>HOUR(Tabel1[[#This Row],[Total Hours]])+MINUTE(Tabel1[[#This Row],[Total Hours]])/60+SECOND(Tabel1[[#This Row],[Total Hours]])/3600</f>
        <v>0</v>
      </c>
      <c r="P330" s="6">
        <f>Tabel1[[#This Row],[End Time]]+(Tabel1[[#This Row],[End Time]]&lt;Tabel1[[#This Row],[Start time]])</f>
        <v>0</v>
      </c>
      <c r="Q330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31" spans="1:17" x14ac:dyDescent="0.35">
      <c r="A331" s="32"/>
      <c r="B331" s="32">
        <f t="shared" si="5"/>
        <v>324</v>
      </c>
      <c r="C331" s="32" t="str">
        <f>IFERROR(VLOOKUP(Tabel1[[#This Row],[Model]],Tableau2[[Model]:[Parking Number]],2,FALSE)," ")</f>
        <v xml:space="preserve"> </v>
      </c>
      <c r="D331" s="35"/>
      <c r="E331" s="32" t="str">
        <f>IF(Tabel1[[#This Row],[Model]]="", "",INDEX(Tableau2[Equipment Type],MATCH(Tabel1[[#This Row],[Model]],Tableau2[Model],0)))</f>
        <v/>
      </c>
      <c r="G331" s="4" t="str">
        <f>IF(Tabel1[[#This Row],[Model]]="", "",INDEX(Tableau2[Equipment],MATCH(Tabel1[[#This Row],[Model]],Tableau2[Model],0)))</f>
        <v/>
      </c>
      <c r="I331" s="10"/>
      <c r="K331" s="9"/>
      <c r="L331" s="9"/>
      <c r="M331" s="9"/>
      <c r="N33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31" s="30">
        <f>HOUR(Tabel1[[#This Row],[Total Hours]])+MINUTE(Tabel1[[#This Row],[Total Hours]])/60+SECOND(Tabel1[[#This Row],[Total Hours]])/3600</f>
        <v>0</v>
      </c>
      <c r="P331" s="6">
        <f>Tabel1[[#This Row],[End Time]]+(Tabel1[[#This Row],[End Time]]&lt;Tabel1[[#This Row],[Start time]])</f>
        <v>0</v>
      </c>
      <c r="Q331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32" spans="1:17" x14ac:dyDescent="0.35">
      <c r="A332" s="32"/>
      <c r="B332" s="32">
        <f t="shared" si="5"/>
        <v>325</v>
      </c>
      <c r="C332" s="32" t="str">
        <f>IFERROR(VLOOKUP(Tabel1[[#This Row],[Model]],Tableau2[[Model]:[Parking Number]],2,FALSE)," ")</f>
        <v xml:space="preserve"> </v>
      </c>
      <c r="D332" s="35"/>
      <c r="E332" s="32" t="str">
        <f>IF(Tabel1[[#This Row],[Model]]="", "",INDEX(Tableau2[Equipment Type],MATCH(Tabel1[[#This Row],[Model]],Tableau2[Model],0)))</f>
        <v/>
      </c>
      <c r="G332" s="4" t="str">
        <f>IF(Tabel1[[#This Row],[Model]]="", "",INDEX(Tableau2[Equipment],MATCH(Tabel1[[#This Row],[Model]],Tableau2[Model],0)))</f>
        <v/>
      </c>
      <c r="I332" s="10"/>
      <c r="K332" s="9"/>
      <c r="L332" s="9"/>
      <c r="M332" s="9"/>
      <c r="N33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32" s="30">
        <f>HOUR(Tabel1[[#This Row],[Total Hours]])+MINUTE(Tabel1[[#This Row],[Total Hours]])/60+SECOND(Tabel1[[#This Row],[Total Hours]])/3600</f>
        <v>0</v>
      </c>
      <c r="P332" s="6">
        <f>Tabel1[[#This Row],[End Time]]+(Tabel1[[#This Row],[End Time]]&lt;Tabel1[[#This Row],[Start time]])</f>
        <v>0</v>
      </c>
      <c r="Q332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33" spans="1:17" x14ac:dyDescent="0.35">
      <c r="A333" s="32"/>
      <c r="B333" s="32">
        <f t="shared" si="5"/>
        <v>326</v>
      </c>
      <c r="C333" s="32" t="str">
        <f>IFERROR(VLOOKUP(Tabel1[[#This Row],[Model]],Tableau2[[Model]:[Parking Number]],2,FALSE)," ")</f>
        <v xml:space="preserve"> </v>
      </c>
      <c r="D333" s="35"/>
      <c r="E333" s="32" t="str">
        <f>IF(Tabel1[[#This Row],[Model]]="", "",INDEX(Tableau2[Equipment Type],MATCH(Tabel1[[#This Row],[Model]],Tableau2[Model],0)))</f>
        <v/>
      </c>
      <c r="G333" s="4" t="str">
        <f>IF(Tabel1[[#This Row],[Model]]="", "",INDEX(Tableau2[Equipment],MATCH(Tabel1[[#This Row],[Model]],Tableau2[Model],0)))</f>
        <v/>
      </c>
      <c r="I333" s="10"/>
      <c r="K333" s="9"/>
      <c r="L333" s="9"/>
      <c r="M333" s="9"/>
      <c r="N33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33" s="30">
        <f>HOUR(Tabel1[[#This Row],[Total Hours]])+MINUTE(Tabel1[[#This Row],[Total Hours]])/60+SECOND(Tabel1[[#This Row],[Total Hours]])/3600</f>
        <v>0</v>
      </c>
      <c r="P333" s="6">
        <f>Tabel1[[#This Row],[End Time]]+(Tabel1[[#This Row],[End Time]]&lt;Tabel1[[#This Row],[Start time]])</f>
        <v>0</v>
      </c>
      <c r="Q333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34" spans="1:17" x14ac:dyDescent="0.35">
      <c r="A334" s="32"/>
      <c r="B334" s="32">
        <f t="shared" si="5"/>
        <v>327</v>
      </c>
      <c r="C334" s="32" t="str">
        <f>IFERROR(VLOOKUP(Tabel1[[#This Row],[Model]],Tableau2[[Model]:[Parking Number]],2,FALSE)," ")</f>
        <v xml:space="preserve"> </v>
      </c>
      <c r="D334" s="35"/>
      <c r="E334" s="32" t="str">
        <f>IF(Tabel1[[#This Row],[Model]]="", "",INDEX(Tableau2[Equipment Type],MATCH(Tabel1[[#This Row],[Model]],Tableau2[Model],0)))</f>
        <v/>
      </c>
      <c r="G334" s="4" t="str">
        <f>IF(Tabel1[[#This Row],[Model]]="", "",INDEX(Tableau2[Equipment],MATCH(Tabel1[[#This Row],[Model]],Tableau2[Model],0)))</f>
        <v/>
      </c>
      <c r="I334" s="10"/>
      <c r="K334" s="9"/>
      <c r="L334" s="9"/>
      <c r="M334" s="9"/>
      <c r="N33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34" s="30">
        <f>HOUR(Tabel1[[#This Row],[Total Hours]])+MINUTE(Tabel1[[#This Row],[Total Hours]])/60+SECOND(Tabel1[[#This Row],[Total Hours]])/3600</f>
        <v>0</v>
      </c>
      <c r="P334" s="6">
        <f>Tabel1[[#This Row],[End Time]]+(Tabel1[[#This Row],[End Time]]&lt;Tabel1[[#This Row],[Start time]])</f>
        <v>0</v>
      </c>
      <c r="Q334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35" spans="1:17" x14ac:dyDescent="0.35">
      <c r="A335" s="32"/>
      <c r="B335" s="32">
        <f t="shared" si="5"/>
        <v>328</v>
      </c>
      <c r="C335" s="32" t="str">
        <f>IFERROR(VLOOKUP(Tabel1[[#This Row],[Model]],Tableau2[[Model]:[Parking Number]],2,FALSE)," ")</f>
        <v xml:space="preserve"> </v>
      </c>
      <c r="D335" s="35"/>
      <c r="E335" s="32" t="str">
        <f>IF(Tabel1[[#This Row],[Model]]="", "",INDEX(Tableau2[Equipment Type],MATCH(Tabel1[[#This Row],[Model]],Tableau2[Model],0)))</f>
        <v/>
      </c>
      <c r="G335" s="4" t="str">
        <f>IF(Tabel1[[#This Row],[Model]]="", "",INDEX(Tableau2[Equipment],MATCH(Tabel1[[#This Row],[Model]],Tableau2[Model],0)))</f>
        <v/>
      </c>
      <c r="I335" s="10"/>
      <c r="K335" s="9"/>
      <c r="L335" s="9"/>
      <c r="M335" s="9"/>
      <c r="N33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35" s="30">
        <f>HOUR(Tabel1[[#This Row],[Total Hours]])+MINUTE(Tabel1[[#This Row],[Total Hours]])/60+SECOND(Tabel1[[#This Row],[Total Hours]])/3600</f>
        <v>0</v>
      </c>
      <c r="P335" s="6">
        <f>Tabel1[[#This Row],[End Time]]+(Tabel1[[#This Row],[End Time]]&lt;Tabel1[[#This Row],[Start time]])</f>
        <v>0</v>
      </c>
      <c r="Q335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36" spans="1:17" x14ac:dyDescent="0.35">
      <c r="A336" s="32"/>
      <c r="B336" s="32">
        <f t="shared" si="5"/>
        <v>329</v>
      </c>
      <c r="C336" s="32" t="str">
        <f>IFERROR(VLOOKUP(Tabel1[[#This Row],[Model]],Tableau2[[Model]:[Parking Number]],2,FALSE)," ")</f>
        <v xml:space="preserve"> </v>
      </c>
      <c r="D336" s="35"/>
      <c r="E336" s="32" t="str">
        <f>IF(Tabel1[[#This Row],[Model]]="", "",INDEX(Tableau2[Equipment Type],MATCH(Tabel1[[#This Row],[Model]],Tableau2[Model],0)))</f>
        <v/>
      </c>
      <c r="G336" s="4" t="str">
        <f>IF(Tabel1[[#This Row],[Model]]="", "",INDEX(Tableau2[Equipment],MATCH(Tabel1[[#This Row],[Model]],Tableau2[Model],0)))</f>
        <v/>
      </c>
      <c r="I336" s="10"/>
      <c r="K336" s="9"/>
      <c r="L336" s="9"/>
      <c r="M336" s="9"/>
      <c r="N33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36" s="30">
        <f>HOUR(Tabel1[[#This Row],[Total Hours]])+MINUTE(Tabel1[[#This Row],[Total Hours]])/60+SECOND(Tabel1[[#This Row],[Total Hours]])/3600</f>
        <v>0</v>
      </c>
      <c r="P336" s="6">
        <f>Tabel1[[#This Row],[End Time]]+(Tabel1[[#This Row],[End Time]]&lt;Tabel1[[#This Row],[Start time]])</f>
        <v>0</v>
      </c>
      <c r="Q336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37" spans="1:17" x14ac:dyDescent="0.35">
      <c r="A337" s="32"/>
      <c r="B337" s="32">
        <f t="shared" si="5"/>
        <v>330</v>
      </c>
      <c r="C337" s="32" t="str">
        <f>IFERROR(VLOOKUP(Tabel1[[#This Row],[Model]],Tableau2[[Model]:[Parking Number]],2,FALSE)," ")</f>
        <v xml:space="preserve"> </v>
      </c>
      <c r="D337" s="35"/>
      <c r="E337" s="32" t="str">
        <f>IF(Tabel1[[#This Row],[Model]]="", "",INDEX(Tableau2[Equipment Type],MATCH(Tabel1[[#This Row],[Model]],Tableau2[Model],0)))</f>
        <v/>
      </c>
      <c r="G337" s="4" t="str">
        <f>IF(Tabel1[[#This Row],[Model]]="", "",INDEX(Tableau2[Equipment],MATCH(Tabel1[[#This Row],[Model]],Tableau2[Model],0)))</f>
        <v/>
      </c>
      <c r="I337" s="10"/>
      <c r="K337" s="9"/>
      <c r="L337" s="9"/>
      <c r="M337" s="9"/>
      <c r="N33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37" s="30">
        <f>HOUR(Tabel1[[#This Row],[Total Hours]])+MINUTE(Tabel1[[#This Row],[Total Hours]])/60+SECOND(Tabel1[[#This Row],[Total Hours]])/3600</f>
        <v>0</v>
      </c>
      <c r="P337" s="6">
        <f>Tabel1[[#This Row],[End Time]]+(Tabel1[[#This Row],[End Time]]&lt;Tabel1[[#This Row],[Start time]])</f>
        <v>0</v>
      </c>
      <c r="Q337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38" spans="1:17" x14ac:dyDescent="0.35">
      <c r="A338" s="32"/>
      <c r="B338" s="32">
        <f t="shared" si="5"/>
        <v>331</v>
      </c>
      <c r="C338" s="32" t="str">
        <f>IFERROR(VLOOKUP(Tabel1[[#This Row],[Model]],Tableau2[[Model]:[Parking Number]],2,FALSE)," ")</f>
        <v xml:space="preserve"> </v>
      </c>
      <c r="D338" s="35"/>
      <c r="E338" s="32" t="str">
        <f>IF(Tabel1[[#This Row],[Model]]="", "",INDEX(Tableau2[Equipment Type],MATCH(Tabel1[[#This Row],[Model]],Tableau2[Model],0)))</f>
        <v/>
      </c>
      <c r="G338" s="4" t="str">
        <f>IF(Tabel1[[#This Row],[Model]]="", "",INDEX(Tableau2[Equipment],MATCH(Tabel1[[#This Row],[Model]],Tableau2[Model],0)))</f>
        <v/>
      </c>
      <c r="I338" s="10"/>
      <c r="K338" s="9"/>
      <c r="L338" s="9"/>
      <c r="M338" s="9"/>
      <c r="N33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38" s="30">
        <f>HOUR(Tabel1[[#This Row],[Total Hours]])+MINUTE(Tabel1[[#This Row],[Total Hours]])/60+SECOND(Tabel1[[#This Row],[Total Hours]])/3600</f>
        <v>0</v>
      </c>
      <c r="P338" s="6">
        <f>Tabel1[[#This Row],[End Time]]+(Tabel1[[#This Row],[End Time]]&lt;Tabel1[[#This Row],[Start time]])</f>
        <v>0</v>
      </c>
      <c r="Q338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39" spans="1:17" x14ac:dyDescent="0.35">
      <c r="A339" s="32"/>
      <c r="B339" s="32">
        <f t="shared" si="5"/>
        <v>332</v>
      </c>
      <c r="C339" s="32" t="str">
        <f>IFERROR(VLOOKUP(Tabel1[[#This Row],[Model]],Tableau2[[Model]:[Parking Number]],2,FALSE)," ")</f>
        <v xml:space="preserve"> </v>
      </c>
      <c r="D339" s="35"/>
      <c r="E339" s="32" t="str">
        <f>IF(Tabel1[[#This Row],[Model]]="", "",INDEX(Tableau2[Equipment Type],MATCH(Tabel1[[#This Row],[Model]],Tableau2[Model],0)))</f>
        <v/>
      </c>
      <c r="G339" s="4" t="str">
        <f>IF(Tabel1[[#This Row],[Model]]="", "",INDEX(Tableau2[Equipment],MATCH(Tabel1[[#This Row],[Model]],Tableau2[Model],0)))</f>
        <v/>
      </c>
      <c r="I339" s="10"/>
      <c r="K339" s="9"/>
      <c r="L339" s="9"/>
      <c r="M339" s="9"/>
      <c r="N33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39" s="30">
        <f>HOUR(Tabel1[[#This Row],[Total Hours]])+MINUTE(Tabel1[[#This Row],[Total Hours]])/60+SECOND(Tabel1[[#This Row],[Total Hours]])/3600</f>
        <v>0</v>
      </c>
      <c r="P339" s="6">
        <f>Tabel1[[#This Row],[End Time]]+(Tabel1[[#This Row],[End Time]]&lt;Tabel1[[#This Row],[Start time]])</f>
        <v>0</v>
      </c>
      <c r="Q339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40" spans="1:17" x14ac:dyDescent="0.35">
      <c r="A340" s="32"/>
      <c r="B340" s="32">
        <f t="shared" si="5"/>
        <v>333</v>
      </c>
      <c r="C340" s="32" t="str">
        <f>IFERROR(VLOOKUP(Tabel1[[#This Row],[Model]],Tableau2[[Model]:[Parking Number]],2,FALSE)," ")</f>
        <v xml:space="preserve"> </v>
      </c>
      <c r="D340" s="35"/>
      <c r="E340" s="32" t="str">
        <f>IF(Tabel1[[#This Row],[Model]]="", "",INDEX(Tableau2[Equipment Type],MATCH(Tabel1[[#This Row],[Model]],Tableau2[Model],0)))</f>
        <v/>
      </c>
      <c r="G340" s="4" t="str">
        <f>IF(Tabel1[[#This Row],[Model]]="", "",INDEX(Tableau2[Equipment],MATCH(Tabel1[[#This Row],[Model]],Tableau2[Model],0)))</f>
        <v/>
      </c>
      <c r="I340" s="10"/>
      <c r="K340" s="9"/>
      <c r="L340" s="9"/>
      <c r="M340" s="9"/>
      <c r="N34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40" s="30">
        <f>HOUR(Tabel1[[#This Row],[Total Hours]])+MINUTE(Tabel1[[#This Row],[Total Hours]])/60+SECOND(Tabel1[[#This Row],[Total Hours]])/3600</f>
        <v>0</v>
      </c>
      <c r="P340" s="6">
        <f>Tabel1[[#This Row],[End Time]]+(Tabel1[[#This Row],[End Time]]&lt;Tabel1[[#This Row],[Start time]])</f>
        <v>0</v>
      </c>
      <c r="Q340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41" spans="1:17" x14ac:dyDescent="0.35">
      <c r="A341" s="32"/>
      <c r="B341" s="32">
        <f t="shared" si="5"/>
        <v>334</v>
      </c>
      <c r="C341" s="32" t="str">
        <f>IFERROR(VLOOKUP(Tabel1[[#This Row],[Model]],Tableau2[[Model]:[Parking Number]],2,FALSE)," ")</f>
        <v xml:space="preserve"> </v>
      </c>
      <c r="D341" s="35"/>
      <c r="E341" s="32" t="str">
        <f>IF(Tabel1[[#This Row],[Model]]="", "",INDEX(Tableau2[Equipment Type],MATCH(Tabel1[[#This Row],[Model]],Tableau2[Model],0)))</f>
        <v/>
      </c>
      <c r="G341" s="4" t="str">
        <f>IF(Tabel1[[#This Row],[Model]]="", "",INDEX(Tableau2[Equipment],MATCH(Tabel1[[#This Row],[Model]],Tableau2[Model],0)))</f>
        <v/>
      </c>
      <c r="I341" s="10"/>
      <c r="K341" s="9"/>
      <c r="L341" s="9"/>
      <c r="M341" s="9"/>
      <c r="N34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41" s="30">
        <f>HOUR(Tabel1[[#This Row],[Total Hours]])+MINUTE(Tabel1[[#This Row],[Total Hours]])/60+SECOND(Tabel1[[#This Row],[Total Hours]])/3600</f>
        <v>0</v>
      </c>
      <c r="P341" s="6">
        <f>Tabel1[[#This Row],[End Time]]+(Tabel1[[#This Row],[End Time]]&lt;Tabel1[[#This Row],[Start time]])</f>
        <v>0</v>
      </c>
      <c r="Q341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42" spans="1:17" x14ac:dyDescent="0.35">
      <c r="A342" s="32"/>
      <c r="B342" s="32">
        <f t="shared" si="5"/>
        <v>335</v>
      </c>
      <c r="C342" s="32" t="str">
        <f>IFERROR(VLOOKUP(Tabel1[[#This Row],[Model]],Tableau2[[Model]:[Parking Number]],2,FALSE)," ")</f>
        <v xml:space="preserve"> </v>
      </c>
      <c r="D342" s="35"/>
      <c r="E342" s="32" t="str">
        <f>IF(Tabel1[[#This Row],[Model]]="", "",INDEX(Tableau2[Equipment Type],MATCH(Tabel1[[#This Row],[Model]],Tableau2[Model],0)))</f>
        <v/>
      </c>
      <c r="G342" s="4" t="str">
        <f>IF(Tabel1[[#This Row],[Model]]="", "",INDEX(Tableau2[Equipment],MATCH(Tabel1[[#This Row],[Model]],Tableau2[Model],0)))</f>
        <v/>
      </c>
      <c r="I342" s="10"/>
      <c r="K342" s="9"/>
      <c r="L342" s="9"/>
      <c r="M342" s="9"/>
      <c r="N34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42" s="30">
        <f>HOUR(Tabel1[[#This Row],[Total Hours]])+MINUTE(Tabel1[[#This Row],[Total Hours]])/60+SECOND(Tabel1[[#This Row],[Total Hours]])/3600</f>
        <v>0</v>
      </c>
      <c r="P342" s="6">
        <f>Tabel1[[#This Row],[End Time]]+(Tabel1[[#This Row],[End Time]]&lt;Tabel1[[#This Row],[Start time]])</f>
        <v>0</v>
      </c>
      <c r="Q342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43" spans="1:17" x14ac:dyDescent="0.35">
      <c r="A343" s="32"/>
      <c r="B343" s="32">
        <f t="shared" si="5"/>
        <v>336</v>
      </c>
      <c r="C343" s="32" t="str">
        <f>IFERROR(VLOOKUP(Tabel1[[#This Row],[Model]],Tableau2[[Model]:[Parking Number]],2,FALSE)," ")</f>
        <v xml:space="preserve"> </v>
      </c>
      <c r="D343" s="35"/>
      <c r="E343" s="32" t="str">
        <f>IF(Tabel1[[#This Row],[Model]]="", "",INDEX(Tableau2[Equipment Type],MATCH(Tabel1[[#This Row],[Model]],Tableau2[Model],0)))</f>
        <v/>
      </c>
      <c r="G343" s="4" t="str">
        <f>IF(Tabel1[[#This Row],[Model]]="", "",INDEX(Tableau2[Equipment],MATCH(Tabel1[[#This Row],[Model]],Tableau2[Model],0)))</f>
        <v/>
      </c>
      <c r="I343" s="10"/>
      <c r="K343" s="9"/>
      <c r="L343" s="9"/>
      <c r="M343" s="9"/>
      <c r="N34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43" s="30">
        <f>HOUR(Tabel1[[#This Row],[Total Hours]])+MINUTE(Tabel1[[#This Row],[Total Hours]])/60+SECOND(Tabel1[[#This Row],[Total Hours]])/3600</f>
        <v>0</v>
      </c>
      <c r="P343" s="6">
        <f>Tabel1[[#This Row],[End Time]]+(Tabel1[[#This Row],[End Time]]&lt;Tabel1[[#This Row],[Start time]])</f>
        <v>0</v>
      </c>
      <c r="Q343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44" spans="1:17" x14ac:dyDescent="0.35">
      <c r="A344" s="32"/>
      <c r="B344" s="32">
        <f t="shared" si="5"/>
        <v>337</v>
      </c>
      <c r="C344" s="32" t="str">
        <f>IFERROR(VLOOKUP(Tabel1[[#This Row],[Model]],Tableau2[[Model]:[Parking Number]],2,FALSE)," ")</f>
        <v xml:space="preserve"> </v>
      </c>
      <c r="D344" s="35"/>
      <c r="E344" s="32" t="str">
        <f>IF(Tabel1[[#This Row],[Model]]="", "",INDEX(Tableau2[Equipment Type],MATCH(Tabel1[[#This Row],[Model]],Tableau2[Model],0)))</f>
        <v/>
      </c>
      <c r="G344" s="4" t="str">
        <f>IF(Tabel1[[#This Row],[Model]]="", "",INDEX(Tableau2[Equipment],MATCH(Tabel1[[#This Row],[Model]],Tableau2[Model],0)))</f>
        <v/>
      </c>
      <c r="I344" s="10"/>
      <c r="K344" s="9"/>
      <c r="L344" s="9"/>
      <c r="M344" s="9"/>
      <c r="N34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44" s="30">
        <f>HOUR(Tabel1[[#This Row],[Total Hours]])+MINUTE(Tabel1[[#This Row],[Total Hours]])/60+SECOND(Tabel1[[#This Row],[Total Hours]])/3600</f>
        <v>0</v>
      </c>
      <c r="P344" s="6">
        <f>Tabel1[[#This Row],[End Time]]+(Tabel1[[#This Row],[End Time]]&lt;Tabel1[[#This Row],[Start time]])</f>
        <v>0</v>
      </c>
      <c r="Q344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45" spans="1:17" x14ac:dyDescent="0.35">
      <c r="A345" s="32"/>
      <c r="B345" s="32">
        <f t="shared" si="5"/>
        <v>338</v>
      </c>
      <c r="C345" s="32" t="str">
        <f>IFERROR(VLOOKUP(Tabel1[[#This Row],[Model]],Tableau2[[Model]:[Parking Number]],2,FALSE)," ")</f>
        <v xml:space="preserve"> </v>
      </c>
      <c r="D345" s="35"/>
      <c r="E345" s="32" t="str">
        <f>IF(Tabel1[[#This Row],[Model]]="", "",INDEX(Tableau2[Equipment Type],MATCH(Tabel1[[#This Row],[Model]],Tableau2[Model],0)))</f>
        <v/>
      </c>
      <c r="G345" s="4" t="str">
        <f>IF(Tabel1[[#This Row],[Model]]="", "",INDEX(Tableau2[Equipment],MATCH(Tabel1[[#This Row],[Model]],Tableau2[Model],0)))</f>
        <v/>
      </c>
      <c r="I345" s="10"/>
      <c r="K345" s="9"/>
      <c r="L345" s="9"/>
      <c r="M345" s="9"/>
      <c r="N34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45" s="30">
        <f>HOUR(Tabel1[[#This Row],[Total Hours]])+MINUTE(Tabel1[[#This Row],[Total Hours]])/60+SECOND(Tabel1[[#This Row],[Total Hours]])/3600</f>
        <v>0</v>
      </c>
      <c r="P345" s="6">
        <f>Tabel1[[#This Row],[End Time]]+(Tabel1[[#This Row],[End Time]]&lt;Tabel1[[#This Row],[Start time]])</f>
        <v>0</v>
      </c>
      <c r="Q345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46" spans="1:17" x14ac:dyDescent="0.35">
      <c r="A346" s="32"/>
      <c r="B346" s="32">
        <f t="shared" si="5"/>
        <v>339</v>
      </c>
      <c r="C346" s="32" t="str">
        <f>IFERROR(VLOOKUP(Tabel1[[#This Row],[Model]],Tableau2[[Model]:[Parking Number]],2,FALSE)," ")</f>
        <v xml:space="preserve"> </v>
      </c>
      <c r="D346" s="35"/>
      <c r="E346" s="32" t="str">
        <f>IF(Tabel1[[#This Row],[Model]]="", "",INDEX(Tableau2[Equipment Type],MATCH(Tabel1[[#This Row],[Model]],Tableau2[Model],0)))</f>
        <v/>
      </c>
      <c r="G346" s="4" t="str">
        <f>IF(Tabel1[[#This Row],[Model]]="", "",INDEX(Tableau2[Equipment],MATCH(Tabel1[[#This Row],[Model]],Tableau2[Model],0)))</f>
        <v/>
      </c>
      <c r="I346" s="10"/>
      <c r="K346" s="9"/>
      <c r="L346" s="9"/>
      <c r="M346" s="9"/>
      <c r="N34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46" s="30">
        <f>HOUR(Tabel1[[#This Row],[Total Hours]])+MINUTE(Tabel1[[#This Row],[Total Hours]])/60+SECOND(Tabel1[[#This Row],[Total Hours]])/3600</f>
        <v>0</v>
      </c>
      <c r="P346" s="6">
        <f>Tabel1[[#This Row],[End Time]]+(Tabel1[[#This Row],[End Time]]&lt;Tabel1[[#This Row],[Start time]])</f>
        <v>0</v>
      </c>
      <c r="Q346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47" spans="1:17" x14ac:dyDescent="0.35">
      <c r="A347" s="32"/>
      <c r="B347" s="32">
        <f t="shared" si="5"/>
        <v>340</v>
      </c>
      <c r="C347" s="32" t="str">
        <f>IFERROR(VLOOKUP(Tabel1[[#This Row],[Model]],Tableau2[[Model]:[Parking Number]],2,FALSE)," ")</f>
        <v xml:space="preserve"> </v>
      </c>
      <c r="D347" s="35"/>
      <c r="E347" s="32" t="str">
        <f>IF(Tabel1[[#This Row],[Model]]="", "",INDEX(Tableau2[Equipment Type],MATCH(Tabel1[[#This Row],[Model]],Tableau2[Model],0)))</f>
        <v/>
      </c>
      <c r="G347" s="4" t="str">
        <f>IF(Tabel1[[#This Row],[Model]]="", "",INDEX(Tableau2[Equipment],MATCH(Tabel1[[#This Row],[Model]],Tableau2[Model],0)))</f>
        <v/>
      </c>
      <c r="I347" s="10"/>
      <c r="K347" s="9"/>
      <c r="L347" s="9"/>
      <c r="M347" s="9"/>
      <c r="N34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47" s="30">
        <f>HOUR(Tabel1[[#This Row],[Total Hours]])+MINUTE(Tabel1[[#This Row],[Total Hours]])/60+SECOND(Tabel1[[#This Row],[Total Hours]])/3600</f>
        <v>0</v>
      </c>
      <c r="P347" s="6">
        <f>Tabel1[[#This Row],[End Time]]+(Tabel1[[#This Row],[End Time]]&lt;Tabel1[[#This Row],[Start time]])</f>
        <v>0</v>
      </c>
      <c r="Q347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48" spans="1:17" x14ac:dyDescent="0.35">
      <c r="A348" s="32"/>
      <c r="B348" s="32">
        <f t="shared" si="5"/>
        <v>341</v>
      </c>
      <c r="C348" s="32" t="str">
        <f>IFERROR(VLOOKUP(Tabel1[[#This Row],[Model]],Tableau2[[Model]:[Parking Number]],2,FALSE)," ")</f>
        <v xml:space="preserve"> </v>
      </c>
      <c r="D348" s="35"/>
      <c r="E348" s="32" t="str">
        <f>IF(Tabel1[[#This Row],[Model]]="", "",INDEX(Tableau2[Equipment Type],MATCH(Tabel1[[#This Row],[Model]],Tableau2[Model],0)))</f>
        <v/>
      </c>
      <c r="G348" s="4" t="str">
        <f>IF(Tabel1[[#This Row],[Model]]="", "",INDEX(Tableau2[Equipment],MATCH(Tabel1[[#This Row],[Model]],Tableau2[Model],0)))</f>
        <v/>
      </c>
      <c r="I348" s="10"/>
      <c r="K348" s="9"/>
      <c r="L348" s="9"/>
      <c r="M348" s="9"/>
      <c r="N34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48" s="30">
        <f>HOUR(Tabel1[[#This Row],[Total Hours]])+MINUTE(Tabel1[[#This Row],[Total Hours]])/60+SECOND(Tabel1[[#This Row],[Total Hours]])/3600</f>
        <v>0</v>
      </c>
      <c r="P348" s="6">
        <f>Tabel1[[#This Row],[End Time]]+(Tabel1[[#This Row],[End Time]]&lt;Tabel1[[#This Row],[Start time]])</f>
        <v>0</v>
      </c>
      <c r="Q348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49" spans="1:17" x14ac:dyDescent="0.35">
      <c r="A349" s="32"/>
      <c r="B349" s="32">
        <f t="shared" si="5"/>
        <v>342</v>
      </c>
      <c r="C349" s="32" t="str">
        <f>IFERROR(VLOOKUP(Tabel1[[#This Row],[Model]],Tableau2[[Model]:[Parking Number]],2,FALSE)," ")</f>
        <v xml:space="preserve"> </v>
      </c>
      <c r="D349" s="35"/>
      <c r="E349" s="32" t="str">
        <f>IF(Tabel1[[#This Row],[Model]]="", "",INDEX(Tableau2[Equipment Type],MATCH(Tabel1[[#This Row],[Model]],Tableau2[Model],0)))</f>
        <v/>
      </c>
      <c r="G349" s="4" t="str">
        <f>IF(Tabel1[[#This Row],[Model]]="", "",INDEX(Tableau2[Equipment],MATCH(Tabel1[[#This Row],[Model]],Tableau2[Model],0)))</f>
        <v/>
      </c>
      <c r="I349" s="10"/>
      <c r="K349" s="9"/>
      <c r="L349" s="9"/>
      <c r="M349" s="9"/>
      <c r="N34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49" s="30">
        <f>HOUR(Tabel1[[#This Row],[Total Hours]])+MINUTE(Tabel1[[#This Row],[Total Hours]])/60+SECOND(Tabel1[[#This Row],[Total Hours]])/3600</f>
        <v>0</v>
      </c>
      <c r="P349" s="6">
        <f>Tabel1[[#This Row],[End Time]]+(Tabel1[[#This Row],[End Time]]&lt;Tabel1[[#This Row],[Start time]])</f>
        <v>0</v>
      </c>
      <c r="Q349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50" spans="1:17" x14ac:dyDescent="0.35">
      <c r="A350" s="32"/>
      <c r="B350" s="32">
        <f t="shared" si="5"/>
        <v>343</v>
      </c>
      <c r="C350" s="32" t="str">
        <f>IFERROR(VLOOKUP(Tabel1[[#This Row],[Model]],Tableau2[[Model]:[Parking Number]],2,FALSE)," ")</f>
        <v xml:space="preserve"> </v>
      </c>
      <c r="D350" s="35"/>
      <c r="E350" s="32" t="str">
        <f>IF(Tabel1[[#This Row],[Model]]="", "",INDEX(Tableau2[Equipment Type],MATCH(Tabel1[[#This Row],[Model]],Tableau2[Model],0)))</f>
        <v/>
      </c>
      <c r="G350" s="4" t="str">
        <f>IF(Tabel1[[#This Row],[Model]]="", "",INDEX(Tableau2[Equipment],MATCH(Tabel1[[#This Row],[Model]],Tableau2[Model],0)))</f>
        <v/>
      </c>
      <c r="I350" s="10"/>
      <c r="K350" s="9"/>
      <c r="L350" s="9"/>
      <c r="M350" s="9"/>
      <c r="N35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50" s="30">
        <f>HOUR(Tabel1[[#This Row],[Total Hours]])+MINUTE(Tabel1[[#This Row],[Total Hours]])/60+SECOND(Tabel1[[#This Row],[Total Hours]])/3600</f>
        <v>0</v>
      </c>
      <c r="P350" s="6">
        <f>Tabel1[[#This Row],[End Time]]+(Tabel1[[#This Row],[End Time]]&lt;Tabel1[[#This Row],[Start time]])</f>
        <v>0</v>
      </c>
      <c r="Q350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51" spans="1:17" x14ac:dyDescent="0.35">
      <c r="A351" s="32"/>
      <c r="B351" s="32">
        <f t="shared" si="5"/>
        <v>344</v>
      </c>
      <c r="C351" s="32" t="str">
        <f>IFERROR(VLOOKUP(Tabel1[[#This Row],[Model]],Tableau2[[Model]:[Parking Number]],2,FALSE)," ")</f>
        <v xml:space="preserve"> </v>
      </c>
      <c r="D351" s="35"/>
      <c r="E351" s="32" t="str">
        <f>IF(Tabel1[[#This Row],[Model]]="", "",INDEX(Tableau2[Equipment Type],MATCH(Tabel1[[#This Row],[Model]],Tableau2[Model],0)))</f>
        <v/>
      </c>
      <c r="G351" s="4" t="str">
        <f>IF(Tabel1[[#This Row],[Model]]="", "",INDEX(Tableau2[Equipment],MATCH(Tabel1[[#This Row],[Model]],Tableau2[Model],0)))</f>
        <v/>
      </c>
      <c r="I351" s="10"/>
      <c r="K351" s="9"/>
      <c r="L351" s="9"/>
      <c r="M351" s="9"/>
      <c r="N35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51" s="30">
        <f>HOUR(Tabel1[[#This Row],[Total Hours]])+MINUTE(Tabel1[[#This Row],[Total Hours]])/60+SECOND(Tabel1[[#This Row],[Total Hours]])/3600</f>
        <v>0</v>
      </c>
      <c r="P351" s="6">
        <f>Tabel1[[#This Row],[End Time]]+(Tabel1[[#This Row],[End Time]]&lt;Tabel1[[#This Row],[Start time]])</f>
        <v>0</v>
      </c>
      <c r="Q351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52" spans="1:17" x14ac:dyDescent="0.35">
      <c r="A352" s="32"/>
      <c r="B352" s="32">
        <f t="shared" si="5"/>
        <v>345</v>
      </c>
      <c r="C352" s="32" t="str">
        <f>IFERROR(VLOOKUP(Tabel1[[#This Row],[Model]],Tableau2[[Model]:[Parking Number]],2,FALSE)," ")</f>
        <v xml:space="preserve"> </v>
      </c>
      <c r="D352" s="35"/>
      <c r="E352" s="32" t="str">
        <f>IF(Tabel1[[#This Row],[Model]]="", "",INDEX(Tableau2[Equipment Type],MATCH(Tabel1[[#This Row],[Model]],Tableau2[Model],0)))</f>
        <v/>
      </c>
      <c r="G352" s="4" t="str">
        <f>IF(Tabel1[[#This Row],[Model]]="", "",INDEX(Tableau2[Equipment],MATCH(Tabel1[[#This Row],[Model]],Tableau2[Model],0)))</f>
        <v/>
      </c>
      <c r="I352" s="10"/>
      <c r="K352" s="9"/>
      <c r="L352" s="9"/>
      <c r="M352" s="9"/>
      <c r="N35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52" s="30">
        <f>HOUR(Tabel1[[#This Row],[Total Hours]])+MINUTE(Tabel1[[#This Row],[Total Hours]])/60+SECOND(Tabel1[[#This Row],[Total Hours]])/3600</f>
        <v>0</v>
      </c>
      <c r="P352" s="6">
        <f>Tabel1[[#This Row],[End Time]]+(Tabel1[[#This Row],[End Time]]&lt;Tabel1[[#This Row],[Start time]])</f>
        <v>0</v>
      </c>
      <c r="Q352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53" spans="1:17" x14ac:dyDescent="0.35">
      <c r="A353" s="32"/>
      <c r="B353" s="32">
        <f t="shared" si="5"/>
        <v>346</v>
      </c>
      <c r="C353" s="32" t="str">
        <f>IFERROR(VLOOKUP(Tabel1[[#This Row],[Model]],Tableau2[[Model]:[Parking Number]],2,FALSE)," ")</f>
        <v xml:space="preserve"> </v>
      </c>
      <c r="D353" s="35"/>
      <c r="E353" s="32" t="str">
        <f>IF(Tabel1[[#This Row],[Model]]="", "",INDEX(Tableau2[Equipment Type],MATCH(Tabel1[[#This Row],[Model]],Tableau2[Model],0)))</f>
        <v/>
      </c>
      <c r="G353" s="4" t="str">
        <f>IF(Tabel1[[#This Row],[Model]]="", "",INDEX(Tableau2[Equipment],MATCH(Tabel1[[#This Row],[Model]],Tableau2[Model],0)))</f>
        <v/>
      </c>
      <c r="I353" s="10"/>
      <c r="K353" s="9"/>
      <c r="L353" s="9"/>
      <c r="M353" s="9"/>
      <c r="N35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53" s="30">
        <f>HOUR(Tabel1[[#This Row],[Total Hours]])+MINUTE(Tabel1[[#This Row],[Total Hours]])/60+SECOND(Tabel1[[#This Row],[Total Hours]])/3600</f>
        <v>0</v>
      </c>
      <c r="P353" s="6">
        <f>Tabel1[[#This Row],[End Time]]+(Tabel1[[#This Row],[End Time]]&lt;Tabel1[[#This Row],[Start time]])</f>
        <v>0</v>
      </c>
      <c r="Q353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54" spans="1:17" x14ac:dyDescent="0.35">
      <c r="A354" s="32"/>
      <c r="B354" s="32">
        <f t="shared" si="5"/>
        <v>347</v>
      </c>
      <c r="C354" s="32" t="str">
        <f>IFERROR(VLOOKUP(Tabel1[[#This Row],[Model]],Tableau2[[Model]:[Parking Number]],2,FALSE)," ")</f>
        <v xml:space="preserve"> </v>
      </c>
      <c r="D354" s="35"/>
      <c r="E354" s="32" t="str">
        <f>IF(Tabel1[[#This Row],[Model]]="", "",INDEX(Tableau2[Equipment Type],MATCH(Tabel1[[#This Row],[Model]],Tableau2[Model],0)))</f>
        <v/>
      </c>
      <c r="G354" s="4" t="str">
        <f>IF(Tabel1[[#This Row],[Model]]="", "",INDEX(Tableau2[Equipment],MATCH(Tabel1[[#This Row],[Model]],Tableau2[Model],0)))</f>
        <v/>
      </c>
      <c r="I354" s="10"/>
      <c r="K354" s="9"/>
      <c r="L354" s="9"/>
      <c r="M354" s="9"/>
      <c r="N354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54" s="30">
        <f>HOUR(Tabel1[[#This Row],[Total Hours]])+MINUTE(Tabel1[[#This Row],[Total Hours]])/60+SECOND(Tabel1[[#This Row],[Total Hours]])/3600</f>
        <v>0</v>
      </c>
      <c r="P354" s="6">
        <f>Tabel1[[#This Row],[End Time]]+(Tabel1[[#This Row],[End Time]]&lt;Tabel1[[#This Row],[Start time]])</f>
        <v>0</v>
      </c>
      <c r="Q354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55" spans="1:17" x14ac:dyDescent="0.35">
      <c r="A355" s="32"/>
      <c r="B355" s="32">
        <f t="shared" si="5"/>
        <v>348</v>
      </c>
      <c r="C355" s="32" t="str">
        <f>IFERROR(VLOOKUP(Tabel1[[#This Row],[Model]],Tableau2[[Model]:[Parking Number]],2,FALSE)," ")</f>
        <v xml:space="preserve"> </v>
      </c>
      <c r="D355" s="35"/>
      <c r="E355" s="32" t="str">
        <f>IF(Tabel1[[#This Row],[Model]]="", "",INDEX(Tableau2[Equipment Type],MATCH(Tabel1[[#This Row],[Model]],Tableau2[Model],0)))</f>
        <v/>
      </c>
      <c r="G355" s="4" t="str">
        <f>IF(Tabel1[[#This Row],[Model]]="", "",INDEX(Tableau2[Equipment],MATCH(Tabel1[[#This Row],[Model]],Tableau2[Model],0)))</f>
        <v/>
      </c>
      <c r="I355" s="10"/>
      <c r="K355" s="9"/>
      <c r="L355" s="9"/>
      <c r="M355" s="9"/>
      <c r="N355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55" s="30">
        <f>HOUR(Tabel1[[#This Row],[Total Hours]])+MINUTE(Tabel1[[#This Row],[Total Hours]])/60+SECOND(Tabel1[[#This Row],[Total Hours]])/3600</f>
        <v>0</v>
      </c>
      <c r="P355" s="6">
        <f>Tabel1[[#This Row],[End Time]]+(Tabel1[[#This Row],[End Time]]&lt;Tabel1[[#This Row],[Start time]])</f>
        <v>0</v>
      </c>
      <c r="Q355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56" spans="1:17" x14ac:dyDescent="0.35">
      <c r="A356" s="32"/>
      <c r="B356" s="32">
        <f t="shared" si="5"/>
        <v>349</v>
      </c>
      <c r="C356" s="32" t="str">
        <f>IFERROR(VLOOKUP(Tabel1[[#This Row],[Model]],Tableau2[[Model]:[Parking Number]],2,FALSE)," ")</f>
        <v xml:space="preserve"> </v>
      </c>
      <c r="D356" s="35"/>
      <c r="E356" s="32" t="str">
        <f>IF(Tabel1[[#This Row],[Model]]="", "",INDEX(Tableau2[Equipment Type],MATCH(Tabel1[[#This Row],[Model]],Tableau2[Model],0)))</f>
        <v/>
      </c>
      <c r="G356" s="4" t="str">
        <f>IF(Tabel1[[#This Row],[Model]]="", "",INDEX(Tableau2[Equipment],MATCH(Tabel1[[#This Row],[Model]],Tableau2[Model],0)))</f>
        <v/>
      </c>
      <c r="I356" s="10"/>
      <c r="K356" s="9"/>
      <c r="L356" s="9"/>
      <c r="M356" s="9"/>
      <c r="N356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56" s="30">
        <f>HOUR(Tabel1[[#This Row],[Total Hours]])+MINUTE(Tabel1[[#This Row],[Total Hours]])/60+SECOND(Tabel1[[#This Row],[Total Hours]])/3600</f>
        <v>0</v>
      </c>
      <c r="P356" s="6">
        <f>Tabel1[[#This Row],[End Time]]+(Tabel1[[#This Row],[End Time]]&lt;Tabel1[[#This Row],[Start time]])</f>
        <v>0</v>
      </c>
      <c r="Q356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57" spans="1:17" x14ac:dyDescent="0.35">
      <c r="A357" s="32"/>
      <c r="B357" s="32">
        <f t="shared" si="5"/>
        <v>350</v>
      </c>
      <c r="C357" s="32" t="str">
        <f>IFERROR(VLOOKUP(Tabel1[[#This Row],[Model]],Tableau2[[Model]:[Parking Number]],2,FALSE)," ")</f>
        <v xml:space="preserve"> </v>
      </c>
      <c r="D357" s="35"/>
      <c r="E357" s="32" t="str">
        <f>IF(Tabel1[[#This Row],[Model]]="", "",INDEX(Tableau2[Equipment Type],MATCH(Tabel1[[#This Row],[Model]],Tableau2[Model],0)))</f>
        <v/>
      </c>
      <c r="G357" s="4" t="str">
        <f>IF(Tabel1[[#This Row],[Model]]="", "",INDEX(Tableau2[Equipment],MATCH(Tabel1[[#This Row],[Model]],Tableau2[Model],0)))</f>
        <v/>
      </c>
      <c r="I357" s="10"/>
      <c r="K357" s="9"/>
      <c r="L357" s="9"/>
      <c r="M357" s="9"/>
      <c r="N357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57" s="30">
        <f>HOUR(Tabel1[[#This Row],[Total Hours]])+MINUTE(Tabel1[[#This Row],[Total Hours]])/60+SECOND(Tabel1[[#This Row],[Total Hours]])/3600</f>
        <v>0</v>
      </c>
      <c r="P357" s="6">
        <f>Tabel1[[#This Row],[End Time]]+(Tabel1[[#This Row],[End Time]]&lt;Tabel1[[#This Row],[Start time]])</f>
        <v>0</v>
      </c>
      <c r="Q357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58" spans="1:17" x14ac:dyDescent="0.35">
      <c r="A358" s="32"/>
      <c r="B358" s="32">
        <f t="shared" si="5"/>
        <v>351</v>
      </c>
      <c r="C358" s="32" t="str">
        <f>IFERROR(VLOOKUP(Tabel1[[#This Row],[Model]],Tableau2[[Model]:[Parking Number]],2,FALSE)," ")</f>
        <v xml:space="preserve"> </v>
      </c>
      <c r="D358" s="35"/>
      <c r="E358" s="32" t="str">
        <f>IF(Tabel1[[#This Row],[Model]]="", "",INDEX(Tableau2[Equipment Type],MATCH(Tabel1[[#This Row],[Model]],Tableau2[Model],0)))</f>
        <v/>
      </c>
      <c r="G358" s="4" t="str">
        <f>IF(Tabel1[[#This Row],[Model]]="", "",INDEX(Tableau2[Equipment],MATCH(Tabel1[[#This Row],[Model]],Tableau2[Model],0)))</f>
        <v/>
      </c>
      <c r="I358" s="10"/>
      <c r="K358" s="9"/>
      <c r="L358" s="9"/>
      <c r="M358" s="9"/>
      <c r="N358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58" s="30">
        <f>HOUR(Tabel1[[#This Row],[Total Hours]])+MINUTE(Tabel1[[#This Row],[Total Hours]])/60+SECOND(Tabel1[[#This Row],[Total Hours]])/3600</f>
        <v>0</v>
      </c>
      <c r="P358" s="6">
        <f>Tabel1[[#This Row],[End Time]]+(Tabel1[[#This Row],[End Time]]&lt;Tabel1[[#This Row],[Start time]])</f>
        <v>0</v>
      </c>
      <c r="Q358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59" spans="1:17" x14ac:dyDescent="0.35">
      <c r="A359" s="32"/>
      <c r="B359" s="32">
        <f t="shared" si="5"/>
        <v>352</v>
      </c>
      <c r="C359" s="32" t="str">
        <f>IFERROR(VLOOKUP(Tabel1[[#This Row],[Model]],Tableau2[[Model]:[Parking Number]],2,FALSE)," ")</f>
        <v xml:space="preserve"> </v>
      </c>
      <c r="D359" s="35"/>
      <c r="E359" s="32" t="str">
        <f>IF(Tabel1[[#This Row],[Model]]="", "",INDEX(Tableau2[Equipment Type],MATCH(Tabel1[[#This Row],[Model]],Tableau2[Model],0)))</f>
        <v/>
      </c>
      <c r="G359" s="4" t="str">
        <f>IF(Tabel1[[#This Row],[Model]]="", "",INDEX(Tableau2[Equipment],MATCH(Tabel1[[#This Row],[Model]],Tableau2[Model],0)))</f>
        <v/>
      </c>
      <c r="I359" s="10"/>
      <c r="K359" s="9"/>
      <c r="L359" s="9"/>
      <c r="M359" s="9"/>
      <c r="N359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59" s="30">
        <f>HOUR(Tabel1[[#This Row],[Total Hours]])+MINUTE(Tabel1[[#This Row],[Total Hours]])/60+SECOND(Tabel1[[#This Row],[Total Hours]])/3600</f>
        <v>0</v>
      </c>
      <c r="P359" s="6">
        <f>Tabel1[[#This Row],[End Time]]+(Tabel1[[#This Row],[End Time]]&lt;Tabel1[[#This Row],[Start time]])</f>
        <v>0</v>
      </c>
      <c r="Q359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60" spans="1:17" x14ac:dyDescent="0.35">
      <c r="A360" s="32"/>
      <c r="B360" s="32">
        <f t="shared" si="5"/>
        <v>353</v>
      </c>
      <c r="C360" s="32" t="str">
        <f>IFERROR(VLOOKUP(Tabel1[[#This Row],[Model]],Tableau2[[Model]:[Parking Number]],2,FALSE)," ")</f>
        <v xml:space="preserve"> </v>
      </c>
      <c r="D360" s="35"/>
      <c r="E360" s="32" t="str">
        <f>IF(Tabel1[[#This Row],[Model]]="", "",INDEX(Tableau2[Equipment Type],MATCH(Tabel1[[#This Row],[Model]],Tableau2[Model],0)))</f>
        <v/>
      </c>
      <c r="G360" s="4" t="str">
        <f>IF(Tabel1[[#This Row],[Model]]="", "",INDEX(Tableau2[Equipment],MATCH(Tabel1[[#This Row],[Model]],Tableau2[Model],0)))</f>
        <v/>
      </c>
      <c r="I360" s="10"/>
      <c r="K360" s="9"/>
      <c r="L360" s="9"/>
      <c r="M360" s="9"/>
      <c r="N360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60" s="30">
        <f>HOUR(Tabel1[[#This Row],[Total Hours]])+MINUTE(Tabel1[[#This Row],[Total Hours]])/60+SECOND(Tabel1[[#This Row],[Total Hours]])/3600</f>
        <v>0</v>
      </c>
      <c r="P360" s="6">
        <f>Tabel1[[#This Row],[End Time]]+(Tabel1[[#This Row],[End Time]]&lt;Tabel1[[#This Row],[Start time]])</f>
        <v>0</v>
      </c>
      <c r="Q360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61" spans="1:17" x14ac:dyDescent="0.35">
      <c r="A361" s="32"/>
      <c r="B361" s="32">
        <f t="shared" si="5"/>
        <v>354</v>
      </c>
      <c r="C361" s="32" t="str">
        <f>IFERROR(VLOOKUP(Tabel1[[#This Row],[Model]],Tableau2[[Model]:[Parking Number]],2,FALSE)," ")</f>
        <v xml:space="preserve"> </v>
      </c>
      <c r="D361" s="35"/>
      <c r="E361" s="32" t="str">
        <f>IF(Tabel1[[#This Row],[Model]]="", "",INDEX(Tableau2[Equipment Type],MATCH(Tabel1[[#This Row],[Model]],Tableau2[Model],0)))</f>
        <v/>
      </c>
      <c r="G361" s="4" t="str">
        <f>IF(Tabel1[[#This Row],[Model]]="", "",INDEX(Tableau2[Equipment],MATCH(Tabel1[[#This Row],[Model]],Tableau2[Model],0)))</f>
        <v/>
      </c>
      <c r="I361" s="10"/>
      <c r="K361" s="9"/>
      <c r="L361" s="9"/>
      <c r="M361" s="9"/>
      <c r="N361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61" s="30">
        <f>HOUR(Tabel1[[#This Row],[Total Hours]])+MINUTE(Tabel1[[#This Row],[Total Hours]])/60+SECOND(Tabel1[[#This Row],[Total Hours]])/3600</f>
        <v>0</v>
      </c>
      <c r="P361" s="6">
        <f>Tabel1[[#This Row],[End Time]]+(Tabel1[[#This Row],[End Time]]&lt;Tabel1[[#This Row],[Start time]])</f>
        <v>0</v>
      </c>
      <c r="Q361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62" spans="1:17" x14ac:dyDescent="0.35">
      <c r="A362" s="32"/>
      <c r="B362" s="32">
        <f t="shared" si="5"/>
        <v>355</v>
      </c>
      <c r="C362" s="32" t="str">
        <f>IFERROR(VLOOKUP(Tabel1[[#This Row],[Model]],Tableau2[[Model]:[Parking Number]],2,FALSE)," ")</f>
        <v xml:space="preserve"> </v>
      </c>
      <c r="D362" s="35"/>
      <c r="E362" s="32" t="str">
        <f>IF(Tabel1[[#This Row],[Model]]="", "",INDEX(Tableau2[Equipment Type],MATCH(Tabel1[[#This Row],[Model]],Tableau2[Model],0)))</f>
        <v/>
      </c>
      <c r="G362" s="4" t="str">
        <f>IF(Tabel1[[#This Row],[Model]]="", "",INDEX(Tableau2[Equipment],MATCH(Tabel1[[#This Row],[Model]],Tableau2[Model],0)))</f>
        <v/>
      </c>
      <c r="I362" s="10"/>
      <c r="K362" s="9"/>
      <c r="L362" s="9"/>
      <c r="M362" s="9"/>
      <c r="N362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62" s="30">
        <f>HOUR(Tabel1[[#This Row],[Total Hours]])+MINUTE(Tabel1[[#This Row],[Total Hours]])/60+SECOND(Tabel1[[#This Row],[Total Hours]])/3600</f>
        <v>0</v>
      </c>
      <c r="P362" s="6">
        <f>Tabel1[[#This Row],[End Time]]+(Tabel1[[#This Row],[End Time]]&lt;Tabel1[[#This Row],[Start time]])</f>
        <v>0</v>
      </c>
      <c r="Q362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  <row r="363" spans="1:17" x14ac:dyDescent="0.35">
      <c r="A363" s="32"/>
      <c r="B363" s="32">
        <f t="shared" si="5"/>
        <v>356</v>
      </c>
      <c r="C363" s="32" t="str">
        <f>IFERROR(VLOOKUP(Tabel1[[#This Row],[Model]],Tableau2[[Model]:[Parking Number]],2,FALSE)," ")</f>
        <v xml:space="preserve"> </v>
      </c>
      <c r="D363" s="35"/>
      <c r="E363" s="32" t="str">
        <f>IF(Tabel1[[#This Row],[Model]]="", "",INDEX(Tableau2[Equipment Type],MATCH(Tabel1[[#This Row],[Model]],Tableau2[Model],0)))</f>
        <v/>
      </c>
      <c r="G363" s="4" t="str">
        <f>IF(Tabel1[[#This Row],[Model]]="", "",INDEX(Tableau2[Equipment],MATCH(Tabel1[[#This Row],[Model]],Tableau2[Model],0)))</f>
        <v/>
      </c>
      <c r="I363" s="10"/>
      <c r="K363" s="9"/>
      <c r="L363" s="9"/>
      <c r="M363" s="9"/>
      <c r="N363" s="9">
        <f>IF(Tabel1[[#This Row],[New Parking Number]]="","",(IF(Tabel1[[#This Row],[Start time]]&lt;Tabel1[[#This Row],[End Time]],Tabel1[[#This Row],[End Time]]-Tabel1[[#This Row],[Start time]]-Tabel1[[#This Row],[Down time]],(Tabel1[[#This Row],[End Time]]+24)-Tabel1[[#This Row],[Start time]]-Tabel1[[#This Row],[Down time]])))</f>
        <v>24</v>
      </c>
      <c r="O363" s="30">
        <f>HOUR(Tabel1[[#This Row],[Total Hours]])+MINUTE(Tabel1[[#This Row],[Total Hours]])/60+SECOND(Tabel1[[#This Row],[Total Hours]])/3600</f>
        <v>0</v>
      </c>
      <c r="P363" s="6">
        <f>Tabel1[[#This Row],[End Time]]+(Tabel1[[#This Row],[End Time]]&lt;Tabel1[[#This Row],[Start time]])</f>
        <v>0</v>
      </c>
      <c r="Q363" s="7">
        <f>COUNTIFS(Tabel1[Date],Tabel1[[#This Row],[Date]],Tabel1[New Parking Number],Tabel1[[#This Row],[New Parking Number]],Tabel1[EndTime 2],"&gt;"&amp;Tabel1[[#This Row],[Start time]],Tabel1[Start time],"&lt;"&amp;Tabel1[[#This Row],[EndTime 2]])</f>
        <v>0</v>
      </c>
    </row>
  </sheetData>
  <mergeCells count="1">
    <mergeCell ref="B2:O4"/>
  </mergeCells>
  <phoneticPr fontId="3" type="noConversion"/>
  <conditionalFormatting sqref="Q8:Q363">
    <cfRule type="expression" dxfId="19" priority="3">
      <formula>Q8&gt;1</formula>
    </cfRule>
  </conditionalFormatting>
  <conditionalFormatting sqref="B8:Q363">
    <cfRule type="expression" dxfId="18" priority="1">
      <formula>$Q8&gt;1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8E420-5500-4599-9B10-1B7A12834779}">
  <dimension ref="A1:AQ26"/>
  <sheetViews>
    <sheetView tabSelected="1" topLeftCell="A6" zoomScale="70" zoomScaleNormal="70" workbookViewId="0">
      <selection activeCell="AQ14" sqref="AQ14"/>
    </sheetView>
  </sheetViews>
  <sheetFormatPr defaultColWidth="11.453125" defaultRowHeight="12.5" x14ac:dyDescent="0.25"/>
  <cols>
    <col min="1" max="1" width="3.1796875" style="16" customWidth="1"/>
    <col min="2" max="2" width="26" style="16" bestFit="1" customWidth="1"/>
    <col min="3" max="3" width="19.90625" style="16" hidden="1" customWidth="1"/>
    <col min="4" max="4" width="37.1796875" style="16" hidden="1" customWidth="1"/>
    <col min="5" max="5" width="21.1796875" style="16" hidden="1" customWidth="1"/>
    <col min="6" max="6" width="10.81640625" style="16" customWidth="1"/>
    <col min="7" max="7" width="5" style="16" bestFit="1" customWidth="1"/>
    <col min="8" max="18" width="5.6328125" style="16" customWidth="1"/>
    <col min="19" max="37" width="5.6328125" style="16" hidden="1" customWidth="1"/>
    <col min="38" max="38" width="11.81640625" style="16" bestFit="1" customWidth="1"/>
    <col min="39" max="39" width="21" style="16" customWidth="1"/>
    <col min="40" max="40" width="18.7265625" style="16" customWidth="1"/>
    <col min="41" max="41" width="3.26953125" style="16" customWidth="1"/>
    <col min="42" max="16384" width="11.453125" style="16"/>
  </cols>
  <sheetData>
    <row r="1" spans="1:43" ht="16" customHeight="1" x14ac:dyDescent="0.25">
      <c r="B1" s="72" t="s">
        <v>137</v>
      </c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3"/>
    </row>
    <row r="2" spans="1:43" ht="16" customHeight="1" x14ac:dyDescent="0.25"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</row>
    <row r="3" spans="1:43" ht="16" customHeight="1" x14ac:dyDescent="0.25"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</row>
    <row r="7" spans="1:43" ht="15" customHeight="1" x14ac:dyDescent="0.35">
      <c r="B7" s="74" t="s">
        <v>138</v>
      </c>
      <c r="C7" s="74"/>
      <c r="D7" s="17" t="s">
        <v>133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</row>
    <row r="8" spans="1:43" ht="15" customHeight="1" x14ac:dyDescent="0.35">
      <c r="B8" s="75" t="s">
        <v>139</v>
      </c>
      <c r="C8" s="75"/>
      <c r="D8" s="17" t="s">
        <v>155</v>
      </c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</row>
    <row r="9" spans="1:43" ht="15" customHeight="1" x14ac:dyDescent="0.35">
      <c r="B9" s="75" t="s">
        <v>140</v>
      </c>
      <c r="C9" s="75"/>
      <c r="D9" s="19">
        <v>45536</v>
      </c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37"/>
      <c r="AM9" s="37"/>
      <c r="AN9" s="37"/>
    </row>
    <row r="10" spans="1:43" ht="15" customHeight="1" thickBot="1" x14ac:dyDescent="0.4">
      <c r="B10" s="18"/>
      <c r="C10" s="18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</row>
    <row r="11" spans="1:43" ht="18.649999999999999" customHeight="1" x14ac:dyDescent="0.35">
      <c r="B11" s="76" t="s">
        <v>141</v>
      </c>
      <c r="C11" s="77"/>
      <c r="D11" s="77"/>
      <c r="E11" s="77"/>
      <c r="F11" s="78"/>
      <c r="G11" s="82" t="s">
        <v>142</v>
      </c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4"/>
      <c r="AL11" s="17"/>
      <c r="AM11" s="17"/>
      <c r="AN11" s="17"/>
    </row>
    <row r="12" spans="1:43" ht="18.649999999999999" customHeight="1" thickBot="1" x14ac:dyDescent="0.4">
      <c r="B12" s="79"/>
      <c r="C12" s="80"/>
      <c r="D12" s="80"/>
      <c r="E12" s="80"/>
      <c r="F12" s="81"/>
      <c r="G12" s="85">
        <v>45505</v>
      </c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7">
        <v>45536</v>
      </c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88"/>
      <c r="AL12" s="39">
        <f>SUMIF(Table4[WO No],"&lt;&gt;",Table4[Total Hrs])</f>
        <v>460</v>
      </c>
      <c r="AM12" s="38"/>
      <c r="AN12" s="39">
        <f>SUMIF(Table4[WO No],"&lt;&gt;",Table4[ Total Cost (MRU)])</f>
        <v>699670</v>
      </c>
    </row>
    <row r="13" spans="1:43" ht="37" customHeight="1" thickBot="1" x14ac:dyDescent="0.35">
      <c r="B13" s="46" t="s">
        <v>9</v>
      </c>
      <c r="C13" s="47" t="s">
        <v>143</v>
      </c>
      <c r="D13" s="48" t="s">
        <v>144</v>
      </c>
      <c r="E13" s="48" t="s">
        <v>145</v>
      </c>
      <c r="F13" s="49" t="s">
        <v>146</v>
      </c>
      <c r="G13" s="97" t="s">
        <v>198</v>
      </c>
      <c r="H13" s="98" t="s">
        <v>199</v>
      </c>
      <c r="I13" s="98" t="s">
        <v>200</v>
      </c>
      <c r="J13" s="98" t="s">
        <v>201</v>
      </c>
      <c r="K13" s="98" t="s">
        <v>202</v>
      </c>
      <c r="L13" s="98" t="s">
        <v>203</v>
      </c>
      <c r="M13" s="98" t="s">
        <v>204</v>
      </c>
      <c r="N13" s="98" t="s">
        <v>205</v>
      </c>
      <c r="O13" s="98" t="s">
        <v>206</v>
      </c>
      <c r="P13" s="98" t="s">
        <v>207</v>
      </c>
      <c r="Q13" s="98" t="s">
        <v>208</v>
      </c>
      <c r="R13" s="98" t="s">
        <v>209</v>
      </c>
      <c r="S13" s="98" t="s">
        <v>210</v>
      </c>
      <c r="T13" s="98" t="s">
        <v>211</v>
      </c>
      <c r="U13" s="98" t="s">
        <v>212</v>
      </c>
      <c r="V13" s="98" t="s">
        <v>213</v>
      </c>
      <c r="W13" s="98" t="s">
        <v>214</v>
      </c>
      <c r="X13" s="98" t="s">
        <v>215</v>
      </c>
      <c r="Y13" s="98" t="s">
        <v>216</v>
      </c>
      <c r="Z13" s="98" t="s">
        <v>217</v>
      </c>
      <c r="AA13" s="98" t="s">
        <v>218</v>
      </c>
      <c r="AB13" s="98" t="s">
        <v>219</v>
      </c>
      <c r="AC13" s="98" t="s">
        <v>220</v>
      </c>
      <c r="AD13" s="98" t="s">
        <v>221</v>
      </c>
      <c r="AE13" s="98" t="s">
        <v>222</v>
      </c>
      <c r="AF13" s="98" t="s">
        <v>223</v>
      </c>
      <c r="AG13" s="98" t="s">
        <v>224</v>
      </c>
      <c r="AH13" s="98" t="s">
        <v>225</v>
      </c>
      <c r="AI13" s="98" t="s">
        <v>226</v>
      </c>
      <c r="AJ13" s="98" t="s">
        <v>227</v>
      </c>
      <c r="AK13" s="99" t="s">
        <v>228</v>
      </c>
      <c r="AL13" s="20" t="s">
        <v>136</v>
      </c>
      <c r="AM13" s="21" t="s">
        <v>147</v>
      </c>
      <c r="AN13" s="56" t="s">
        <v>148</v>
      </c>
      <c r="AP13" s="105" t="s">
        <v>235</v>
      </c>
      <c r="AQ13" s="105" t="s">
        <v>234</v>
      </c>
    </row>
    <row r="14" spans="1:43" ht="15.5" x14ac:dyDescent="0.35">
      <c r="A14" s="36"/>
      <c r="B14" s="50" t="s">
        <v>46</v>
      </c>
      <c r="C14" s="51" t="str">
        <f>IF(Table4[[#This Row],[Equipment]]="", "",INDEX(Tableau2[],MATCH(Table4[[#This Row],[Equipment]],Tableau2[Equipment],0),MATCH(Table4[[#Headers],[Equipment Type]],Tableau2[#Headers],0)))</f>
        <v>Loader</v>
      </c>
      <c r="D14" s="51" t="s">
        <v>151</v>
      </c>
      <c r="E14" s="51" t="s">
        <v>66</v>
      </c>
      <c r="F14" s="101">
        <v>5198487</v>
      </c>
      <c r="G14" s="100" cm="1">
        <f t="array" ref="G14">SUMPRODUCT((Tabel1[Equipment]=Table4[[#This Row],[Equipment]])*(Tabel1[Date]=G$13*1)*(Tabel1[WO No]=Table4[[#This Row],[WO No]])*(Tabel1[Total]))</f>
        <v>21</v>
      </c>
      <c r="H14" s="100" cm="1">
        <f t="array" ref="H14">SUMPRODUCT((Tabel1[Equipment]=Table4[[#This Row],[Equipment]])*(Tabel1[Date]=H$13*1)*(Tabel1[WO No]=Table4[[#This Row],[WO No]])*(Tabel1[Total]))</f>
        <v>21</v>
      </c>
      <c r="I14" s="100" cm="1">
        <f t="array" ref="I14">SUMPRODUCT((Tabel1[Equipment]=Table4[[#This Row],[Equipment]])*(Tabel1[Date]=I$13*1)*(Tabel1[WO No]=Table4[[#This Row],[WO No]])*(Tabel1[Total]))</f>
        <v>21</v>
      </c>
      <c r="J14" s="100" cm="1">
        <f t="array" ref="J14">SUMPRODUCT((Tabel1[Equipment]=Table4[[#This Row],[Equipment]])*(Tabel1[Date]=J$13*1)*(Tabel1[WO No]=Table4[[#This Row],[WO No]])*(Tabel1[Total]))</f>
        <v>21</v>
      </c>
      <c r="K14" s="100" cm="1">
        <f t="array" ref="K14">SUMPRODUCT((Tabel1[Equipment]=Table4[[#This Row],[Equipment]])*(Tabel1[Date]=K$13*1)*(Tabel1[WO No]=Table4[[#This Row],[WO No]])*(Tabel1[Total]))</f>
        <v>21</v>
      </c>
      <c r="L14" s="100" cm="1">
        <f t="array" ref="L14">SUMPRODUCT((Tabel1[Equipment]=Table4[[#This Row],[Equipment]])*(Tabel1[Date]=L$13*1)*(Tabel1[WO No]=Table4[[#This Row],[WO No]])*(Tabel1[Total]))</f>
        <v>21</v>
      </c>
      <c r="M14" s="100" cm="1">
        <f t="array" ref="M14">SUMPRODUCT((Tabel1[Equipment]=Table4[[#This Row],[Equipment]])*(Tabel1[Date]=M$13*1)*(Tabel1[WO No]=Table4[[#This Row],[WO No]])*(Tabel1[Total]))</f>
        <v>21</v>
      </c>
      <c r="N14" s="100" cm="1">
        <f t="array" ref="N14">SUMPRODUCT((Tabel1[Equipment]=Table4[[#This Row],[Equipment]])*(Tabel1[Date]=N$13*1)*(Tabel1[WO No]=Table4[[#This Row],[WO No]])*(Tabel1[Total]))</f>
        <v>21</v>
      </c>
      <c r="O14" s="100" cm="1">
        <f t="array" ref="O14">SUMPRODUCT((Tabel1[Equipment]=Table4[[#This Row],[Equipment]])*(Tabel1[Date]=O$13*1)*(Tabel1[WO No]=Table4[[#This Row],[WO No]])*(Tabel1[Total]))</f>
        <v>21</v>
      </c>
      <c r="P14" s="100" cm="1">
        <f t="array" ref="P14">SUMPRODUCT((Tabel1[Equipment]=Table4[[#This Row],[Equipment]])*(Tabel1[Date]=P$13*1)*(Tabel1[WO No]=Table4[[#This Row],[WO No]])*(Tabel1[Total]))</f>
        <v>21</v>
      </c>
      <c r="Q14" s="100" cm="1">
        <f t="array" ref="Q14">SUMPRODUCT((Tabel1[Equipment]=Table4[[#This Row],[Equipment]])*(Tabel1[Date]=Q$13*1)*(Tabel1[WO No]=Table4[[#This Row],[WO No]])*(Tabel1[Total]))</f>
        <v>21</v>
      </c>
      <c r="R14" s="100" cm="1">
        <f t="array" ref="R14">SUMPRODUCT((Tabel1[Equipment]=Table4[[#This Row],[Equipment]])*(Tabel1[Date]=R$13*1)*(Tabel1[WO No]=Table4[[#This Row],[WO No]])*(Tabel1[Total]))</f>
        <v>0</v>
      </c>
      <c r="S14" s="100" cm="1">
        <f t="array" ref="S14">SUMPRODUCT((Tabel1[Equipment]=Table4[[#This Row],[Equipment]])*(Tabel1[Date]=S$13*1)*(Tabel1[WO No]=Table4[[#This Row],[WO No]])*(Tabel1[Total]))</f>
        <v>0</v>
      </c>
      <c r="T14" s="100" cm="1">
        <f t="array" ref="T14">SUMPRODUCT((Tabel1[Equipment]=Table4[[#This Row],[Equipment]])*(Tabel1[Date]=T$13*1)*(Tabel1[WO No]=Table4[[#This Row],[WO No]])*(Tabel1[Total]))</f>
        <v>0</v>
      </c>
      <c r="U14" s="100" cm="1">
        <f t="array" ref="U14">SUMPRODUCT((Tabel1[Equipment]=Table4[[#This Row],[Equipment]])*(Tabel1[Date]=U$13*1)*(Tabel1[WO No]=Table4[[#This Row],[WO No]])*(Tabel1[Total]))</f>
        <v>0</v>
      </c>
      <c r="V14" s="100" cm="1">
        <f t="array" ref="V14">SUMPRODUCT((Tabel1[Equipment]=Table4[[#This Row],[Equipment]])*(Tabel1[Date]=V$13*1)*(Tabel1[WO No]=Table4[[#This Row],[WO No]])*(Tabel1[Total]))</f>
        <v>0</v>
      </c>
      <c r="W14" s="100" cm="1">
        <f t="array" ref="W14">SUMPRODUCT((Tabel1[Equipment]=Table4[[#This Row],[Equipment]])*(Tabel1[Date]=W$13*1)*(Tabel1[WO No]=Table4[[#This Row],[WO No]])*(Tabel1[Total]))</f>
        <v>0</v>
      </c>
      <c r="X14" s="100" cm="1">
        <f t="array" ref="X14">SUMPRODUCT((Tabel1[Equipment]=Table4[[#This Row],[Equipment]])*(Tabel1[Date]=X$13*1)*(Tabel1[WO No]=Table4[[#This Row],[WO No]])*(Tabel1[Total]))</f>
        <v>0</v>
      </c>
      <c r="Y14" s="100" cm="1">
        <f t="array" ref="Y14">SUMPRODUCT((Tabel1[Equipment]=Table4[[#This Row],[Equipment]])*(Tabel1[Date]=Y$13*1)*(Tabel1[WO No]=Table4[[#This Row],[WO No]])*(Tabel1[Total]))</f>
        <v>0</v>
      </c>
      <c r="Z14" s="100" cm="1">
        <f t="array" ref="Z14">SUMPRODUCT((Tabel1[Equipment]=Table4[[#This Row],[Equipment]])*(Tabel1[Date]=Z$13*1)*(Tabel1[WO No]=Table4[[#This Row],[WO No]])*(Tabel1[Total]))</f>
        <v>0</v>
      </c>
      <c r="AA14" s="100" cm="1">
        <f t="array" ref="AA14">SUMPRODUCT((Tabel1[Equipment]=Table4[[#This Row],[Equipment]])*(Tabel1[Date]=AA$13*1)*(Tabel1[WO No]=Table4[[#This Row],[WO No]])*(Tabel1[Total]))</f>
        <v>0</v>
      </c>
      <c r="AB14" s="100" cm="1">
        <f t="array" ref="AB14">SUMPRODUCT((Tabel1[Equipment]=Table4[[#This Row],[Equipment]])*(Tabel1[Date]=AB$13*1)*(Tabel1[WO No]=Table4[[#This Row],[WO No]])*(Tabel1[Total]))</f>
        <v>0</v>
      </c>
      <c r="AC14" s="100" cm="1">
        <f t="array" ref="AC14">SUMPRODUCT((Tabel1[Equipment]=Table4[[#This Row],[Equipment]])*(Tabel1[Date]=AC$13*1)*(Tabel1[WO No]=Table4[[#This Row],[WO No]])*(Tabel1[Total]))</f>
        <v>0</v>
      </c>
      <c r="AD14" s="100" cm="1">
        <f t="array" ref="AD14">SUMPRODUCT((Tabel1[Equipment]=Table4[[#This Row],[Equipment]])*(Tabel1[Date]=AD$13*1)*(Tabel1[WO No]=Table4[[#This Row],[WO No]])*(Tabel1[Total]))</f>
        <v>0</v>
      </c>
      <c r="AE14" s="100" cm="1">
        <f t="array" ref="AE14">SUMPRODUCT((Tabel1[Equipment]=Table4[[#This Row],[Equipment]])*(Tabel1[Date]=AE$13*1)*(Tabel1[WO No]=Table4[[#This Row],[WO No]])*(Tabel1[Total]))</f>
        <v>0</v>
      </c>
      <c r="AF14" s="100" cm="1">
        <f t="array" ref="AF14">SUMPRODUCT((Tabel1[Equipment]=Table4[[#This Row],[Equipment]])*(Tabel1[Date]=AF$13*1)*(Tabel1[WO No]=Table4[[#This Row],[WO No]])*(Tabel1[Total]))</f>
        <v>0</v>
      </c>
      <c r="AG14" s="100" cm="1">
        <f t="array" ref="AG14">SUMPRODUCT((Tabel1[Equipment]=Table4[[#This Row],[Equipment]])*(Tabel1[Date]=AG$13*1)*(Tabel1[WO No]=Table4[[#This Row],[WO No]])*(Tabel1[Total]))</f>
        <v>0</v>
      </c>
      <c r="AH14" s="100" cm="1">
        <f t="array" ref="AH14">SUMPRODUCT((Tabel1[Equipment]=Table4[[#This Row],[Equipment]])*(Tabel1[Date]=AH$13*1)*(Tabel1[WO No]=Table4[[#This Row],[WO No]])*(Tabel1[Total]))</f>
        <v>0</v>
      </c>
      <c r="AI14" s="100" cm="1">
        <f t="array" ref="AI14">SUMPRODUCT((Tabel1[Equipment]=Table4[[#This Row],[Equipment]])*(Tabel1[Date]=AI$13*1)*(Tabel1[WO No]=Table4[[#This Row],[WO No]])*(Tabel1[Total]))</f>
        <v>0</v>
      </c>
      <c r="AJ14" s="100" cm="1">
        <f t="array" ref="AJ14">SUMPRODUCT((Tabel1[Equipment]=Table4[[#This Row],[Equipment]])*(Tabel1[Date]=AJ$13*1)*(Tabel1[WO No]=Table4[[#This Row],[WO No]])*(Tabel1[Total]))</f>
        <v>0</v>
      </c>
      <c r="AK14" s="100" cm="1">
        <f t="array" ref="AK14">SUMPRODUCT((Tabel1[Equipment]=Table4[[#This Row],[Equipment]])*(Tabel1[Date]=AK$13*1)*(Tabel1[WO No]=Table4[[#This Row],[WO No]])*(Tabel1[Total]))</f>
        <v>0</v>
      </c>
      <c r="AL14" s="94">
        <f>SUM(Table4[[#This Row],[15/8]:[14/9]])</f>
        <v>231</v>
      </c>
      <c r="AM14" s="23">
        <v>1550</v>
      </c>
      <c r="AN14" s="57">
        <f>Table4[[#This Row],[Total Hrs]]* Table4[[#This Row],[Hourely Rate (MRU)]]</f>
        <v>358050</v>
      </c>
      <c r="AP14" s="104" cm="1">
        <f t="array" ref="AP14:AP16">_xlfn.UNIQUE(Table4[WO No])</f>
        <v>5198487</v>
      </c>
      <c r="AQ14" s="106" t="s">
        <v>236</v>
      </c>
    </row>
    <row r="15" spans="1:43" ht="15.5" x14ac:dyDescent="0.35">
      <c r="B15" s="52" t="s">
        <v>96</v>
      </c>
      <c r="C15" s="22" t="str">
        <f>IF(Table4[[#This Row],[Equipment]]="", "",INDEX(Tableau2[],MATCH(Table4[[#This Row],[Equipment]],Tableau2[Equipment],0),MATCH(Table4[[#Headers],[Equipment Type]],Tableau2[#Headers],0)))</f>
        <v>Tipper Truck</v>
      </c>
      <c r="D15" s="43" t="s">
        <v>151</v>
      </c>
      <c r="E15" s="43" t="s">
        <v>66</v>
      </c>
      <c r="F15" s="102">
        <v>5198487</v>
      </c>
      <c r="G15" s="100" cm="1">
        <f t="array" ref="G15">SUMPRODUCT((Tabel1[Equipment]=Table4[[#This Row],[Equipment]])*(Tabel1[Date]=G$13*1)*(Tabel1[WO No]=Table4[[#This Row],[WO No]])*(Tabel1[Total]))</f>
        <v>11</v>
      </c>
      <c r="H15" s="100" cm="1">
        <f t="array" ref="H15">SUMPRODUCT((Tabel1[Equipment]=Table4[[#This Row],[Equipment]])*(Tabel1[Date]=H$13*1)*(Tabel1[WO No]=Table4[[#This Row],[WO No]])*(Tabel1[Total]))</f>
        <v>11</v>
      </c>
      <c r="I15" s="100" cm="1">
        <f t="array" ref="I15">SUMPRODUCT((Tabel1[Equipment]=Table4[[#This Row],[Equipment]])*(Tabel1[Date]=I$13*1)*(Tabel1[WO No]=Table4[[#This Row],[WO No]])*(Tabel1[Total]))</f>
        <v>11</v>
      </c>
      <c r="J15" s="100" cm="1">
        <f t="array" ref="J15">SUMPRODUCT((Tabel1[Equipment]=Table4[[#This Row],[Equipment]])*(Tabel1[Date]=J$13*1)*(Tabel1[WO No]=Table4[[#This Row],[WO No]])*(Tabel1[Total]))</f>
        <v>11</v>
      </c>
      <c r="K15" s="100" cm="1">
        <f t="array" ref="K15">SUMPRODUCT((Tabel1[Equipment]=Table4[[#This Row],[Equipment]])*(Tabel1[Date]=K$13*1)*(Tabel1[WO No]=Table4[[#This Row],[WO No]])*(Tabel1[Total]))</f>
        <v>11</v>
      </c>
      <c r="L15" s="100" cm="1">
        <f t="array" ref="L15">SUMPRODUCT((Tabel1[Equipment]=Table4[[#This Row],[Equipment]])*(Tabel1[Date]=L$13*1)*(Tabel1[WO No]=Table4[[#This Row],[WO No]])*(Tabel1[Total]))</f>
        <v>11</v>
      </c>
      <c r="M15" s="100" cm="1">
        <f t="array" ref="M15">SUMPRODUCT((Tabel1[Equipment]=Table4[[#This Row],[Equipment]])*(Tabel1[Date]=M$13*1)*(Tabel1[WO No]=Table4[[#This Row],[WO No]])*(Tabel1[Total]))</f>
        <v>11</v>
      </c>
      <c r="N15" s="100" cm="1">
        <f t="array" ref="N15">SUMPRODUCT((Tabel1[Equipment]=Table4[[#This Row],[Equipment]])*(Tabel1[Date]=N$13*1)*(Tabel1[WO No]=Table4[[#This Row],[WO No]])*(Tabel1[Total]))</f>
        <v>11</v>
      </c>
      <c r="O15" s="100" cm="1">
        <f t="array" ref="O15">SUMPRODUCT((Tabel1[Equipment]=Table4[[#This Row],[Equipment]])*(Tabel1[Date]=O$13*1)*(Tabel1[WO No]=Table4[[#This Row],[WO No]])*(Tabel1[Total]))</f>
        <v>11</v>
      </c>
      <c r="P15" s="100" cm="1">
        <f t="array" ref="P15">SUMPRODUCT((Tabel1[Equipment]=Table4[[#This Row],[Equipment]])*(Tabel1[Date]=P$13*1)*(Tabel1[WO No]=Table4[[#This Row],[WO No]])*(Tabel1[Total]))</f>
        <v>11</v>
      </c>
      <c r="Q15" s="100" cm="1">
        <f t="array" ref="Q15">SUMPRODUCT((Tabel1[Equipment]=Table4[[#This Row],[Equipment]])*(Tabel1[Date]=Q$13*1)*(Tabel1[WO No]=Table4[[#This Row],[WO No]])*(Tabel1[Total]))</f>
        <v>11</v>
      </c>
      <c r="R15" s="100" cm="1">
        <f t="array" ref="R15">SUMPRODUCT((Tabel1[Equipment]=Table4[[#This Row],[Equipment]])*(Tabel1[Date]=R$13*1)*(Tabel1[WO No]=Table4[[#This Row],[WO No]])*(Tabel1[Total]))</f>
        <v>0</v>
      </c>
      <c r="S15" s="100" cm="1">
        <f t="array" ref="S15">SUMPRODUCT((Tabel1[Equipment]=Table4[[#This Row],[Equipment]])*(Tabel1[Date]=S$13*1)*(Tabel1[WO No]=Table4[[#This Row],[WO No]])*(Tabel1[Total]))</f>
        <v>0</v>
      </c>
      <c r="T15" s="100" cm="1">
        <f t="array" ref="T15">SUMPRODUCT((Tabel1[Equipment]=Table4[[#This Row],[Equipment]])*(Tabel1[Date]=T$13*1)*(Tabel1[WO No]=Table4[[#This Row],[WO No]])*(Tabel1[Total]))</f>
        <v>0</v>
      </c>
      <c r="U15" s="100" cm="1">
        <f t="array" ref="U15">SUMPRODUCT((Tabel1[Equipment]=Table4[[#This Row],[Equipment]])*(Tabel1[Date]=U$13*1)*(Tabel1[WO No]=Table4[[#This Row],[WO No]])*(Tabel1[Total]))</f>
        <v>0</v>
      </c>
      <c r="V15" s="100" cm="1">
        <f t="array" ref="V15">SUMPRODUCT((Tabel1[Equipment]=Table4[[#This Row],[Equipment]])*(Tabel1[Date]=V$13*1)*(Tabel1[WO No]=Table4[[#This Row],[WO No]])*(Tabel1[Total]))</f>
        <v>0</v>
      </c>
      <c r="W15" s="100" cm="1">
        <f t="array" ref="W15">SUMPRODUCT((Tabel1[Equipment]=Table4[[#This Row],[Equipment]])*(Tabel1[Date]=W$13*1)*(Tabel1[WO No]=Table4[[#This Row],[WO No]])*(Tabel1[Total]))</f>
        <v>0</v>
      </c>
      <c r="X15" s="100" cm="1">
        <f t="array" ref="X15">SUMPRODUCT((Tabel1[Equipment]=Table4[[#This Row],[Equipment]])*(Tabel1[Date]=X$13*1)*(Tabel1[WO No]=Table4[[#This Row],[WO No]])*(Tabel1[Total]))</f>
        <v>0</v>
      </c>
      <c r="Y15" s="100" cm="1">
        <f t="array" ref="Y15">SUMPRODUCT((Tabel1[Equipment]=Table4[[#This Row],[Equipment]])*(Tabel1[Date]=Y$13*1)*(Tabel1[WO No]=Table4[[#This Row],[WO No]])*(Tabel1[Total]))</f>
        <v>0</v>
      </c>
      <c r="Z15" s="100" cm="1">
        <f t="array" ref="Z15">SUMPRODUCT((Tabel1[Equipment]=Table4[[#This Row],[Equipment]])*(Tabel1[Date]=Z$13*1)*(Tabel1[WO No]=Table4[[#This Row],[WO No]])*(Tabel1[Total]))</f>
        <v>0</v>
      </c>
      <c r="AA15" s="100" cm="1">
        <f t="array" ref="AA15">SUMPRODUCT((Tabel1[Equipment]=Table4[[#This Row],[Equipment]])*(Tabel1[Date]=AA$13*1)*(Tabel1[WO No]=Table4[[#This Row],[WO No]])*(Tabel1[Total]))</f>
        <v>0</v>
      </c>
      <c r="AB15" s="100" cm="1">
        <f t="array" ref="AB15">SUMPRODUCT((Tabel1[Equipment]=Table4[[#This Row],[Equipment]])*(Tabel1[Date]=AB$13*1)*(Tabel1[WO No]=Table4[[#This Row],[WO No]])*(Tabel1[Total]))</f>
        <v>0</v>
      </c>
      <c r="AC15" s="100" cm="1">
        <f t="array" ref="AC15">SUMPRODUCT((Tabel1[Equipment]=Table4[[#This Row],[Equipment]])*(Tabel1[Date]=AC$13*1)*(Tabel1[WO No]=Table4[[#This Row],[WO No]])*(Tabel1[Total]))</f>
        <v>0</v>
      </c>
      <c r="AD15" s="100" cm="1">
        <f t="array" ref="AD15">SUMPRODUCT((Tabel1[Equipment]=Table4[[#This Row],[Equipment]])*(Tabel1[Date]=AD$13*1)*(Tabel1[WO No]=Table4[[#This Row],[WO No]])*(Tabel1[Total]))</f>
        <v>0</v>
      </c>
      <c r="AE15" s="100" cm="1">
        <f t="array" ref="AE15">SUMPRODUCT((Tabel1[Equipment]=Table4[[#This Row],[Equipment]])*(Tabel1[Date]=AE$13*1)*(Tabel1[WO No]=Table4[[#This Row],[WO No]])*(Tabel1[Total]))</f>
        <v>0</v>
      </c>
      <c r="AF15" s="100" cm="1">
        <f t="array" ref="AF15">SUMPRODUCT((Tabel1[Equipment]=Table4[[#This Row],[Equipment]])*(Tabel1[Date]=AF$13*1)*(Tabel1[WO No]=Table4[[#This Row],[WO No]])*(Tabel1[Total]))</f>
        <v>0</v>
      </c>
      <c r="AG15" s="100" cm="1">
        <f t="array" ref="AG15">SUMPRODUCT((Tabel1[Equipment]=Table4[[#This Row],[Equipment]])*(Tabel1[Date]=AG$13*1)*(Tabel1[WO No]=Table4[[#This Row],[WO No]])*(Tabel1[Total]))</f>
        <v>0</v>
      </c>
      <c r="AH15" s="100" cm="1">
        <f t="array" ref="AH15">SUMPRODUCT((Tabel1[Equipment]=Table4[[#This Row],[Equipment]])*(Tabel1[Date]=AH$13*1)*(Tabel1[WO No]=Table4[[#This Row],[WO No]])*(Tabel1[Total]))</f>
        <v>0</v>
      </c>
      <c r="AI15" s="100" cm="1">
        <f t="array" ref="AI15">SUMPRODUCT((Tabel1[Equipment]=Table4[[#This Row],[Equipment]])*(Tabel1[Date]=AI$13*1)*(Tabel1[WO No]=Table4[[#This Row],[WO No]])*(Tabel1[Total]))</f>
        <v>0</v>
      </c>
      <c r="AJ15" s="100" cm="1">
        <f t="array" ref="AJ15">SUMPRODUCT((Tabel1[Equipment]=Table4[[#This Row],[Equipment]])*(Tabel1[Date]=AJ$13*1)*(Tabel1[WO No]=Table4[[#This Row],[WO No]])*(Tabel1[Total]))</f>
        <v>0</v>
      </c>
      <c r="AK15" s="100" cm="1">
        <f t="array" ref="AK15">SUMPRODUCT((Tabel1[Equipment]=Table4[[#This Row],[Equipment]])*(Tabel1[Date]=AK$13*1)*(Tabel1[WO No]=Table4[[#This Row],[WO No]])*(Tabel1[Total]))</f>
        <v>0</v>
      </c>
      <c r="AL15" s="95">
        <f>SUM(Table4[[#This Row],[15/8]:[14/9]])</f>
        <v>121</v>
      </c>
      <c r="AM15" s="44">
        <v>970</v>
      </c>
      <c r="AN15" s="58">
        <f>Table4[[#This Row],[Total Hrs]]* Table4[[#This Row],[Hourely Rate (MRU)]]</f>
        <v>117370</v>
      </c>
      <c r="AP15" s="104">
        <v>5092509</v>
      </c>
    </row>
    <row r="16" spans="1:43" ht="15.5" customHeight="1" x14ac:dyDescent="0.35">
      <c r="B16" s="52" t="s">
        <v>70</v>
      </c>
      <c r="C16" s="89" t="s">
        <v>31</v>
      </c>
      <c r="D16" s="22" t="s">
        <v>161</v>
      </c>
      <c r="E16" s="22" t="s">
        <v>56</v>
      </c>
      <c r="F16" s="103">
        <v>5092509</v>
      </c>
      <c r="G16" s="100" cm="1">
        <f t="array" ref="G16">SUMPRODUCT((Tabel1[Equipment]=Table4[[#This Row],[Equipment]])*(Tabel1[Date]=G$13*1)*(Tabel1[WO No]=Table4[[#This Row],[WO No]])*(Tabel1[Total]))</f>
        <v>8</v>
      </c>
      <c r="H16" s="100" cm="1">
        <f t="array" ref="H16">SUMPRODUCT((Tabel1[Equipment]=Table4[[#This Row],[Equipment]])*(Tabel1[Date]=H$13*1)*(Tabel1[WO No]=Table4[[#This Row],[WO No]])*(Tabel1[Total]))</f>
        <v>4</v>
      </c>
      <c r="I16" s="100" cm="1">
        <f t="array" ref="I16">SUMPRODUCT((Tabel1[Equipment]=Table4[[#This Row],[Equipment]])*(Tabel1[Date]=I$13*1)*(Tabel1[WO No]=Table4[[#This Row],[WO No]])*(Tabel1[Total]))</f>
        <v>8</v>
      </c>
      <c r="J16" s="100" cm="1">
        <f t="array" ref="J16">SUMPRODUCT((Tabel1[Equipment]=Table4[[#This Row],[Equipment]])*(Tabel1[Date]=J$13*1)*(Tabel1[WO No]=Table4[[#This Row],[WO No]])*(Tabel1[Total]))</f>
        <v>6</v>
      </c>
      <c r="K16" s="100" cm="1">
        <f t="array" ref="K16">SUMPRODUCT((Tabel1[Equipment]=Table4[[#This Row],[Equipment]])*(Tabel1[Date]=K$13*1)*(Tabel1[WO No]=Table4[[#This Row],[WO No]])*(Tabel1[Total]))</f>
        <v>8</v>
      </c>
      <c r="L16" s="100" cm="1">
        <f t="array" ref="L16">SUMPRODUCT((Tabel1[Equipment]=Table4[[#This Row],[Equipment]])*(Tabel1[Date]=L$13*1)*(Tabel1[WO No]=Table4[[#This Row],[WO No]])*(Tabel1[Total]))</f>
        <v>8</v>
      </c>
      <c r="M16" s="100" cm="1">
        <f t="array" ref="M16">SUMPRODUCT((Tabel1[Equipment]=Table4[[#This Row],[Equipment]])*(Tabel1[Date]=M$13*1)*(Tabel1[WO No]=Table4[[#This Row],[WO No]])*(Tabel1[Total]))</f>
        <v>0</v>
      </c>
      <c r="N16" s="100" cm="1">
        <f t="array" ref="N16">SUMPRODUCT((Tabel1[Equipment]=Table4[[#This Row],[Equipment]])*(Tabel1[Date]=N$13*1)*(Tabel1[WO No]=Table4[[#This Row],[WO No]])*(Tabel1[Total]))</f>
        <v>0</v>
      </c>
      <c r="O16" s="100" cm="1">
        <f t="array" ref="O16">SUMPRODUCT((Tabel1[Equipment]=Table4[[#This Row],[Equipment]])*(Tabel1[Date]=O$13*1)*(Tabel1[WO No]=Table4[[#This Row],[WO No]])*(Tabel1[Total]))</f>
        <v>0</v>
      </c>
      <c r="P16" s="100" cm="1">
        <f t="array" ref="P16">SUMPRODUCT((Tabel1[Equipment]=Table4[[#This Row],[Equipment]])*(Tabel1[Date]=P$13*1)*(Tabel1[WO No]=Table4[[#This Row],[WO No]])*(Tabel1[Total]))</f>
        <v>0</v>
      </c>
      <c r="Q16" s="100" cm="1">
        <f t="array" ref="Q16">SUMPRODUCT((Tabel1[Equipment]=Table4[[#This Row],[Equipment]])*(Tabel1[Date]=Q$13*1)*(Tabel1[WO No]=Table4[[#This Row],[WO No]])*(Tabel1[Total]))</f>
        <v>0</v>
      </c>
      <c r="R16" s="100" cm="1">
        <f t="array" ref="R16">SUMPRODUCT((Tabel1[Equipment]=Table4[[#This Row],[Equipment]])*(Tabel1[Date]=R$13*1)*(Tabel1[WO No]=Table4[[#This Row],[WO No]])*(Tabel1[Total]))</f>
        <v>0</v>
      </c>
      <c r="S16" s="100" cm="1">
        <f t="array" ref="S16">SUMPRODUCT((Tabel1[Equipment]=Table4[[#This Row],[Equipment]])*(Tabel1[Date]=S$13*1)*(Tabel1[WO No]=Table4[[#This Row],[WO No]])*(Tabel1[Total]))</f>
        <v>0</v>
      </c>
      <c r="T16" s="100" cm="1">
        <f t="array" ref="T16">SUMPRODUCT((Tabel1[Equipment]=Table4[[#This Row],[Equipment]])*(Tabel1[Date]=T$13*1)*(Tabel1[WO No]=Table4[[#This Row],[WO No]])*(Tabel1[Total]))</f>
        <v>0</v>
      </c>
      <c r="U16" s="100" cm="1">
        <f t="array" ref="U16">SUMPRODUCT((Tabel1[Equipment]=Table4[[#This Row],[Equipment]])*(Tabel1[Date]=U$13*1)*(Tabel1[WO No]=Table4[[#This Row],[WO No]])*(Tabel1[Total]))</f>
        <v>0</v>
      </c>
      <c r="V16" s="100" cm="1">
        <f t="array" ref="V16">SUMPRODUCT((Tabel1[Equipment]=Table4[[#This Row],[Equipment]])*(Tabel1[Date]=V$13*1)*(Tabel1[WO No]=Table4[[#This Row],[WO No]])*(Tabel1[Total]))</f>
        <v>0</v>
      </c>
      <c r="W16" s="100" cm="1">
        <f t="array" ref="W16">SUMPRODUCT((Tabel1[Equipment]=Table4[[#This Row],[Equipment]])*(Tabel1[Date]=W$13*1)*(Tabel1[WO No]=Table4[[#This Row],[WO No]])*(Tabel1[Total]))</f>
        <v>0</v>
      </c>
      <c r="X16" s="100" cm="1">
        <f t="array" ref="X16">SUMPRODUCT((Tabel1[Equipment]=Table4[[#This Row],[Equipment]])*(Tabel1[Date]=X$13*1)*(Tabel1[WO No]=Table4[[#This Row],[WO No]])*(Tabel1[Total]))</f>
        <v>0</v>
      </c>
      <c r="Y16" s="100" cm="1">
        <f t="array" ref="Y16">SUMPRODUCT((Tabel1[Equipment]=Table4[[#This Row],[Equipment]])*(Tabel1[Date]=Y$13*1)*(Tabel1[WO No]=Table4[[#This Row],[WO No]])*(Tabel1[Total]))</f>
        <v>0</v>
      </c>
      <c r="Z16" s="100" cm="1">
        <f t="array" ref="Z16">SUMPRODUCT((Tabel1[Equipment]=Table4[[#This Row],[Equipment]])*(Tabel1[Date]=Z$13*1)*(Tabel1[WO No]=Table4[[#This Row],[WO No]])*(Tabel1[Total]))</f>
        <v>0</v>
      </c>
      <c r="AA16" s="100" cm="1">
        <f t="array" ref="AA16">SUMPRODUCT((Tabel1[Equipment]=Table4[[#This Row],[Equipment]])*(Tabel1[Date]=AA$13*1)*(Tabel1[WO No]=Table4[[#This Row],[WO No]])*(Tabel1[Total]))</f>
        <v>0</v>
      </c>
      <c r="AB16" s="100" cm="1">
        <f t="array" ref="AB16">SUMPRODUCT((Tabel1[Equipment]=Table4[[#This Row],[Equipment]])*(Tabel1[Date]=AB$13*1)*(Tabel1[WO No]=Table4[[#This Row],[WO No]])*(Tabel1[Total]))</f>
        <v>0</v>
      </c>
      <c r="AC16" s="100" cm="1">
        <f t="array" ref="AC16">SUMPRODUCT((Tabel1[Equipment]=Table4[[#This Row],[Equipment]])*(Tabel1[Date]=AC$13*1)*(Tabel1[WO No]=Table4[[#This Row],[WO No]])*(Tabel1[Total]))</f>
        <v>0</v>
      </c>
      <c r="AD16" s="100" cm="1">
        <f t="array" ref="AD16">SUMPRODUCT((Tabel1[Equipment]=Table4[[#This Row],[Equipment]])*(Tabel1[Date]=AD$13*1)*(Tabel1[WO No]=Table4[[#This Row],[WO No]])*(Tabel1[Total]))</f>
        <v>0</v>
      </c>
      <c r="AE16" s="100" cm="1">
        <f t="array" ref="AE16">SUMPRODUCT((Tabel1[Equipment]=Table4[[#This Row],[Equipment]])*(Tabel1[Date]=AE$13*1)*(Tabel1[WO No]=Table4[[#This Row],[WO No]])*(Tabel1[Total]))</f>
        <v>0</v>
      </c>
      <c r="AF16" s="100" cm="1">
        <f t="array" ref="AF16">SUMPRODUCT((Tabel1[Equipment]=Table4[[#This Row],[Equipment]])*(Tabel1[Date]=AF$13*1)*(Tabel1[WO No]=Table4[[#This Row],[WO No]])*(Tabel1[Total]))</f>
        <v>0</v>
      </c>
      <c r="AG16" s="100" cm="1">
        <f t="array" ref="AG16">SUMPRODUCT((Tabel1[Equipment]=Table4[[#This Row],[Equipment]])*(Tabel1[Date]=AG$13*1)*(Tabel1[WO No]=Table4[[#This Row],[WO No]])*(Tabel1[Total]))</f>
        <v>0</v>
      </c>
      <c r="AH16" s="100" cm="1">
        <f t="array" ref="AH16">SUMPRODUCT((Tabel1[Equipment]=Table4[[#This Row],[Equipment]])*(Tabel1[Date]=AH$13*1)*(Tabel1[WO No]=Table4[[#This Row],[WO No]])*(Tabel1[Total]))</f>
        <v>0</v>
      </c>
      <c r="AI16" s="100" cm="1">
        <f t="array" ref="AI16">SUMPRODUCT((Tabel1[Equipment]=Table4[[#This Row],[Equipment]])*(Tabel1[Date]=AI$13*1)*(Tabel1[WO No]=Table4[[#This Row],[WO No]])*(Tabel1[Total]))</f>
        <v>0</v>
      </c>
      <c r="AJ16" s="100" cm="1">
        <f t="array" ref="AJ16">SUMPRODUCT((Tabel1[Equipment]=Table4[[#This Row],[Equipment]])*(Tabel1[Date]=AJ$13*1)*(Tabel1[WO No]=Table4[[#This Row],[WO No]])*(Tabel1[Total]))</f>
        <v>0</v>
      </c>
      <c r="AK16" s="100" cm="1">
        <f t="array" ref="AK16">SUMPRODUCT((Tabel1[Equipment]=Table4[[#This Row],[Equipment]])*(Tabel1[Date]=AK$13*1)*(Tabel1[WO No]=Table4[[#This Row],[WO No]])*(Tabel1[Total]))</f>
        <v>0</v>
      </c>
      <c r="AL16" s="96">
        <f>SUM(Table4[[#This Row],[15/8]:[14/9]])</f>
        <v>42</v>
      </c>
      <c r="AM16" s="44">
        <v>2000</v>
      </c>
      <c r="AN16" s="90">
        <f>Table4[[#This Row],[Total Hrs]]* Table4[[#This Row],[Hourely Rate (MRU)]]</f>
        <v>84000</v>
      </c>
      <c r="AP16" s="104">
        <v>5239743</v>
      </c>
    </row>
    <row r="17" spans="2:40" ht="15.5" customHeight="1" x14ac:dyDescent="0.35">
      <c r="B17" s="91" t="s">
        <v>41</v>
      </c>
      <c r="C17" s="92" t="str">
        <f>IF([1]!Table46[[#This Row],[Equipment]]="", "",INDEX([1]!Tableau2[#Data],MATCH([1]!Table46[[#This Row],[Equipment]],[1]!Tableau2[Equipment],0),MATCH([1]!Table46[[#Headers],[Equipment Type]],[1]!Tableau2[#Headers],0)))</f>
        <v>Water Truck</v>
      </c>
      <c r="D17" s="93" t="s">
        <v>161</v>
      </c>
      <c r="E17" s="92" t="s">
        <v>56</v>
      </c>
      <c r="F17" s="103">
        <v>5092509</v>
      </c>
      <c r="G17" s="100" cm="1">
        <f t="array" ref="G17">SUMPRODUCT((Tabel1[Equipment]=Table4[[#This Row],[Equipment]])*(Tabel1[Date]=G$13*1)*(Tabel1[WO No]=Table4[[#This Row],[WO No]])*(Tabel1[Total]))</f>
        <v>0</v>
      </c>
      <c r="H17" s="100" cm="1">
        <f t="array" ref="H17">SUMPRODUCT((Tabel1[Equipment]=Table4[[#This Row],[Equipment]])*(Tabel1[Date]=H$13*1)*(Tabel1[WO No]=Table4[[#This Row],[WO No]])*(Tabel1[Total]))</f>
        <v>0</v>
      </c>
      <c r="I17" s="100" cm="1">
        <f t="array" ref="I17">SUMPRODUCT((Tabel1[Equipment]=Table4[[#This Row],[Equipment]])*(Tabel1[Date]=I$13*1)*(Tabel1[WO No]=Table4[[#This Row],[WO No]])*(Tabel1[Total]))</f>
        <v>0</v>
      </c>
      <c r="J17" s="100" cm="1">
        <f t="array" ref="J17">SUMPRODUCT((Tabel1[Equipment]=Table4[[#This Row],[Equipment]])*(Tabel1[Date]=J$13*1)*(Tabel1[WO No]=Table4[[#This Row],[WO No]])*(Tabel1[Total]))</f>
        <v>0</v>
      </c>
      <c r="K17" s="100" cm="1">
        <f t="array" ref="K17">SUMPRODUCT((Tabel1[Equipment]=Table4[[#This Row],[Equipment]])*(Tabel1[Date]=K$13*1)*(Tabel1[WO No]=Table4[[#This Row],[WO No]])*(Tabel1[Total]))</f>
        <v>0</v>
      </c>
      <c r="L17" s="100" cm="1">
        <f t="array" ref="L17">SUMPRODUCT((Tabel1[Equipment]=Table4[[#This Row],[Equipment]])*(Tabel1[Date]=L$13*1)*(Tabel1[WO No]=Table4[[#This Row],[WO No]])*(Tabel1[Total]))</f>
        <v>0</v>
      </c>
      <c r="M17" s="100" cm="1">
        <f t="array" ref="M17">SUMPRODUCT((Tabel1[Equipment]=Table4[[#This Row],[Equipment]])*(Tabel1[Date]=M$13*1)*(Tabel1[WO No]=Table4[[#This Row],[WO No]])*(Tabel1[Total]))</f>
        <v>8</v>
      </c>
      <c r="N17" s="100" cm="1">
        <f t="array" ref="N17">SUMPRODUCT((Tabel1[Equipment]=Table4[[#This Row],[Equipment]])*(Tabel1[Date]=N$13*1)*(Tabel1[WO No]=Table4[[#This Row],[WO No]])*(Tabel1[Total]))</f>
        <v>8</v>
      </c>
      <c r="O17" s="100" cm="1">
        <f t="array" ref="O17">SUMPRODUCT((Tabel1[Equipment]=Table4[[#This Row],[Equipment]])*(Tabel1[Date]=O$13*1)*(Tabel1[WO No]=Table4[[#This Row],[WO No]])*(Tabel1[Total]))</f>
        <v>5</v>
      </c>
      <c r="P17" s="100" cm="1">
        <f t="array" ref="P17">SUMPRODUCT((Tabel1[Equipment]=Table4[[#This Row],[Equipment]])*(Tabel1[Date]=P$13*1)*(Tabel1[WO No]=Table4[[#This Row],[WO No]])*(Tabel1[Total]))</f>
        <v>7</v>
      </c>
      <c r="Q17" s="100" cm="1">
        <f t="array" ref="Q17">SUMPRODUCT((Tabel1[Equipment]=Table4[[#This Row],[Equipment]])*(Tabel1[Date]=Q$13*1)*(Tabel1[WO No]=Table4[[#This Row],[WO No]])*(Tabel1[Total]))</f>
        <v>8</v>
      </c>
      <c r="R17" s="100" cm="1">
        <f t="array" ref="R17">SUMPRODUCT((Tabel1[Equipment]=Table4[[#This Row],[Equipment]])*(Tabel1[Date]=R$13*1)*(Tabel1[WO No]=Table4[[#This Row],[WO No]])*(Tabel1[Total]))</f>
        <v>0</v>
      </c>
      <c r="S17" s="100" cm="1">
        <f t="array" ref="S17">SUMPRODUCT((Tabel1[Equipment]=Table4[[#This Row],[Equipment]])*(Tabel1[Date]=S$13*1)*(Tabel1[WO No]=Table4[[#This Row],[WO No]])*(Tabel1[Total]))</f>
        <v>0</v>
      </c>
      <c r="T17" s="100" cm="1">
        <f t="array" ref="T17">SUMPRODUCT((Tabel1[Equipment]=Table4[[#This Row],[Equipment]])*(Tabel1[Date]=T$13*1)*(Tabel1[WO No]=Table4[[#This Row],[WO No]])*(Tabel1[Total]))</f>
        <v>0</v>
      </c>
      <c r="U17" s="100" cm="1">
        <f t="array" ref="U17">SUMPRODUCT((Tabel1[Equipment]=Table4[[#This Row],[Equipment]])*(Tabel1[Date]=U$13*1)*(Tabel1[WO No]=Table4[[#This Row],[WO No]])*(Tabel1[Total]))</f>
        <v>0</v>
      </c>
      <c r="V17" s="100" cm="1">
        <f t="array" ref="V17">SUMPRODUCT((Tabel1[Equipment]=Table4[[#This Row],[Equipment]])*(Tabel1[Date]=V$13*1)*(Tabel1[WO No]=Table4[[#This Row],[WO No]])*(Tabel1[Total]))</f>
        <v>0</v>
      </c>
      <c r="W17" s="100" cm="1">
        <f t="array" ref="W17">SUMPRODUCT((Tabel1[Equipment]=Table4[[#This Row],[Equipment]])*(Tabel1[Date]=W$13*1)*(Tabel1[WO No]=Table4[[#This Row],[WO No]])*(Tabel1[Total]))</f>
        <v>0</v>
      </c>
      <c r="X17" s="100" cm="1">
        <f t="array" ref="X17">SUMPRODUCT((Tabel1[Equipment]=Table4[[#This Row],[Equipment]])*(Tabel1[Date]=X$13*1)*(Tabel1[WO No]=Table4[[#This Row],[WO No]])*(Tabel1[Total]))</f>
        <v>0</v>
      </c>
      <c r="Y17" s="100" cm="1">
        <f t="array" ref="Y17">SUMPRODUCT((Tabel1[Equipment]=Table4[[#This Row],[Equipment]])*(Tabel1[Date]=Y$13*1)*(Tabel1[WO No]=Table4[[#This Row],[WO No]])*(Tabel1[Total]))</f>
        <v>0</v>
      </c>
      <c r="Z17" s="100" cm="1">
        <f t="array" ref="Z17">SUMPRODUCT((Tabel1[Equipment]=Table4[[#This Row],[Equipment]])*(Tabel1[Date]=Z$13*1)*(Tabel1[WO No]=Table4[[#This Row],[WO No]])*(Tabel1[Total]))</f>
        <v>0</v>
      </c>
      <c r="AA17" s="100" cm="1">
        <f t="array" ref="AA17">SUMPRODUCT((Tabel1[Equipment]=Table4[[#This Row],[Equipment]])*(Tabel1[Date]=AA$13*1)*(Tabel1[WO No]=Table4[[#This Row],[WO No]])*(Tabel1[Total]))</f>
        <v>0</v>
      </c>
      <c r="AB17" s="100" cm="1">
        <f t="array" ref="AB17">SUMPRODUCT((Tabel1[Equipment]=Table4[[#This Row],[Equipment]])*(Tabel1[Date]=AB$13*1)*(Tabel1[WO No]=Table4[[#This Row],[WO No]])*(Tabel1[Total]))</f>
        <v>0</v>
      </c>
      <c r="AC17" s="100" cm="1">
        <f t="array" ref="AC17">SUMPRODUCT((Tabel1[Equipment]=Table4[[#This Row],[Equipment]])*(Tabel1[Date]=AC$13*1)*(Tabel1[WO No]=Table4[[#This Row],[WO No]])*(Tabel1[Total]))</f>
        <v>0</v>
      </c>
      <c r="AD17" s="100" cm="1">
        <f t="array" ref="AD17">SUMPRODUCT((Tabel1[Equipment]=Table4[[#This Row],[Equipment]])*(Tabel1[Date]=AD$13*1)*(Tabel1[WO No]=Table4[[#This Row],[WO No]])*(Tabel1[Total]))</f>
        <v>0</v>
      </c>
      <c r="AE17" s="100" cm="1">
        <f t="array" ref="AE17">SUMPRODUCT((Tabel1[Equipment]=Table4[[#This Row],[Equipment]])*(Tabel1[Date]=AE$13*1)*(Tabel1[WO No]=Table4[[#This Row],[WO No]])*(Tabel1[Total]))</f>
        <v>0</v>
      </c>
      <c r="AF17" s="100" cm="1">
        <f t="array" ref="AF17">SUMPRODUCT((Tabel1[Equipment]=Table4[[#This Row],[Equipment]])*(Tabel1[Date]=AF$13*1)*(Tabel1[WO No]=Table4[[#This Row],[WO No]])*(Tabel1[Total]))</f>
        <v>0</v>
      </c>
      <c r="AG17" s="100" cm="1">
        <f t="array" ref="AG17">SUMPRODUCT((Tabel1[Equipment]=Table4[[#This Row],[Equipment]])*(Tabel1[Date]=AG$13*1)*(Tabel1[WO No]=Table4[[#This Row],[WO No]])*(Tabel1[Total]))</f>
        <v>0</v>
      </c>
      <c r="AH17" s="100" cm="1">
        <f t="array" ref="AH17">SUMPRODUCT((Tabel1[Equipment]=Table4[[#This Row],[Equipment]])*(Tabel1[Date]=AH$13*1)*(Tabel1[WO No]=Table4[[#This Row],[WO No]])*(Tabel1[Total]))</f>
        <v>0</v>
      </c>
      <c r="AI17" s="100" cm="1">
        <f t="array" ref="AI17">SUMPRODUCT((Tabel1[Equipment]=Table4[[#This Row],[Equipment]])*(Tabel1[Date]=AI$13*1)*(Tabel1[WO No]=Table4[[#This Row],[WO No]])*(Tabel1[Total]))</f>
        <v>0</v>
      </c>
      <c r="AJ17" s="100" cm="1">
        <f t="array" ref="AJ17">SUMPRODUCT((Tabel1[Equipment]=Table4[[#This Row],[Equipment]])*(Tabel1[Date]=AJ$13*1)*(Tabel1[WO No]=Table4[[#This Row],[WO No]])*(Tabel1[Total]))</f>
        <v>0</v>
      </c>
      <c r="AK17" s="100" cm="1">
        <f t="array" ref="AK17">SUMPRODUCT((Tabel1[Equipment]=Table4[[#This Row],[Equipment]])*(Tabel1[Date]=AK$13*1)*(Tabel1[WO No]=Table4[[#This Row],[WO No]])*(Tabel1[Total]))</f>
        <v>0</v>
      </c>
      <c r="AL17" s="96">
        <f>SUM(Table4[[#This Row],[15/8]:[14/9]])</f>
        <v>36</v>
      </c>
      <c r="AM17" s="44">
        <v>1500</v>
      </c>
      <c r="AN17" s="90">
        <f>Table4[[#This Row],[Total Hrs]]* Table4[[#This Row],[Hourely Rate (MRU)]]</f>
        <v>54000</v>
      </c>
    </row>
    <row r="18" spans="2:40" ht="15.5" customHeight="1" x14ac:dyDescent="0.35">
      <c r="B18" s="91" t="s">
        <v>73</v>
      </c>
      <c r="C18" s="92" t="str">
        <f>IF([1]!Table46[[#This Row],[Equipment]]="", "",INDEX([1]!Tableau2[#Data],MATCH([1]!Table46[[#This Row],[Equipment]],[1]!Tableau2[Equipment],0),MATCH([1]!Table46[[#Headers],[Equipment Type]],[1]!Tableau2[#Headers],0)))</f>
        <v>Water Truck</v>
      </c>
      <c r="D18" s="93" t="s">
        <v>161</v>
      </c>
      <c r="E18" s="92" t="s">
        <v>56</v>
      </c>
      <c r="F18" s="103">
        <v>5092509</v>
      </c>
      <c r="G18" s="100" cm="1">
        <f t="array" ref="G18">SUMPRODUCT((Tabel1[Equipment]=Table4[[#This Row],[Equipment]])*(Tabel1[Date]=G$13*1)*(Tabel1[WO No]=Table4[[#This Row],[WO No]])*(Tabel1[Total]))</f>
        <v>0</v>
      </c>
      <c r="H18" s="100" cm="1">
        <f t="array" ref="H18">SUMPRODUCT((Tabel1[Equipment]=Table4[[#This Row],[Equipment]])*(Tabel1[Date]=H$13*1)*(Tabel1[WO No]=Table4[[#This Row],[WO No]])*(Tabel1[Total]))</f>
        <v>0</v>
      </c>
      <c r="I18" s="100" cm="1">
        <f t="array" ref="I18">SUMPRODUCT((Tabel1[Equipment]=Table4[[#This Row],[Equipment]])*(Tabel1[Date]=I$13*1)*(Tabel1[WO No]=Table4[[#This Row],[WO No]])*(Tabel1[Total]))</f>
        <v>0</v>
      </c>
      <c r="J18" s="100" cm="1">
        <f t="array" ref="J18">SUMPRODUCT((Tabel1[Equipment]=Table4[[#This Row],[Equipment]])*(Tabel1[Date]=J$13*1)*(Tabel1[WO No]=Table4[[#This Row],[WO No]])*(Tabel1[Total]))</f>
        <v>0</v>
      </c>
      <c r="K18" s="100" cm="1">
        <f t="array" ref="K18">SUMPRODUCT((Tabel1[Equipment]=Table4[[#This Row],[Equipment]])*(Tabel1[Date]=K$13*1)*(Tabel1[WO No]=Table4[[#This Row],[WO No]])*(Tabel1[Total]))</f>
        <v>0</v>
      </c>
      <c r="L18" s="100" cm="1">
        <f t="array" ref="L18">SUMPRODUCT((Tabel1[Equipment]=Table4[[#This Row],[Equipment]])*(Tabel1[Date]=L$13*1)*(Tabel1[WO No]=Table4[[#This Row],[WO No]])*(Tabel1[Total]))</f>
        <v>0</v>
      </c>
      <c r="M18" s="100" cm="1">
        <f t="array" ref="M18">SUMPRODUCT((Tabel1[Equipment]=Table4[[#This Row],[Equipment]])*(Tabel1[Date]=M$13*1)*(Tabel1[WO No]=Table4[[#This Row],[WO No]])*(Tabel1[Total]))</f>
        <v>0</v>
      </c>
      <c r="N18" s="100" cm="1">
        <f t="array" ref="N18">SUMPRODUCT((Tabel1[Equipment]=Table4[[#This Row],[Equipment]])*(Tabel1[Date]=N$13*1)*(Tabel1[WO No]=Table4[[#This Row],[WO No]])*(Tabel1[Total]))</f>
        <v>0</v>
      </c>
      <c r="O18" s="100" cm="1">
        <f t="array" ref="O18">SUMPRODUCT((Tabel1[Equipment]=Table4[[#This Row],[Equipment]])*(Tabel1[Date]=O$13*1)*(Tabel1[WO No]=Table4[[#This Row],[WO No]])*(Tabel1[Total]))</f>
        <v>0</v>
      </c>
      <c r="P18" s="100" cm="1">
        <f t="array" ref="P18">SUMPRODUCT((Tabel1[Equipment]=Table4[[#This Row],[Equipment]])*(Tabel1[Date]=P$13*1)*(Tabel1[WO No]=Table4[[#This Row],[WO No]])*(Tabel1[Total]))</f>
        <v>4</v>
      </c>
      <c r="Q18" s="100" cm="1">
        <f t="array" ref="Q18">SUMPRODUCT((Tabel1[Equipment]=Table4[[#This Row],[Equipment]])*(Tabel1[Date]=Q$13*1)*(Tabel1[WO No]=Table4[[#This Row],[WO No]])*(Tabel1[Total]))</f>
        <v>0</v>
      </c>
      <c r="R18" s="100" cm="1">
        <f t="array" ref="R18">SUMPRODUCT((Tabel1[Equipment]=Table4[[#This Row],[Equipment]])*(Tabel1[Date]=R$13*1)*(Tabel1[WO No]=Table4[[#This Row],[WO No]])*(Tabel1[Total]))</f>
        <v>0</v>
      </c>
      <c r="S18" s="100" cm="1">
        <f t="array" ref="S18">SUMPRODUCT((Tabel1[Equipment]=Table4[[#This Row],[Equipment]])*(Tabel1[Date]=S$13*1)*(Tabel1[WO No]=Table4[[#This Row],[WO No]])*(Tabel1[Total]))</f>
        <v>0</v>
      </c>
      <c r="T18" s="100" cm="1">
        <f t="array" ref="T18">SUMPRODUCT((Tabel1[Equipment]=Table4[[#This Row],[Equipment]])*(Tabel1[Date]=T$13*1)*(Tabel1[WO No]=Table4[[#This Row],[WO No]])*(Tabel1[Total]))</f>
        <v>0</v>
      </c>
      <c r="U18" s="100" cm="1">
        <f t="array" ref="U18">SUMPRODUCT((Tabel1[Equipment]=Table4[[#This Row],[Equipment]])*(Tabel1[Date]=U$13*1)*(Tabel1[WO No]=Table4[[#This Row],[WO No]])*(Tabel1[Total]))</f>
        <v>0</v>
      </c>
      <c r="V18" s="100" cm="1">
        <f t="array" ref="V18">SUMPRODUCT((Tabel1[Equipment]=Table4[[#This Row],[Equipment]])*(Tabel1[Date]=V$13*1)*(Tabel1[WO No]=Table4[[#This Row],[WO No]])*(Tabel1[Total]))</f>
        <v>0</v>
      </c>
      <c r="W18" s="100" cm="1">
        <f t="array" ref="W18">SUMPRODUCT((Tabel1[Equipment]=Table4[[#This Row],[Equipment]])*(Tabel1[Date]=W$13*1)*(Tabel1[WO No]=Table4[[#This Row],[WO No]])*(Tabel1[Total]))</f>
        <v>0</v>
      </c>
      <c r="X18" s="100" cm="1">
        <f t="array" ref="X18">SUMPRODUCT((Tabel1[Equipment]=Table4[[#This Row],[Equipment]])*(Tabel1[Date]=X$13*1)*(Tabel1[WO No]=Table4[[#This Row],[WO No]])*(Tabel1[Total]))</f>
        <v>0</v>
      </c>
      <c r="Y18" s="100" cm="1">
        <f t="array" ref="Y18">SUMPRODUCT((Tabel1[Equipment]=Table4[[#This Row],[Equipment]])*(Tabel1[Date]=Y$13*1)*(Tabel1[WO No]=Table4[[#This Row],[WO No]])*(Tabel1[Total]))</f>
        <v>0</v>
      </c>
      <c r="Z18" s="100" cm="1">
        <f t="array" ref="Z18">SUMPRODUCT((Tabel1[Equipment]=Table4[[#This Row],[Equipment]])*(Tabel1[Date]=Z$13*1)*(Tabel1[WO No]=Table4[[#This Row],[WO No]])*(Tabel1[Total]))</f>
        <v>0</v>
      </c>
      <c r="AA18" s="100" cm="1">
        <f t="array" ref="AA18">SUMPRODUCT((Tabel1[Equipment]=Table4[[#This Row],[Equipment]])*(Tabel1[Date]=AA$13*1)*(Tabel1[WO No]=Table4[[#This Row],[WO No]])*(Tabel1[Total]))</f>
        <v>0</v>
      </c>
      <c r="AB18" s="100" cm="1">
        <f t="array" ref="AB18">SUMPRODUCT((Tabel1[Equipment]=Table4[[#This Row],[Equipment]])*(Tabel1[Date]=AB$13*1)*(Tabel1[WO No]=Table4[[#This Row],[WO No]])*(Tabel1[Total]))</f>
        <v>0</v>
      </c>
      <c r="AC18" s="100" cm="1">
        <f t="array" ref="AC18">SUMPRODUCT((Tabel1[Equipment]=Table4[[#This Row],[Equipment]])*(Tabel1[Date]=AC$13*1)*(Tabel1[WO No]=Table4[[#This Row],[WO No]])*(Tabel1[Total]))</f>
        <v>0</v>
      </c>
      <c r="AD18" s="100" cm="1">
        <f t="array" ref="AD18">SUMPRODUCT((Tabel1[Equipment]=Table4[[#This Row],[Equipment]])*(Tabel1[Date]=AD$13*1)*(Tabel1[WO No]=Table4[[#This Row],[WO No]])*(Tabel1[Total]))</f>
        <v>0</v>
      </c>
      <c r="AE18" s="100" cm="1">
        <f t="array" ref="AE18">SUMPRODUCT((Tabel1[Equipment]=Table4[[#This Row],[Equipment]])*(Tabel1[Date]=AE$13*1)*(Tabel1[WO No]=Table4[[#This Row],[WO No]])*(Tabel1[Total]))</f>
        <v>0</v>
      </c>
      <c r="AF18" s="100" cm="1">
        <f t="array" ref="AF18">SUMPRODUCT((Tabel1[Equipment]=Table4[[#This Row],[Equipment]])*(Tabel1[Date]=AF$13*1)*(Tabel1[WO No]=Table4[[#This Row],[WO No]])*(Tabel1[Total]))</f>
        <v>0</v>
      </c>
      <c r="AG18" s="100" cm="1">
        <f t="array" ref="AG18">SUMPRODUCT((Tabel1[Equipment]=Table4[[#This Row],[Equipment]])*(Tabel1[Date]=AG$13*1)*(Tabel1[WO No]=Table4[[#This Row],[WO No]])*(Tabel1[Total]))</f>
        <v>0</v>
      </c>
      <c r="AH18" s="100" cm="1">
        <f t="array" ref="AH18">SUMPRODUCT((Tabel1[Equipment]=Table4[[#This Row],[Equipment]])*(Tabel1[Date]=AH$13*1)*(Tabel1[WO No]=Table4[[#This Row],[WO No]])*(Tabel1[Total]))</f>
        <v>0</v>
      </c>
      <c r="AI18" s="100" cm="1">
        <f t="array" ref="AI18">SUMPRODUCT((Tabel1[Equipment]=Table4[[#This Row],[Equipment]])*(Tabel1[Date]=AI$13*1)*(Tabel1[WO No]=Table4[[#This Row],[WO No]])*(Tabel1[Total]))</f>
        <v>0</v>
      </c>
      <c r="AJ18" s="100" cm="1">
        <f t="array" ref="AJ18">SUMPRODUCT((Tabel1[Equipment]=Table4[[#This Row],[Equipment]])*(Tabel1[Date]=AJ$13*1)*(Tabel1[WO No]=Table4[[#This Row],[WO No]])*(Tabel1[Total]))</f>
        <v>0</v>
      </c>
      <c r="AK18" s="100" cm="1">
        <f t="array" ref="AK18">SUMPRODUCT((Tabel1[Equipment]=Table4[[#This Row],[Equipment]])*(Tabel1[Date]=AK$13*1)*(Tabel1[WO No]=Table4[[#This Row],[WO No]])*(Tabel1[Total]))</f>
        <v>0</v>
      </c>
      <c r="AL18" s="96">
        <f>SUM(Table4[[#This Row],[15/8]:[14/9]])</f>
        <v>4</v>
      </c>
      <c r="AM18" s="44">
        <v>600</v>
      </c>
      <c r="AN18" s="90">
        <f>Table4[[#This Row],[Total Hrs]]* Table4[[#This Row],[Hourely Rate (MRU)]]</f>
        <v>2400</v>
      </c>
    </row>
    <row r="19" spans="2:40" ht="15.5" customHeight="1" x14ac:dyDescent="0.35">
      <c r="B19" s="91" t="s">
        <v>34</v>
      </c>
      <c r="C19" s="92" t="str">
        <f>IF([1]!Table46[[#This Row],[Equipment]]="", "",INDEX([1]!Tableau2[#Data],MATCH([1]!Table46[[#This Row],[Equipment]],[1]!Tableau2[Equipment],0),MATCH([1]!Table46[[#Headers],[Equipment Type]],[1]!Tableau2[#Headers],0)))</f>
        <v>Water Truck</v>
      </c>
      <c r="D19" s="93" t="s">
        <v>57</v>
      </c>
      <c r="E19" s="92" t="s">
        <v>56</v>
      </c>
      <c r="F19" s="103">
        <v>5239743</v>
      </c>
      <c r="G19" s="100" cm="1">
        <f t="array" ref="G19">SUMPRODUCT((Tabel1[Equipment]=Table4[[#This Row],[Equipment]])*(Tabel1[Date]=G$13*1)*(Tabel1[WO No]=Table4[[#This Row],[WO No]])*(Tabel1[Total]))</f>
        <v>8</v>
      </c>
      <c r="H19" s="100" cm="1">
        <f t="array" ref="H19">SUMPRODUCT((Tabel1[Equipment]=Table4[[#This Row],[Equipment]])*(Tabel1[Date]=H$13*1)*(Tabel1[WO No]=Table4[[#This Row],[WO No]])*(Tabel1[Total]))</f>
        <v>5</v>
      </c>
      <c r="I19" s="100" cm="1">
        <f t="array" ref="I19">SUMPRODUCT((Tabel1[Equipment]=Table4[[#This Row],[Equipment]])*(Tabel1[Date]=I$13*1)*(Tabel1[WO No]=Table4[[#This Row],[WO No]])*(Tabel1[Total]))</f>
        <v>0</v>
      </c>
      <c r="J19" s="100" cm="1">
        <f t="array" ref="J19">SUMPRODUCT((Tabel1[Equipment]=Table4[[#This Row],[Equipment]])*(Tabel1[Date]=J$13*1)*(Tabel1[WO No]=Table4[[#This Row],[WO No]])*(Tabel1[Total]))</f>
        <v>0</v>
      </c>
      <c r="K19" s="100" cm="1">
        <f t="array" ref="K19">SUMPRODUCT((Tabel1[Equipment]=Table4[[#This Row],[Equipment]])*(Tabel1[Date]=K$13*1)*(Tabel1[WO No]=Table4[[#This Row],[WO No]])*(Tabel1[Total]))</f>
        <v>0</v>
      </c>
      <c r="L19" s="100" cm="1">
        <f t="array" ref="L19">SUMPRODUCT((Tabel1[Equipment]=Table4[[#This Row],[Equipment]])*(Tabel1[Date]=L$13*1)*(Tabel1[WO No]=Table4[[#This Row],[WO No]])*(Tabel1[Total]))</f>
        <v>0</v>
      </c>
      <c r="M19" s="100" cm="1">
        <f t="array" ref="M19">SUMPRODUCT((Tabel1[Equipment]=Table4[[#This Row],[Equipment]])*(Tabel1[Date]=M$13*1)*(Tabel1[WO No]=Table4[[#This Row],[WO No]])*(Tabel1[Total]))</f>
        <v>0</v>
      </c>
      <c r="N19" s="100" cm="1">
        <f t="array" ref="N19">SUMPRODUCT((Tabel1[Equipment]=Table4[[#This Row],[Equipment]])*(Tabel1[Date]=N$13*1)*(Tabel1[WO No]=Table4[[#This Row],[WO No]])*(Tabel1[Total]))</f>
        <v>0</v>
      </c>
      <c r="O19" s="100" cm="1">
        <f t="array" ref="O19">SUMPRODUCT((Tabel1[Equipment]=Table4[[#This Row],[Equipment]])*(Tabel1[Date]=O$13*1)*(Tabel1[WO No]=Table4[[#This Row],[WO No]])*(Tabel1[Total]))</f>
        <v>0</v>
      </c>
      <c r="P19" s="100" cm="1">
        <f t="array" ref="P19">SUMPRODUCT((Tabel1[Equipment]=Table4[[#This Row],[Equipment]])*(Tabel1[Date]=P$13*1)*(Tabel1[WO No]=Table4[[#This Row],[WO No]])*(Tabel1[Total]))</f>
        <v>0</v>
      </c>
      <c r="Q19" s="100" cm="1">
        <f t="array" ref="Q19">SUMPRODUCT((Tabel1[Equipment]=Table4[[#This Row],[Equipment]])*(Tabel1[Date]=Q$13*1)*(Tabel1[WO No]=Table4[[#This Row],[WO No]])*(Tabel1[Total]))</f>
        <v>0</v>
      </c>
      <c r="R19" s="100" cm="1">
        <f t="array" ref="R19">SUMPRODUCT((Tabel1[Equipment]=Table4[[#This Row],[Equipment]])*(Tabel1[Date]=R$13*1)*(Tabel1[WO No]=Table4[[#This Row],[WO No]])*(Tabel1[Total]))</f>
        <v>0</v>
      </c>
      <c r="S19" s="100" cm="1">
        <f t="array" ref="S19">SUMPRODUCT((Tabel1[Equipment]=Table4[[#This Row],[Equipment]])*(Tabel1[Date]=S$13*1)*(Tabel1[WO No]=Table4[[#This Row],[WO No]])*(Tabel1[Total]))</f>
        <v>0</v>
      </c>
      <c r="T19" s="100" cm="1">
        <f t="array" ref="T19">SUMPRODUCT((Tabel1[Equipment]=Table4[[#This Row],[Equipment]])*(Tabel1[Date]=T$13*1)*(Tabel1[WO No]=Table4[[#This Row],[WO No]])*(Tabel1[Total]))</f>
        <v>0</v>
      </c>
      <c r="U19" s="100" cm="1">
        <f t="array" ref="U19">SUMPRODUCT((Tabel1[Equipment]=Table4[[#This Row],[Equipment]])*(Tabel1[Date]=U$13*1)*(Tabel1[WO No]=Table4[[#This Row],[WO No]])*(Tabel1[Total]))</f>
        <v>0</v>
      </c>
      <c r="V19" s="100" cm="1">
        <f t="array" ref="V19">SUMPRODUCT((Tabel1[Equipment]=Table4[[#This Row],[Equipment]])*(Tabel1[Date]=V$13*1)*(Tabel1[WO No]=Table4[[#This Row],[WO No]])*(Tabel1[Total]))</f>
        <v>0</v>
      </c>
      <c r="W19" s="100" cm="1">
        <f t="array" ref="W19">SUMPRODUCT((Tabel1[Equipment]=Table4[[#This Row],[Equipment]])*(Tabel1[Date]=W$13*1)*(Tabel1[WO No]=Table4[[#This Row],[WO No]])*(Tabel1[Total]))</f>
        <v>0</v>
      </c>
      <c r="X19" s="100" cm="1">
        <f t="array" ref="X19">SUMPRODUCT((Tabel1[Equipment]=Table4[[#This Row],[Equipment]])*(Tabel1[Date]=X$13*1)*(Tabel1[WO No]=Table4[[#This Row],[WO No]])*(Tabel1[Total]))</f>
        <v>0</v>
      </c>
      <c r="Y19" s="100" cm="1">
        <f t="array" ref="Y19">SUMPRODUCT((Tabel1[Equipment]=Table4[[#This Row],[Equipment]])*(Tabel1[Date]=Y$13*1)*(Tabel1[WO No]=Table4[[#This Row],[WO No]])*(Tabel1[Total]))</f>
        <v>0</v>
      </c>
      <c r="Z19" s="100" cm="1">
        <f t="array" ref="Z19">SUMPRODUCT((Tabel1[Equipment]=Table4[[#This Row],[Equipment]])*(Tabel1[Date]=Z$13*1)*(Tabel1[WO No]=Table4[[#This Row],[WO No]])*(Tabel1[Total]))</f>
        <v>0</v>
      </c>
      <c r="AA19" s="100" cm="1">
        <f t="array" ref="AA19">SUMPRODUCT((Tabel1[Equipment]=Table4[[#This Row],[Equipment]])*(Tabel1[Date]=AA$13*1)*(Tabel1[WO No]=Table4[[#This Row],[WO No]])*(Tabel1[Total]))</f>
        <v>0</v>
      </c>
      <c r="AB19" s="100" cm="1">
        <f t="array" ref="AB19">SUMPRODUCT((Tabel1[Equipment]=Table4[[#This Row],[Equipment]])*(Tabel1[Date]=AB$13*1)*(Tabel1[WO No]=Table4[[#This Row],[WO No]])*(Tabel1[Total]))</f>
        <v>0</v>
      </c>
      <c r="AC19" s="100" cm="1">
        <f t="array" ref="AC19">SUMPRODUCT((Tabel1[Equipment]=Table4[[#This Row],[Equipment]])*(Tabel1[Date]=AC$13*1)*(Tabel1[WO No]=Table4[[#This Row],[WO No]])*(Tabel1[Total]))</f>
        <v>0</v>
      </c>
      <c r="AD19" s="100" cm="1">
        <f t="array" ref="AD19">SUMPRODUCT((Tabel1[Equipment]=Table4[[#This Row],[Equipment]])*(Tabel1[Date]=AD$13*1)*(Tabel1[WO No]=Table4[[#This Row],[WO No]])*(Tabel1[Total]))</f>
        <v>0</v>
      </c>
      <c r="AE19" s="100" cm="1">
        <f t="array" ref="AE19">SUMPRODUCT((Tabel1[Equipment]=Table4[[#This Row],[Equipment]])*(Tabel1[Date]=AE$13*1)*(Tabel1[WO No]=Table4[[#This Row],[WO No]])*(Tabel1[Total]))</f>
        <v>0</v>
      </c>
      <c r="AF19" s="100" cm="1">
        <f t="array" ref="AF19">SUMPRODUCT((Tabel1[Equipment]=Table4[[#This Row],[Equipment]])*(Tabel1[Date]=AF$13*1)*(Tabel1[WO No]=Table4[[#This Row],[WO No]])*(Tabel1[Total]))</f>
        <v>0</v>
      </c>
      <c r="AG19" s="100" cm="1">
        <f t="array" ref="AG19">SUMPRODUCT((Tabel1[Equipment]=Table4[[#This Row],[Equipment]])*(Tabel1[Date]=AG$13*1)*(Tabel1[WO No]=Table4[[#This Row],[WO No]])*(Tabel1[Total]))</f>
        <v>0</v>
      </c>
      <c r="AH19" s="100" cm="1">
        <f t="array" ref="AH19">SUMPRODUCT((Tabel1[Equipment]=Table4[[#This Row],[Equipment]])*(Tabel1[Date]=AH$13*1)*(Tabel1[WO No]=Table4[[#This Row],[WO No]])*(Tabel1[Total]))</f>
        <v>0</v>
      </c>
      <c r="AI19" s="100" cm="1">
        <f t="array" ref="AI19">SUMPRODUCT((Tabel1[Equipment]=Table4[[#This Row],[Equipment]])*(Tabel1[Date]=AI$13*1)*(Tabel1[WO No]=Table4[[#This Row],[WO No]])*(Tabel1[Total]))</f>
        <v>0</v>
      </c>
      <c r="AJ19" s="100" cm="1">
        <f t="array" ref="AJ19">SUMPRODUCT((Tabel1[Equipment]=Table4[[#This Row],[Equipment]])*(Tabel1[Date]=AJ$13*1)*(Tabel1[WO No]=Table4[[#This Row],[WO No]])*(Tabel1[Total]))</f>
        <v>0</v>
      </c>
      <c r="AK19" s="100" cm="1">
        <f t="array" ref="AK19">SUMPRODUCT((Tabel1[Equipment]=Table4[[#This Row],[Equipment]])*(Tabel1[Date]=AK$13*1)*(Tabel1[WO No]=Table4[[#This Row],[WO No]])*(Tabel1[Total]))</f>
        <v>0</v>
      </c>
      <c r="AL19" s="96">
        <f>SUM(Table4[[#This Row],[15/8]:[14/9]])</f>
        <v>13</v>
      </c>
      <c r="AM19" s="44">
        <v>4000</v>
      </c>
      <c r="AN19" s="90">
        <f>Table4[[#This Row],[Total Hrs]]* Table4[[#This Row],[Hourely Rate (MRU)]]</f>
        <v>52000</v>
      </c>
    </row>
    <row r="20" spans="2:40" ht="15.5" customHeight="1" thickBot="1" x14ac:dyDescent="0.4">
      <c r="B20" s="91" t="s">
        <v>35</v>
      </c>
      <c r="C20" s="92" t="str">
        <f>IF([1]!Table46[[#This Row],[Equipment]]="", "",INDEX([1]!Tableau2[#Data],MATCH([1]!Table46[[#This Row],[Equipment]],[1]!Tableau2[Equipment],0),MATCH([1]!Table46[[#Headers],[Equipment Type]],[1]!Tableau2[#Headers],0)))</f>
        <v>Water Truck</v>
      </c>
      <c r="D20" s="93" t="s">
        <v>57</v>
      </c>
      <c r="E20" s="92" t="s">
        <v>56</v>
      </c>
      <c r="F20" s="103">
        <v>5239743</v>
      </c>
      <c r="G20" s="100" cm="1">
        <f t="array" ref="G20">SUMPRODUCT((Tabel1[Equipment]=Table4[[#This Row],[Equipment]])*(Tabel1[Date]=G$13*1)*(Tabel1[WO No]=Table4[[#This Row],[WO No]])*(Tabel1[Total]))</f>
        <v>8</v>
      </c>
      <c r="H20" s="100" cm="1">
        <f t="array" ref="H20">SUMPRODUCT((Tabel1[Equipment]=Table4[[#This Row],[Equipment]])*(Tabel1[Date]=H$13*1)*(Tabel1[WO No]=Table4[[#This Row],[WO No]])*(Tabel1[Total]))</f>
        <v>5</v>
      </c>
      <c r="I20" s="100" cm="1">
        <f t="array" ref="I20">SUMPRODUCT((Tabel1[Equipment]=Table4[[#This Row],[Equipment]])*(Tabel1[Date]=I$13*1)*(Tabel1[WO No]=Table4[[#This Row],[WO No]])*(Tabel1[Total]))</f>
        <v>0</v>
      </c>
      <c r="J20" s="100" cm="1">
        <f t="array" ref="J20">SUMPRODUCT((Tabel1[Equipment]=Table4[[#This Row],[Equipment]])*(Tabel1[Date]=J$13*1)*(Tabel1[WO No]=Table4[[#This Row],[WO No]])*(Tabel1[Total]))</f>
        <v>0</v>
      </c>
      <c r="K20" s="100" cm="1">
        <f t="array" ref="K20">SUMPRODUCT((Tabel1[Equipment]=Table4[[#This Row],[Equipment]])*(Tabel1[Date]=K$13*1)*(Tabel1[WO No]=Table4[[#This Row],[WO No]])*(Tabel1[Total]))</f>
        <v>0</v>
      </c>
      <c r="L20" s="100" cm="1">
        <f t="array" ref="L20">SUMPRODUCT((Tabel1[Equipment]=Table4[[#This Row],[Equipment]])*(Tabel1[Date]=L$13*1)*(Tabel1[WO No]=Table4[[#This Row],[WO No]])*(Tabel1[Total]))</f>
        <v>0</v>
      </c>
      <c r="M20" s="100" cm="1">
        <f t="array" ref="M20">SUMPRODUCT((Tabel1[Equipment]=Table4[[#This Row],[Equipment]])*(Tabel1[Date]=M$13*1)*(Tabel1[WO No]=Table4[[#This Row],[WO No]])*(Tabel1[Total]))</f>
        <v>0</v>
      </c>
      <c r="N20" s="100" cm="1">
        <f t="array" ref="N20">SUMPRODUCT((Tabel1[Equipment]=Table4[[#This Row],[Equipment]])*(Tabel1[Date]=N$13*1)*(Tabel1[WO No]=Table4[[#This Row],[WO No]])*(Tabel1[Total]))</f>
        <v>0</v>
      </c>
      <c r="O20" s="100" cm="1">
        <f t="array" ref="O20">SUMPRODUCT((Tabel1[Equipment]=Table4[[#This Row],[Equipment]])*(Tabel1[Date]=O$13*1)*(Tabel1[WO No]=Table4[[#This Row],[WO No]])*(Tabel1[Total]))</f>
        <v>0</v>
      </c>
      <c r="P20" s="100" cm="1">
        <f t="array" ref="P20">SUMPRODUCT((Tabel1[Equipment]=Table4[[#This Row],[Equipment]])*(Tabel1[Date]=P$13*1)*(Tabel1[WO No]=Table4[[#This Row],[WO No]])*(Tabel1[Total]))</f>
        <v>0</v>
      </c>
      <c r="Q20" s="100" cm="1">
        <f t="array" ref="Q20">SUMPRODUCT((Tabel1[Equipment]=Table4[[#This Row],[Equipment]])*(Tabel1[Date]=Q$13*1)*(Tabel1[WO No]=Table4[[#This Row],[WO No]])*(Tabel1[Total]))</f>
        <v>0</v>
      </c>
      <c r="R20" s="100" cm="1">
        <f t="array" ref="R20">SUMPRODUCT((Tabel1[Equipment]=Table4[[#This Row],[Equipment]])*(Tabel1[Date]=R$13*1)*(Tabel1[WO No]=Table4[[#This Row],[WO No]])*(Tabel1[Total]))</f>
        <v>0</v>
      </c>
      <c r="S20" s="100" cm="1">
        <f t="array" ref="S20">SUMPRODUCT((Tabel1[Equipment]=Table4[[#This Row],[Equipment]])*(Tabel1[Date]=S$13*1)*(Tabel1[WO No]=Table4[[#This Row],[WO No]])*(Tabel1[Total]))</f>
        <v>0</v>
      </c>
      <c r="T20" s="100" cm="1">
        <f t="array" ref="T20">SUMPRODUCT((Tabel1[Equipment]=Table4[[#This Row],[Equipment]])*(Tabel1[Date]=T$13*1)*(Tabel1[WO No]=Table4[[#This Row],[WO No]])*(Tabel1[Total]))</f>
        <v>0</v>
      </c>
      <c r="U20" s="100" cm="1">
        <f t="array" ref="U20">SUMPRODUCT((Tabel1[Equipment]=Table4[[#This Row],[Equipment]])*(Tabel1[Date]=U$13*1)*(Tabel1[WO No]=Table4[[#This Row],[WO No]])*(Tabel1[Total]))</f>
        <v>0</v>
      </c>
      <c r="V20" s="100" cm="1">
        <f t="array" ref="V20">SUMPRODUCT((Tabel1[Equipment]=Table4[[#This Row],[Equipment]])*(Tabel1[Date]=V$13*1)*(Tabel1[WO No]=Table4[[#This Row],[WO No]])*(Tabel1[Total]))</f>
        <v>0</v>
      </c>
      <c r="W20" s="100" cm="1">
        <f t="array" ref="W20">SUMPRODUCT((Tabel1[Equipment]=Table4[[#This Row],[Equipment]])*(Tabel1[Date]=W$13*1)*(Tabel1[WO No]=Table4[[#This Row],[WO No]])*(Tabel1[Total]))</f>
        <v>0</v>
      </c>
      <c r="X20" s="100" cm="1">
        <f t="array" ref="X20">SUMPRODUCT((Tabel1[Equipment]=Table4[[#This Row],[Equipment]])*(Tabel1[Date]=X$13*1)*(Tabel1[WO No]=Table4[[#This Row],[WO No]])*(Tabel1[Total]))</f>
        <v>0</v>
      </c>
      <c r="Y20" s="100" cm="1">
        <f t="array" ref="Y20">SUMPRODUCT((Tabel1[Equipment]=Table4[[#This Row],[Equipment]])*(Tabel1[Date]=Y$13*1)*(Tabel1[WO No]=Table4[[#This Row],[WO No]])*(Tabel1[Total]))</f>
        <v>0</v>
      </c>
      <c r="Z20" s="100" cm="1">
        <f t="array" ref="Z20">SUMPRODUCT((Tabel1[Equipment]=Table4[[#This Row],[Equipment]])*(Tabel1[Date]=Z$13*1)*(Tabel1[WO No]=Table4[[#This Row],[WO No]])*(Tabel1[Total]))</f>
        <v>0</v>
      </c>
      <c r="AA20" s="100" cm="1">
        <f t="array" ref="AA20">SUMPRODUCT((Tabel1[Equipment]=Table4[[#This Row],[Equipment]])*(Tabel1[Date]=AA$13*1)*(Tabel1[WO No]=Table4[[#This Row],[WO No]])*(Tabel1[Total]))</f>
        <v>0</v>
      </c>
      <c r="AB20" s="100" cm="1">
        <f t="array" ref="AB20">SUMPRODUCT((Tabel1[Equipment]=Table4[[#This Row],[Equipment]])*(Tabel1[Date]=AB$13*1)*(Tabel1[WO No]=Table4[[#This Row],[WO No]])*(Tabel1[Total]))</f>
        <v>0</v>
      </c>
      <c r="AC20" s="100" cm="1">
        <f t="array" ref="AC20">SUMPRODUCT((Tabel1[Equipment]=Table4[[#This Row],[Equipment]])*(Tabel1[Date]=AC$13*1)*(Tabel1[WO No]=Table4[[#This Row],[WO No]])*(Tabel1[Total]))</f>
        <v>0</v>
      </c>
      <c r="AD20" s="100" cm="1">
        <f t="array" ref="AD20">SUMPRODUCT((Tabel1[Equipment]=Table4[[#This Row],[Equipment]])*(Tabel1[Date]=AD$13*1)*(Tabel1[WO No]=Table4[[#This Row],[WO No]])*(Tabel1[Total]))</f>
        <v>0</v>
      </c>
      <c r="AE20" s="100" cm="1">
        <f t="array" ref="AE20">SUMPRODUCT((Tabel1[Equipment]=Table4[[#This Row],[Equipment]])*(Tabel1[Date]=AE$13*1)*(Tabel1[WO No]=Table4[[#This Row],[WO No]])*(Tabel1[Total]))</f>
        <v>0</v>
      </c>
      <c r="AF20" s="100" cm="1">
        <f t="array" ref="AF20">SUMPRODUCT((Tabel1[Equipment]=Table4[[#This Row],[Equipment]])*(Tabel1[Date]=AF$13*1)*(Tabel1[WO No]=Table4[[#This Row],[WO No]])*(Tabel1[Total]))</f>
        <v>0</v>
      </c>
      <c r="AG20" s="100" cm="1">
        <f t="array" ref="AG20">SUMPRODUCT((Tabel1[Equipment]=Table4[[#This Row],[Equipment]])*(Tabel1[Date]=AG$13*1)*(Tabel1[WO No]=Table4[[#This Row],[WO No]])*(Tabel1[Total]))</f>
        <v>0</v>
      </c>
      <c r="AH20" s="100" cm="1">
        <f t="array" ref="AH20">SUMPRODUCT((Tabel1[Equipment]=Table4[[#This Row],[Equipment]])*(Tabel1[Date]=AH$13*1)*(Tabel1[WO No]=Table4[[#This Row],[WO No]])*(Tabel1[Total]))</f>
        <v>0</v>
      </c>
      <c r="AI20" s="100" cm="1">
        <f t="array" ref="AI20">SUMPRODUCT((Tabel1[Equipment]=Table4[[#This Row],[Equipment]])*(Tabel1[Date]=AI$13*1)*(Tabel1[WO No]=Table4[[#This Row],[WO No]])*(Tabel1[Total]))</f>
        <v>0</v>
      </c>
      <c r="AJ20" s="100" cm="1">
        <f t="array" ref="AJ20">SUMPRODUCT((Tabel1[Equipment]=Table4[[#This Row],[Equipment]])*(Tabel1[Date]=AJ$13*1)*(Tabel1[WO No]=Table4[[#This Row],[WO No]])*(Tabel1[Total]))</f>
        <v>0</v>
      </c>
      <c r="AK20" s="100" cm="1">
        <f t="array" ref="AK20">SUMPRODUCT((Tabel1[Equipment]=Table4[[#This Row],[Equipment]])*(Tabel1[Date]=AK$13*1)*(Tabel1[WO No]=Table4[[#This Row],[WO No]])*(Tabel1[Total]))</f>
        <v>0</v>
      </c>
      <c r="AL20" s="96">
        <f>SUM(Table4[[#This Row],[15/8]:[14/9]])</f>
        <v>13</v>
      </c>
      <c r="AM20" s="44">
        <v>2450</v>
      </c>
      <c r="AN20" s="90">
        <f>Table4[[#This Row],[Total Hrs]]* Table4[[#This Row],[Hourely Rate (MRU)]]</f>
        <v>31850</v>
      </c>
    </row>
    <row r="21" spans="2:40" ht="16" thickBot="1" x14ac:dyDescent="0.3">
      <c r="B21" s="40" t="s">
        <v>149</v>
      </c>
      <c r="C21" s="41"/>
      <c r="D21" s="41"/>
      <c r="E21" s="41"/>
      <c r="F21" s="42"/>
      <c r="G21" s="53">
        <f>SUM(Table4[15/8])</f>
        <v>56</v>
      </c>
      <c r="H21" s="54">
        <f>SUM(Table4[16/8])</f>
        <v>46</v>
      </c>
      <c r="I21" s="54">
        <f>SUM(Table4[17/8])</f>
        <v>40</v>
      </c>
      <c r="J21" s="54">
        <f>SUM(Table4[18/8])</f>
        <v>38</v>
      </c>
      <c r="K21" s="54">
        <f>SUM(Table4[19/8])</f>
        <v>40</v>
      </c>
      <c r="L21" s="54">
        <f>SUM(Table4[20/8])</f>
        <v>40</v>
      </c>
      <c r="M21" s="54">
        <f>SUM(Table4[21/8])</f>
        <v>40</v>
      </c>
      <c r="N21" s="54">
        <f>SUM(Table4[22/8])</f>
        <v>40</v>
      </c>
      <c r="O21" s="54">
        <f>SUM(Table4[23/8])</f>
        <v>37</v>
      </c>
      <c r="P21" s="54">
        <f>SUM(Table4[24/8])</f>
        <v>43</v>
      </c>
      <c r="Q21" s="54">
        <f>SUM(Table4[25/8])</f>
        <v>40</v>
      </c>
      <c r="R21" s="54">
        <f>SUM(Table4[26/8])</f>
        <v>0</v>
      </c>
      <c r="S21" s="54">
        <f>SUM(Table4[27/8])</f>
        <v>0</v>
      </c>
      <c r="T21" s="54">
        <f>SUM(Table4[28/8])</f>
        <v>0</v>
      </c>
      <c r="U21" s="54">
        <f>SUM(Table4[29/8])</f>
        <v>0</v>
      </c>
      <c r="V21" s="54">
        <f>SUM(Table4[30/8])</f>
        <v>0</v>
      </c>
      <c r="W21" s="54">
        <f>SUM(Table4[31/8])</f>
        <v>0</v>
      </c>
      <c r="X21" s="54">
        <f>SUM(Table4[1/9])</f>
        <v>0</v>
      </c>
      <c r="Y21" s="54">
        <f>SUM(Table4[2/9])</f>
        <v>0</v>
      </c>
      <c r="Z21" s="54">
        <f>SUM(Table4[3/9])</f>
        <v>0</v>
      </c>
      <c r="AA21" s="54">
        <f>SUM(Table4[4/9])</f>
        <v>0</v>
      </c>
      <c r="AB21" s="54">
        <f>SUM(Table4[5/9])</f>
        <v>0</v>
      </c>
      <c r="AC21" s="54">
        <f>SUM(Table4[6/9])</f>
        <v>0</v>
      </c>
      <c r="AD21" s="54">
        <f>SUM(Table4[7/9])</f>
        <v>0</v>
      </c>
      <c r="AE21" s="54">
        <f>SUM(Table4[8/9])</f>
        <v>0</v>
      </c>
      <c r="AF21" s="54">
        <f>SUM(Table4[9/9])</f>
        <v>0</v>
      </c>
      <c r="AG21" s="54">
        <f>SUM(Table4[10/9])</f>
        <v>0</v>
      </c>
      <c r="AH21" s="54">
        <f>SUM(Table4[11/9])</f>
        <v>0</v>
      </c>
      <c r="AI21" s="54">
        <f>SUM(Table4[12/9])</f>
        <v>0</v>
      </c>
      <c r="AJ21" s="54">
        <f>SUM(Table4[13/9])</f>
        <v>0</v>
      </c>
      <c r="AK21" s="55">
        <f>SUM(Table4[14/9])</f>
        <v>0</v>
      </c>
      <c r="AL21" s="53">
        <f>SUM(Table4[Total Hrs])</f>
        <v>460</v>
      </c>
      <c r="AM21" s="59">
        <f>SUM(Table4[Hourely Rate (MRU)])</f>
        <v>13070</v>
      </c>
      <c r="AN21" s="60">
        <f>SUM(Table4[ Total Cost (MRU)])</f>
        <v>699670</v>
      </c>
    </row>
    <row r="23" spans="2:40" ht="18" x14ac:dyDescent="0.25">
      <c r="C23" s="70" t="s">
        <v>134</v>
      </c>
      <c r="D23" s="70"/>
      <c r="E23" s="24"/>
      <c r="F23" s="24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71" t="s">
        <v>135</v>
      </c>
      <c r="AI23" s="71"/>
      <c r="AJ23" s="71"/>
      <c r="AK23" s="71"/>
      <c r="AL23" s="71"/>
      <c r="AM23" s="71"/>
    </row>
    <row r="26" spans="2:40" x14ac:dyDescent="0.25">
      <c r="E26" s="16" t="s">
        <v>150</v>
      </c>
    </row>
  </sheetData>
  <mergeCells count="10">
    <mergeCell ref="C23:D23"/>
    <mergeCell ref="AH23:AM23"/>
    <mergeCell ref="B1:AN3"/>
    <mergeCell ref="B7:C7"/>
    <mergeCell ref="B8:C8"/>
    <mergeCell ref="B9:C9"/>
    <mergeCell ref="B11:F12"/>
    <mergeCell ref="G11:AK11"/>
    <mergeCell ref="G12:W12"/>
    <mergeCell ref="X12:AK12"/>
  </mergeCells>
  <phoneticPr fontId="3" type="noConversion"/>
  <conditionalFormatting sqref="G13:AK13">
    <cfRule type="duplicateValues" dxfId="17" priority="26"/>
  </conditionalFormatting>
  <conditionalFormatting sqref="G14:AK16">
    <cfRule type="cellIs" dxfId="16" priority="15" operator="greaterThan">
      <formula>0</formula>
    </cfRule>
  </conditionalFormatting>
  <conditionalFormatting sqref="G14:AK16">
    <cfRule type="cellIs" dxfId="15" priority="14" operator="greaterThan">
      <formula>0</formula>
    </cfRule>
  </conditionalFormatting>
  <conditionalFormatting sqref="AL13:AN13">
    <cfRule type="duplicateValues" dxfId="14" priority="13"/>
  </conditionalFormatting>
  <conditionalFormatting sqref="AM14:AM20">
    <cfRule type="cellIs" dxfId="13" priority="24" operator="equal">
      <formula>0</formula>
    </cfRule>
  </conditionalFormatting>
  <conditionalFormatting sqref="B14:B16">
    <cfRule type="duplicateValues" dxfId="12" priority="467"/>
  </conditionalFormatting>
  <conditionalFormatting sqref="G19:AK19">
    <cfRule type="cellIs" dxfId="11" priority="4" operator="greaterThan">
      <formula>0</formula>
    </cfRule>
  </conditionalFormatting>
  <conditionalFormatting sqref="G19:AK19">
    <cfRule type="cellIs" dxfId="10" priority="3" operator="greaterThan">
      <formula>0</formula>
    </cfRule>
  </conditionalFormatting>
  <conditionalFormatting sqref="G17:AK17">
    <cfRule type="cellIs" dxfId="9" priority="8" operator="greaterThan">
      <formula>0</formula>
    </cfRule>
  </conditionalFormatting>
  <conditionalFormatting sqref="G17:AK17">
    <cfRule type="cellIs" dxfId="8" priority="7" operator="greaterThan">
      <formula>0</formula>
    </cfRule>
  </conditionalFormatting>
  <conditionalFormatting sqref="G18:AK18">
    <cfRule type="cellIs" dxfId="5" priority="6" operator="greaterThan">
      <formula>0</formula>
    </cfRule>
  </conditionalFormatting>
  <conditionalFormatting sqref="G18:AK18">
    <cfRule type="cellIs" dxfId="4" priority="5" operator="greaterThan">
      <formula>0</formula>
    </cfRule>
  </conditionalFormatting>
  <conditionalFormatting sqref="G20:AK20">
    <cfRule type="cellIs" dxfId="1" priority="2" operator="greaterThan">
      <formula>0</formula>
    </cfRule>
  </conditionalFormatting>
  <conditionalFormatting sqref="G20:AK20">
    <cfRule type="cellIs" dxfId="0" priority="1" operator="greaterThan">
      <formula>0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F0F600E8-C94C-444C-B36E-BDF73B2BFA85}">
          <x14:formula1>
            <xm:f>Legand!$C$4:$C$49</xm:f>
          </x14:formula1>
          <xm:sqref>B14:B16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21A4494-21F9-4E23-B8F6-CE76EC0972C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9</vt:i4>
      </vt:variant>
    </vt:vector>
  </HeadingPairs>
  <TitlesOfParts>
    <vt:vector size="12" baseType="lpstr">
      <vt:lpstr>Legand</vt:lpstr>
      <vt:lpstr>Timesheet Record</vt:lpstr>
      <vt:lpstr>Line #1</vt:lpstr>
      <vt:lpstr>'Line #1'!Equipment</vt:lpstr>
      <vt:lpstr>Equipment</vt:lpstr>
      <vt:lpstr>'Line #1'!Extract</vt:lpstr>
      <vt:lpstr>'Line #1'!Model</vt:lpstr>
      <vt:lpstr>Model</vt:lpstr>
      <vt:lpstr>'Line #1'!Parking_number</vt:lpstr>
      <vt:lpstr>Parking_number</vt:lpstr>
      <vt:lpstr>'Line #1'!Type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ElHacenAinina</cp:lastModifiedBy>
  <dcterms:created xsi:type="dcterms:W3CDTF">2024-07-16T05:10:08Z</dcterms:created>
  <dcterms:modified xsi:type="dcterms:W3CDTF">2024-08-27T14:16:37Z</dcterms:modified>
</cp:coreProperties>
</file>